
<file path=[Content_Types].xml><?xml version="1.0" encoding="utf-8"?>
<Types xmlns="http://schemas.openxmlformats.org/package/2006/content-types">
  <Override PartName="/_rels/.rels" ContentType="application/vnd.openxmlformats-package.relationship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charts/chart9.xml" ContentType="application/vnd.openxmlformats-officedocument.drawingml.chart+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media/image10.jpeg" ContentType="image/jpeg"/>
  <Override PartName="/xl/media/image9.jpeg" ContentType="image/jpeg"/>
  <Override PartName="/xl/media/image11.wmf" ContentType="image/x-wmf"/>
  <Override PartName="/xl/media/image8.jpeg" ContentType="image/jpeg"/>
  <Override PartName="/xl/media/image7.jpeg" ContentType="image/jpeg"/>
  <Override PartName="/xl/media/image6.jpeg" ContentType="image/jpeg"/>
  <Override PartName="/xl/media/image5.jpeg" ContentType="image/jpeg"/>
  <Override PartName="/xl/media/image4.jpeg" ContentType="image/jpeg"/>
  <Override PartName="/xl/media/image3.jpeg" ContentType="image/jpeg"/>
  <Override PartName="/xl/media/image2.jpeg" ContentType="image/jpeg"/>
  <Override PartName="/xl/media/image1.jpeg" ContentType="image/jpeg"/>
  <Override PartName="/xl/drawings/_rels/drawing6.xml.rels" ContentType="application/vnd.openxmlformats-package.relationships+xml"/>
  <Override PartName="/xl/drawings/_rels/drawing5.xml.rels" ContentType="application/vnd.openxmlformats-package.relationships+xml"/>
  <Override PartName="/xl/drawings/_rels/drawing4.xml.rels" ContentType="application/vnd.openxmlformats-package.relationships+xml"/>
  <Override PartName="/xl/drawings/_rels/drawing3.xml.rels" ContentType="application/vnd.openxmlformats-package.relationships+xml"/>
  <Override PartName="/xl/drawings/_rels/drawing2.xml.rels" ContentType="application/vnd.openxmlformats-package.relationships+xml"/>
  <Override PartName="/xl/drawings/_rels/drawing1.xml.rels" ContentType="application/vnd.openxmlformats-package.relationships+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sharedStrings.xml" ContentType="application/vnd.openxmlformats-officedocument.spreadsheetml.sharedStrings+xml"/>
  <Override PartName="/xl/worksheets/sheet9.xml" ContentType="application/vnd.openxmlformats-officedocument.spreadsheetml.worksheet+xml"/>
  <Override PartName="/xl/worksheets/sheet8.xml" ContentType="application/vnd.openxmlformats-officedocument.spreadsheetml.worksheet+xml"/>
  <Override PartName="/xl/worksheets/_rels/sheet7.xml.rels" ContentType="application/vnd.openxmlformats-package.relationships+xml"/>
  <Override PartName="/xl/worksheets/_rels/sheet6.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comments1.xml" ContentType="application/vnd.openxmlformats-officedocument.spreadsheetml.comments+xml"/>
  <Override PartName="/xl/styles.xml" ContentType="application/vnd.openxmlformats-officedocument.spreadsheetml.styles+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412" firstSheet="0" activeTab="0"/>
  </bookViews>
  <sheets>
    <sheet name="Design Regulator" sheetId="1" state="visible" r:id="rId2"/>
    <sheet name="BOM &amp; Schematic" sheetId="2" state="visible" r:id="rId3"/>
    <sheet name="EVMs" sheetId="3" state="visible" r:id="rId4"/>
    <sheet name="Variable Management" sheetId="4" state="hidden" r:id="rId5"/>
    <sheet name="Standard Value Calculator" sheetId="5" state="hidden" r:id="rId6"/>
    <sheet name="Bode Plots Calculations" sheetId="6" state="hidden" r:id="rId7"/>
    <sheet name="Power Calculations" sheetId="7" state="hidden" r:id="rId8"/>
    <sheet name="Snubber" sheetId="8" state="hidden" r:id="rId9"/>
    <sheet name="Parralell Output Caps" sheetId="9" state="hidden" r:id="rId10"/>
  </sheets>
  <definedNames>
    <definedName function="false" hidden="false" localSheetId="1" name="_xlnm.Print_Area" vbProcedure="false">'BOM &amp; Schematic'!$A$1:$J$75</definedName>
    <definedName function="false" hidden="false" localSheetId="0" name="_xlnm.Print_Area" vbProcedure="false">'Design Regulator'!$A$1:$Q$105</definedName>
    <definedName function="false" hidden="false" name="AL" vbProcedure="false">#ref!</definedName>
    <definedName function="false" hidden="false" name="Bias" vbProcedure="false">['file:///D:/thegartyuser/National/TI/LED/UCC28810EVM-003 Calculations.xls']Calculations!$D$18</definedName>
    <definedName function="false" hidden="false" name="Cb" vbProcedure="false">'Variable Management'!$B$98</definedName>
    <definedName function="false" hidden="false" name="Cby" vbProcedure="false">'Variable Management'!$B$97</definedName>
    <definedName function="false" hidden="false" name="Cc1ea" vbProcedure="false">'Variable Management'!$B$110</definedName>
    <definedName function="false" hidden="false" name="Cc1ea_u" vbProcedure="false">'Variable Management'!$B$117</definedName>
    <definedName function="false" hidden="false" name="Cc2ea" vbProcedure="false">'Variable Management'!$B$111</definedName>
    <definedName function="false" hidden="false" name="Cc2ea_u" vbProcedure="false">'Variable Management'!$B$118</definedName>
    <definedName function="false" hidden="false" name="Cc3ea" vbProcedure="false">'Variable Management'!$B$113</definedName>
    <definedName function="false" hidden="false" name="Cc3ea_u" vbProcedure="false">'Variable Management'!$B$120</definedName>
    <definedName function="false" hidden="false" name="Cdd" vbProcedure="false">'Variable Management'!$B$94</definedName>
    <definedName function="false" hidden="false" name="Chb" vbProcedure="false">['file:///D:/thegartyuser/National/TI/LED/UCC28810EVM-003 Calculations.xls']Calculations!$P$63</definedName>
    <definedName function="false" hidden="false" name="Cin" vbProcedure="false">'Variable Management'!$B$60</definedName>
    <definedName function="false" hidden="false" name="CinEsrMax" vbProcedure="false">'Variable Management'!$B$61</definedName>
    <definedName function="false" hidden="false" name="Cocs" vbProcedure="false">'variable management'!#ref!</definedName>
    <definedName function="false" hidden="false" name="Con" vbProcedure="false">['file:///D:/thegartyuser/National/TI/LED/TPS92660_Design_Tool.xlsx']'LED Driver'!$C$9</definedName>
    <definedName function="false" hidden="false" name="Cout" vbProcedure="false">'Variable Management'!$B$50</definedName>
    <definedName function="false" hidden="false" name="CoutEsr" vbProcedure="false">'Variable Management'!$B$52</definedName>
    <definedName function="false" hidden="false" name="Coutmin" vbProcedure="false">'Variable Management'!$B$49</definedName>
    <definedName function="false" hidden="false" name="CPFC" vbProcedure="false">'[2]led driver'!#ref!</definedName>
    <definedName function="false" hidden="false" name="Cs" vbProcedure="false">'Variable Management'!$B$39</definedName>
    <definedName function="false" hidden="false" name="Csb" vbProcedure="false">'Variable Management'!$B$95</definedName>
    <definedName function="false" hidden="false" name="Csby" vbProcedure="false">'Variable Management'!$B$96</definedName>
    <definedName function="false" hidden="false" name="Csideal" vbProcedure="false">'Variable Management'!$B$38</definedName>
    <definedName function="false" hidden="false" name="Css" vbProcedure="false">'Variable Management'!$B$69</definedName>
    <definedName function="false" hidden="false" name="Css_u" vbProcedure="false">'Variable Management'!$B$70</definedName>
    <definedName function="false" hidden="false" name="C_17" vbProcedure="false">['file:///D:/thegartyuser/National/TI/LED/UCC28810EVM-003 Calculations.xls']Calculations!$D$38</definedName>
    <definedName function="false" hidden="false" name="C_6" vbProcedure="false">['file:///D:/thegartyuser/National/TI/LED/UCC28810EVM-003 Calculations.xls']Calculations!$D$74</definedName>
    <definedName function="false" hidden="false" name="C_8" vbProcedure="false">['file:///D:/thegartyuser/National/TI/LED/UCC28810EVM-003 Calculations.xls']Calculations!$D$75</definedName>
    <definedName function="false" hidden="false" name="C_f1" vbProcedure="false">['file:///D:/thegartyuser/National/TI/LED/UCC28810EVM-003 Calculations.xls']Calculations!$AB$14</definedName>
    <definedName function="false" hidden="false" name="C_s1" vbProcedure="false">['file:///D:/thegartyuser/National/TI/LED/UCC28810EVM-003 Calculations.xls']Calculations!$AA$3</definedName>
    <definedName function="false" hidden="false" name="Deadtime" vbProcedure="false">'Variable Management'!$B$158</definedName>
    <definedName function="false" hidden="false" name="DMAX" vbProcedure="false">[2]inputs!#ref!</definedName>
    <definedName function="false" hidden="false" name="Doff1" vbProcedure="false">'Variable Management'!$B$19</definedName>
    <definedName function="false" hidden="false" name="Doff2" vbProcedure="false">'Variable Management'!$B$24</definedName>
    <definedName function="false" hidden="false" name="D_max" vbProcedure="false">['file:///D:/thegartyuser/National/TI/LED/UCC28810EVM-003 Calculations.xls']Calculations!$J$10</definedName>
    <definedName function="false" hidden="false" name="E24_f" vbProcedure="false">['file:///D:/thegartyuser/National/TI/LED/UCC28810EVM-003 Calculations.xls']Calculations!$Y$26</definedName>
    <definedName function="false" hidden="false" name="E24_s" vbProcedure="false">['file:///D:/thegartyuser/National/TI/LED/UCC28810EVM-003 Calculations.xls']Calculations!$X$3</definedName>
    <definedName function="false" hidden="false" name="E48_f" vbProcedure="false">['file:///D:/thegartyuser/National/TI/LED/UCC28810EVM-003 Calculations.xls']Calculations!$V$50</definedName>
    <definedName function="false" hidden="false" name="E48_s" vbProcedure="false">['file:///D:/thegartyuser/National/TI/LED/UCC28810EVM-003 Calculations.xls']Calculations!$U$3</definedName>
    <definedName function="false" hidden="false" name="Eadcg" vbProcedure="false">'Variable Management'!$B$101</definedName>
    <definedName function="false" hidden="false" name="Eff_boost" vbProcedure="false">['file:///D:/thegartyuser/National/TI/LED/UCC28810EVM-003 Calculations.xls']Calculations!$D$9</definedName>
    <definedName function="false" hidden="false" name="Eff_buck" vbProcedure="false">['file:///D:/thegartyuser/National/TI/LED/UCC28810EVM-003 Calculations.xls']Calculations!$J$9</definedName>
    <definedName function="false" hidden="false" name="Fcross" vbProcedure="false">'Variable Management'!$B$103</definedName>
    <definedName function="false" hidden="false" name="Fesr" vbProcedure="false">'Variable Management'!$B$125</definedName>
    <definedName function="false" hidden="false" name="fline" vbProcedure="false">['file:///D:/thegartyuser/National/TI/LED/UCC28810EVM-003 Calculations.xls']'User Inputs'!$B$7</definedName>
    <definedName function="false" hidden="false" name="Fo" vbProcedure="false">'Variable Management'!$B$123</definedName>
    <definedName function="false" hidden="false" name="Fp1_u" vbProcedure="false">'Variable Management'!$B$128</definedName>
    <definedName function="false" hidden="false" name="Fp2_u" vbProcedure="false">'Variable Management'!$B$129</definedName>
    <definedName function="false" hidden="false" name="FS" vbProcedure="false">[2]inputs!#ref!</definedName>
    <definedName function="false" hidden="false" name="fsmax_buck" vbProcedure="false">['file:///D:/thegartyuser/National/TI/LED/UCC28810EVM-003 Calculations.xls']Calculations!$K$12</definedName>
    <definedName function="false" hidden="false" name="fsmin_buck" vbProcedure="false">['file:///D:/thegartyuser/National/TI/LED/UCC28810EVM-003 Calculations.xls']Calculations!$I$12</definedName>
    <definedName function="false" hidden="false" name="Fsw" vbProcedure="false">'Variable Management'!$B$10</definedName>
    <definedName function="false" hidden="false" name="fsw_buck" vbProcedure="false">['file:///D:/thegartyuser/National/TI/LED/UCC28810EVM-003 Calculations.xls']'User Inputs'!$B$25</definedName>
    <definedName function="false" hidden="false" name="fsw_HB" vbProcedure="false">['file:///D:/thegartyuser/National/TI/LED/UCC28810EVM-003 Calculations.xls']'User Inputs'!$B$28</definedName>
    <definedName function="false" hidden="false" name="fs_min" vbProcedure="false">['file:///D:/thegartyuser/National/TI/LED/UCC28810EVM-003 Calculations.xls']'User Inputs'!$B$20</definedName>
    <definedName function="false" hidden="false" name="Fz1_u" vbProcedure="false">'Variable Management'!$B$126</definedName>
    <definedName function="false" hidden="false" name="Fz2_u" vbProcedure="false">'Variable Management'!$B$127</definedName>
    <definedName function="false" hidden="false" name="GBP" vbProcedure="false">'Variable Management'!$B$102</definedName>
    <definedName function="false" hidden="false" name="GmTop" vbProcedure="false">'Variable Management'!$B$168</definedName>
    <definedName function="false" hidden="false" name="Hi_V" vbProcedure="false">['file:///D:/thegartyuser/National/TI/LED/UCC28810EVM-003 Calculations.xls']Calculations!$D$84</definedName>
    <definedName function="false" hidden="false" name="IBIAS" vbProcedure="false">[2]inputs!#ref!</definedName>
    <definedName function="false" hidden="false" name="Icinrms" vbProcedure="false">'Variable Management'!$B$58</definedName>
    <definedName function="false" hidden="false" name="Icoutrms" vbProcedure="false">'Variable Management'!$B$48</definedName>
    <definedName function="false" hidden="false" name="Ics" vbProcedure="false">'Variable Management'!$B$35</definedName>
    <definedName function="false" hidden="false" name="IFET_rms" vbProcedure="false">[1]calculations!#ref!</definedName>
    <definedName function="false" hidden="false" name="IHOLD" vbProcedure="false">[2]inputs!#ref!</definedName>
    <definedName function="false" hidden="false" name="ILED" vbProcedure="false">['file:///D:/thegartyuser/National/TI/LED/UCC28810EVM-003 Calculations.xls']'User Inputs'!$B$13</definedName>
    <definedName function="false" hidden="false" name="ILED_MAX" vbProcedure="false">[2]inputs!#ref!</definedName>
    <definedName function="false" hidden="false" name="ILED_MIN" vbProcedure="false">[2]inputs!#ref!</definedName>
    <definedName function="false" hidden="false" name="ILED_TYP" vbProcedure="false">[2]inputs!#ref!</definedName>
    <definedName function="false" hidden="false" name="ILimit" vbProcedure="false">'Variable Management'!$B$34</definedName>
    <definedName function="false" hidden="false" name="Ilimit2" vbProcedure="false">'Variable Management'!$B$45</definedName>
    <definedName function="false" hidden="false" name="Iout" vbProcedure="false">'Variable Management'!$B$9</definedName>
    <definedName function="false" hidden="false" name="Ipp" vbProcedure="false">'Power Calculations'!$B$69</definedName>
    <definedName function="false" hidden="false" name="Iq" vbProcedure="false">'Variable Management'!$B$160</definedName>
    <definedName function="false" hidden="false" name="Ireverse" vbProcedure="false">'Variable Management'!$B$185</definedName>
    <definedName function="false" hidden="false" name="Iripple1" vbProcedure="false">'Variable Management'!$B$26</definedName>
    <definedName function="false" hidden="false" name="Iss" vbProcedure="false">'Variable Management'!$B$68</definedName>
    <definedName function="false" hidden="false" name="Iuvlo1" vbProcedure="false">'Variable Management'!$B$86</definedName>
    <definedName function="false" hidden="false" name="Iuvlo2" vbProcedure="false">'Variable Management'!$B$87</definedName>
    <definedName function="false" hidden="false" name="Iuvlo_hys" vbProcedure="false">'Variable Management'!$B$88</definedName>
    <definedName function="false" hidden="false" name="IVAC" vbProcedure="false">[2]inputs!#ref!</definedName>
    <definedName function="false" hidden="false" name="Kmidband" vbProcedure="false">'Variable Management'!$B$104</definedName>
    <definedName function="false" hidden="false" name="Llkg" vbProcedure="false">['file:///D:/thegartyuser/National/TI/LED/UCC28810EVM-003 Calculations.xls']Calculations!$P$26</definedName>
    <definedName function="false" hidden="false" name="Llkg_HB" vbProcedure="false">['file:///D:/thegartyuser/National/TI/LED/UCC28810EVM-003 Calculations.xls']'User Inputs'!$G$30</definedName>
    <definedName function="false" hidden="false" name="LM" vbProcedure="false">#ref!</definedName>
    <definedName function="false" hidden="false" name="Lout1" vbProcedure="false">'Variable Management'!$B$20</definedName>
    <definedName function="false" hidden="false" name="Lout2" vbProcedure="false">'Variable Management'!$B$21</definedName>
    <definedName function="false" hidden="false" name="Ltc" vbProcedure="false">'Variable Management'!$B$146</definedName>
    <definedName function="false" hidden="false" name="L_boost" vbProcedure="false">[1]calculations!#ref!</definedName>
    <definedName function="false" hidden="false" name="L_buck" vbProcedure="false">['file:///D:/thegartyuser/National/TI/LED/UCC28810EVM-003 Calculations.xls']'User Inputs'!$G$34</definedName>
    <definedName function="false" hidden="false" name="L_HB" vbProcedure="false">['file:///D:/thegartyuser/National/TI/LED/UCC28810EVM-003 Calculations.xls']'User Inputs'!$G$28</definedName>
    <definedName function="false" hidden="false" name="L_pfc" vbProcedure="false">['file:///D:/thegartyuser/National/TI/LED/UCC28810EVM-003 Calculations.xls']'User Inputs'!$G$6</definedName>
    <definedName function="false" hidden="false" name="n" vbProcedure="false">'variable management'!#ref!</definedName>
    <definedName function="false" hidden="false" name="NA" vbProcedure="false">#ref!</definedName>
    <definedName function="false" hidden="false" name="NLED_max" vbProcedure="false">['file:///D:/thegartyuser/National/TI/LED/UCC28810EVM-003 Calculations.xls']'User Inputs'!$B$15</definedName>
    <definedName function="false" hidden="false" name="No_Strings" vbProcedure="false">['file:///D:/thegartyuser/National/TI/LED/UCC28810EVM-003 Calculations.xls']'User Inputs'!$B$16</definedName>
    <definedName function="false" hidden="false" name="NP" vbProcedure="false">#ref!</definedName>
    <definedName function="false" hidden="false" name="NS" vbProcedure="false">#ref!</definedName>
    <definedName function="false" hidden="false" name="n_buck" vbProcedure="false">['file:///D:/thegartyuser/National/TI/LED/UCC28810EVM-003 Calculations.xls']'User Inputs'!$G$35</definedName>
    <definedName function="false" hidden="false" name="n_HB" vbProcedure="false">['file:///D:/thegartyuser/National/TI/LED/UCC28810EVM-003 Calculations.xls']'User Inputs'!$G$29</definedName>
    <definedName function="false" hidden="false" name="PFC_ripple" vbProcedure="false">['file:///D:/thegartyuser/National/TI/LED/UCC28810EVM-003 Calculations.xls']Calculations!$D$10</definedName>
    <definedName function="false" hidden="false" name="PFET_con" vbProcedure="false">[1]calculations!#ref!</definedName>
    <definedName function="false" hidden="false" name="Pi" vbProcedure="false">'Variable Management'!$B$131</definedName>
    <definedName function="false" hidden="false" name="PICTURE" vbProcedure="false">INDIRECT(#ref!)</definedName>
    <definedName function="false" hidden="false" name="PIN" vbProcedure="false">[2]inputs!#ref!</definedName>
    <definedName function="false" hidden="false" name="POUTmin_buck" vbProcedure="false">['file:///D:/thegartyuser/National/TI/LED/UCC28810EVM-003 Calculations.xls']Calculations!$I$8</definedName>
    <definedName function="false" hidden="false" name="Pout_boost" vbProcedure="false">['file:///D:/thegartyuser/National/TI/LED/UCC28810EVM-003 Calculations.xls']Calculations!$E$8</definedName>
    <definedName function="false" hidden="false" name="Pout_boost_nom" vbProcedure="false">['file:///D:/thegartyuser/National/TI/LED/UCC28810EVM-003 Calculations.xls']Calculations!$D$8</definedName>
    <definedName function="false" hidden="false" name="Pout_buck_max" vbProcedure="false">['file:///D:/thegartyuser/National/TI/LED/UCC28810EVM-003 Calculations.xls']Calculations!$K$8</definedName>
    <definedName function="false" hidden="false" name="Pout_buck_nom" vbProcedure="false">['file:///D:/thegartyuser/National/TI/LED/UCC28810EVM-003 Calculations.xls']Calculations!$J$8</definedName>
    <definedName function="false" hidden="false" name="Q" vbProcedure="false">'Variable Management'!$B$124</definedName>
    <definedName function="false" hidden="false" name="QgBot" vbProcedure="false">'Variable Management'!$B$176</definedName>
    <definedName function="false" hidden="false" name="QgdTop" vbProcedure="false">'Variable Management'!$B$165</definedName>
    <definedName function="false" hidden="false" name="QgsTop" vbProcedure="false">'Variable Management'!$B$166</definedName>
    <definedName function="false" hidden="false" name="QgTop" vbProcedure="false">'Variable Management'!$B$164</definedName>
    <definedName function="false" hidden="false" name="QrrBot" vbProcedure="false">'Variable Management'!$B$179</definedName>
    <definedName function="false" hidden="false" name="QrrSky" vbProcedure="false">'Variable Management'!$B$184</definedName>
    <definedName function="false" hidden="false" name="Rcea1" vbProcedure="false">'Variable Management'!$B$109</definedName>
    <definedName function="false" hidden="false" name="Rcea1_u" vbProcedure="false">'Variable Management'!$B$116</definedName>
    <definedName function="false" hidden="false" name="Rcea2" vbProcedure="false">'Variable Management'!$B$112</definedName>
    <definedName function="false" hidden="false" name="Rcea2_u" vbProcedure="false">'Variable Management'!$B$119</definedName>
    <definedName function="false" hidden="false" name="RCinEsr" vbProcedure="false">'Variable Management'!$B$62</definedName>
    <definedName function="false" hidden="false" name="RCoutEsr" vbProcedure="false">'Variable Management'!$B$52</definedName>
    <definedName function="false" hidden="false" name="Rdcr" vbProcedure="false">'Variable Management'!$B$22</definedName>
    <definedName function="false" hidden="false" name="RdsonBot" vbProcedure="false">'Variable Management'!$B$174</definedName>
    <definedName function="false" hidden="false" name="RdsonBotTc" vbProcedure="false">'Variable Management'!$B$175</definedName>
    <definedName function="false" hidden="false" name="RdsonDRB" vbProcedure="false">'Variable Management'!$B$155</definedName>
    <definedName function="false" hidden="false" name="RdsonDRB2" vbProcedure="false">'Variable Management'!$B$156</definedName>
    <definedName function="false" hidden="false" name="RdsonDRT" vbProcedure="false">'Variable Management'!$B$152</definedName>
    <definedName function="false" hidden="false" name="RdsonDRT2" vbProcedure="false">'Variable Management'!$B$153</definedName>
    <definedName function="false" hidden="false" name="RdsonTop" vbProcedure="false">'Variable Management'!$B$162</definedName>
    <definedName function="false" hidden="false" name="RdsonTopTc" vbProcedure="false">'Variable Management'!$B$163</definedName>
    <definedName function="false" hidden="false" name="Resrmax" vbProcedure="false">'Variable Management'!$B$51</definedName>
    <definedName function="false" hidden="false" name="Rfadj" vbProcedure="false">'Variable Management'!$B$12</definedName>
    <definedName function="false" hidden="false" name="Rfb2_u" vbProcedure="false">'Variable Management'!$B$107</definedName>
    <definedName function="false" hidden="false" name="Rfets" vbProcedure="false">'Variable Management'!$B$133</definedName>
    <definedName function="false" hidden="false" name="RGateBot" vbProcedure="false">'Variable Management'!$B$177</definedName>
    <definedName function="false" hidden="false" name="RGateTop" vbProcedure="false">'Variable Management'!$B$167</definedName>
    <definedName function="false" hidden="false" name="Rh" vbProcedure="false">'Variable Management'!$B$92</definedName>
    <definedName function="false" hidden="false" name="Rl" vbProcedure="false">'Variable Management'!$B$93</definedName>
    <definedName function="false" hidden="false" name="Ro" vbProcedure="false">'Variable Management'!$B$130</definedName>
    <definedName function="false" hidden="false" name="Ron" vbProcedure="false">['file:///D:/thegartyuser/National/TI/LED/TPS92660_Design_Tool.xlsx']'LED Driver'!$C$6</definedName>
    <definedName function="false" hidden="false" name="Rotp" vbProcedure="false">'Variable Management'!$B$93</definedName>
    <definedName function="false" hidden="false" name="Rotpideal" vbProcedure="false">'Variable Management'!$B$93</definedName>
    <definedName function="false" hidden="false" name="Rotp_exact" vbProcedure="false">'Variable Management'!$B$93</definedName>
    <definedName function="false" hidden="false" name="Rotp_ideal" vbProcedure="false">'Variable Management'!$B$93</definedName>
    <definedName function="false" hidden="false" name="Rpg" vbProcedure="false">'Variable Management'!$B$90</definedName>
    <definedName function="false" hidden="false" name="Rs" vbProcedure="false">'Variable Management'!$B$41</definedName>
    <definedName function="false" hidden="false" name="Rsb" vbProcedure="false">'Variable Management'!$B$91</definedName>
    <definedName function="false" hidden="false" name="Rset" vbProcedure="false">'Variable Management'!$B$37</definedName>
    <definedName function="false" hidden="false" name="Rsetideal" vbProcedure="false">'Variable Management'!$B$36</definedName>
    <definedName function="false" hidden="false" name="Rsideal" vbProcedure="false">'Variable Management'!$B$40</definedName>
    <definedName function="false" hidden="false" name="Ruvlo1" vbProcedure="false">'Variable Management'!$B$76</definedName>
    <definedName function="false" hidden="false" name="Ruvlo2" vbProcedure="false">'Variable Management'!$B$77</definedName>
    <definedName function="false" hidden="false" name="R_10" vbProcedure="false">['file:///D:/thegartyuser/National/TI/LED/UCC28810EVM-003 Calculations.xls']Calculations!$D$73</definedName>
    <definedName function="false" hidden="false" name="R_2" vbProcedure="false">['file:///D:/thegartyuser/National/TI/LED/UCC28810EVM-003 Calculations.xls']Calculations!$D$68</definedName>
    <definedName function="false" hidden="false" name="R_20" vbProcedure="false">['file:///D:/thegartyuser/National/TI/LED/UCC28810EVM-003 Calculations.xls']'User Inputs'!$F$12</definedName>
    <definedName function="false" hidden="false" name="R_21" vbProcedure="false">['file:///D:/thegartyuser/National/TI/LED/UCC28810EVM-003 Calculations.xls']'User Inputs'!$F$13</definedName>
    <definedName function="false" hidden="false" name="R_39" vbProcedure="false">['file:///D:/thegartyuser/National/TI/LED/UCC28810EVM-003 Calculations.xls']Calculations!$J$48</definedName>
    <definedName function="false" hidden="false" name="R_9" vbProcedure="false">['file:///D:/thegartyuser/National/TI/LED/UCC28810EVM-003 Calculations.xls']Calculations!$D$69</definedName>
    <definedName function="false" hidden="false" name="R_led" vbProcedure="false">['file:///D:/thegartyuser/National/TI/LED/UCC28810EVM-003 Calculations.xls']'User Inputs'!$B$14</definedName>
    <definedName function="false" hidden="false" name="SCHEM1" vbProcedure="false">#ref!</definedName>
    <definedName function="false" hidden="false" name="SCHEM2" vbProcedure="false">#ref!</definedName>
    <definedName function="false" hidden="false" name="Ta" vbProcedure="false">'Variable Management'!$B$144</definedName>
    <definedName function="false" hidden="false" name="TBK" vbProcedure="false">[2]inputs!#ref!</definedName>
    <definedName function="false" hidden="false" name="tdead" vbProcedure="false">['file:///D:/thegartyuser/National/TI/LED/UCC28810EVM-003 Calculations.xls']'User Inputs'!$B$29</definedName>
    <definedName function="false" hidden="false" name="Tf" vbProcedure="false">'Variable Management'!$B$191</definedName>
    <definedName function="false" hidden="false" name="ThetaCa" vbProcedure="false">'Variable Management'!$B$147</definedName>
    <definedName function="false" hidden="false" name="ThetaJaBot" vbProcedure="false">'Variable Management'!$B$181</definedName>
    <definedName function="false" hidden="false" name="ThetaJaCtrl" vbProcedure="false">'Variable Management'!$B$187</definedName>
    <definedName function="false" hidden="false" name="ThetaJaTop" vbProcedure="false">'Variable Management'!$B$172</definedName>
    <definedName function="false" hidden="false" name="tholdup" vbProcedure="false">['file:///D:/thegartyuser/National/TI/LED/UCC28810EVM-003 Calculations.xls']Calculations!$D$36</definedName>
    <definedName function="false" hidden="false" name="TL" vbProcedure="false">'Variable Management'!$B$28</definedName>
    <definedName function="false" hidden="false" name="Totp" vbProcedure="false">'Variable Management'!$B$13</definedName>
    <definedName function="false" hidden="false" name="Tr" vbProcedure="false">'Variable Management'!$B$190</definedName>
    <definedName function="false" hidden="false" name="TrrBot" vbProcedure="false">'Variable Management'!$B$180</definedName>
    <definedName function="false" hidden="false" name="Tss" vbProcedure="false">'Variable Management'!$B$67</definedName>
    <definedName function="false" hidden="false" name="VADET" vbProcedure="false">[2]inputs!#ref!</definedName>
    <definedName function="false" hidden="false" name="Vboost_min" vbProcedure="false">[1]calculations!#ref!</definedName>
    <definedName function="false" hidden="false" name="Vdd" vbProcedure="false">'Variable Management'!$B$150</definedName>
    <definedName function="false" hidden="false" name="Vdrop" vbProcedure="false">[1]calculations!#ref!</definedName>
    <definedName function="false" hidden="false" name="Vf" vbProcedure="false">['file:///D:/thegartyuser/National/TI/LED/UCC28810EVM-003 Calculations.xls']Calculations!$Q$47</definedName>
    <definedName function="false" hidden="false" name="VfdSky" vbProcedure="false">'Variable Management'!$B$183</definedName>
    <definedName function="false" hidden="false" name="VfLED_max" vbProcedure="false">['file:///D:/thegartyuser/National/TI/LED/UCC28810EVM-003 Calculations.xls']'User Inputs'!$B$10</definedName>
    <definedName function="false" hidden="false" name="VfLED_min" vbProcedure="false">['file:///D:/thegartyuser/National/TI/LED/UCC28810EVM-003 Calculations.xls']'User Inputs'!$B$12</definedName>
    <definedName function="false" hidden="false" name="VfLED_nom" vbProcedure="false">['file:///D:/thegartyuser/National/TI/LED/UCC28810EVM-003 Calculations.xls']'User Inputs'!$B$11</definedName>
    <definedName function="false" hidden="false" name="Vin" vbProcedure="false">'Variable Management'!$B$7</definedName>
    <definedName function="false" hidden="false" name="VINmax_Buck" vbProcedure="false">['file:///D:/thegartyuser/National/TI/LED/UCC28810EVM-003 Calculations.xls']Calculations!$K$4</definedName>
    <definedName function="false" hidden="false" name="VINmin_Buck" vbProcedure="false">['file:///D:/thegartyuser/National/TI/LED/UCC28810EVM-003 Calculations.xls']Calculations!$I$4</definedName>
    <definedName function="false" hidden="false" name="Vinripple1" vbProcedure="false">'Variable Management'!$B$57</definedName>
    <definedName function="false" hidden="false" name="Vinripple2" vbProcedure="false">'Variable Management'!$B$63</definedName>
    <definedName function="false" hidden="false" name="VINuvlo_off" vbProcedure="false">'Variable Management'!$B$75</definedName>
    <definedName function="false" hidden="false" name="VINuvlo_on" vbProcedure="false">'Variable Management'!$B$74</definedName>
    <definedName function="false" hidden="false" name="VIN_max" vbProcedure="false">['file:///D:/thegartyuser/National/TI/LED/UCC28810EVM-003 Calculations.xls']'User Inputs'!$B$6</definedName>
    <definedName function="false" hidden="false" name="VIN_min" vbProcedure="false">['file:///D:/thegartyuser/National/TI/LED/UCC28810EVM-003 Calculations.xls']'User Inputs'!$B$5</definedName>
    <definedName function="false" hidden="false" name="VIN_TYP" vbProcedure="false">['file:///D:/thegartyuser/National/TI/LED/TPS92660_Design_Tool.xlsx']Inputs!$H$6</definedName>
    <definedName function="false" hidden="false" name="Vout" vbProcedure="false">'Variable Management'!$B$8</definedName>
    <definedName function="false" hidden="false" name="Vout_boost" vbProcedure="false">['file:///D:/thegartyuser/National/TI/LED/UCC28810EVM-003 Calculations.xls']Calculations!$E$6</definedName>
    <definedName function="false" hidden="false" name="VOUT_boost_min" vbProcedure="false">['file:///D:/thegartyuser/National/TI/LED/UCC28810EVM-003 Calculations.xls']'User Inputs'!$B$22</definedName>
    <definedName function="false" hidden="false" name="Vout_max" vbProcedure="false">['file:///D:/thegartyuser/National/TI/LED/UCC28810EVM-003 Calculations.xls']Calculations!$K$6</definedName>
    <definedName function="false" hidden="false" name="Vout_min" vbProcedure="false">['file:///D:/thegartyuser/National/TI/LED/UCC28810EVM-003 Calculations.xls']Calculations!$I$6</definedName>
    <definedName function="false" hidden="false" name="Vout_nom" vbProcedure="false">['file:///D:/thegartyuser/National/TI/LED/UCC28810EVM-003 Calculations.xls']Calculations!$J$6</definedName>
    <definedName function="false" hidden="false" name="VOUT_TYP" vbProcedure="false">['file:///D:/thegartyuser/National/TI/LED/TPS92660_Design_Tool.xlsx']Inputs!$H$8</definedName>
    <definedName function="false" hidden="false" name="VOVP" vbProcedure="false">[2]inputs!#ref!</definedName>
    <definedName function="false" hidden="false" name="Vramp" vbProcedure="false">'Variable Management'!$B$108</definedName>
    <definedName function="false" hidden="false" name="Vref" vbProcedure="false">'Variable Management'!$B$11</definedName>
    <definedName function="false" hidden="false" name="Vripple1" vbProcedure="false">'Variable Management'!$B$25</definedName>
    <definedName function="false" hidden="false" name="Vripple2" vbProcedure="false">'Variable Management'!$B$53</definedName>
    <definedName function="false" hidden="false" name="VRMS_MAX" vbProcedure="false">['file:///D:/thegartyuser/National/TI/LED/TPS92660_Design_Tool.xlsx']Inputs!$I$6</definedName>
    <definedName function="false" hidden="false" name="VRMS_MIN" vbProcedure="false">['file:///D:/thegartyuser/National/TI/LED/TPS92660_Design_Tool.xlsx']Inputs!$G$6</definedName>
    <definedName function="false" hidden="false" name="VsdBot" vbProcedure="false">'Variable Management'!$B$178</definedName>
    <definedName function="false" hidden="false" name="VsdTop" vbProcedure="false">'Variable Management'!$B$171</definedName>
    <definedName function="false" hidden="false" name="VspTop" vbProcedure="false">'Variable Management'!$B$170</definedName>
    <definedName function="false" hidden="false" name="VthTop" vbProcedure="false">'Variable Management'!$B$169</definedName>
    <definedName function="false" hidden="false" name="Vuvlo_hys" vbProcedure="false">'Variable Management'!$B$85</definedName>
    <definedName function="false" hidden="false" name="Vuvlo_off" vbProcedure="false">'Variable Management'!$B$84</definedName>
    <definedName function="false" hidden="false" name="Vuvlo_on" vbProcedure="false">'Variable Management'!$B$83</definedName>
    <definedName function="false" hidden="false" name="_Don1" vbProcedure="false">'Variable Management'!$B$18</definedName>
    <definedName function="false" hidden="false" name="_Don2" vbProcedure="false">'Variable Management'!$B$23</definedName>
    <definedName function="false" hidden="false" name="_Ren1" vbProcedure="false">'Variable Management'!$B$73</definedName>
    <definedName function="false" hidden="false" name="_Ren2" vbProcedure="false">'variable management'!#ref!</definedName>
    <definedName function="false" hidden="false" name="_Rfb1" vbProcedure="false">'Variable Management'!$B$105</definedName>
    <definedName function="false" hidden="false" name="_Rfb2" vbProcedure="false">'Variable Management'!$B$106</definedName>
    <definedName function="false" hidden="false" name="_Rs1" vbProcedure="false">'Variable Management'!$B$44</definedName>
    <definedName function="false" hidden="false" name="_Rs2" vbProcedure="false">'Variable Management'!$B$43</definedName>
    <definedName function="false" hidden="false" name="_Rs3" vbProcedure="false">'Variable Management'!$B$42</definedName>
    <definedName function="false" hidden="false" localSheetId="0" name="_xlnm.Print_Area" vbProcedure="false">'Design Regulator'!$A$1:$Q$105</definedName>
    <definedName function="false" hidden="false" localSheetId="1" name="_xlnm.Print_Area" vbProcedure="false">'BOM &amp; Schematic'!$A$1:$J$75</definedName>
    <definedName function="true" hidden="false" name="Module3.OpenLM27403ProductFolder" vbProcedure="true"/>
  </definedNames>
  <calcPr iterateCount="100" refMode="A1" iterate="false" iterateDelta="0.0001"/>
</workbook>
</file>

<file path=xl/comments1.xml><?xml version="1.0" encoding="utf-8"?>
<comments xmlns="http://schemas.openxmlformats.org/spreadsheetml/2006/main" xmlns:xdr="http://schemas.openxmlformats.org/drawingml/2006/spreadsheetDrawing">
  <authors>
    <author/>
  </authors>
  <commentList>
    <comment ref="E6" authorId="0">
      <text>
        <r>
          <rPr>
            <b val="true"/>
            <u val="single"/>
            <sz val="9"/>
            <color rgb="FF000000"/>
            <rFont val="Tahoma"/>
            <family val="2"/>
            <charset val="1"/>
          </rPr>
          <t xml:space="preserve">Nominal Input Voltage</t>
        </r>
        <r>
          <rPr>
            <b val="true"/>
            <sz val="9"/>
            <color rgb="FF000000"/>
            <rFont val="Tahoma"/>
            <family val="2"/>
            <charset val="1"/>
          </rPr>
          <t xml:space="preserve">:
</t>
        </r>
        <r>
          <rPr>
            <sz val="9"/>
            <color rgb="FF000000"/>
            <rFont val="Tahoma"/>
            <family val="2"/>
            <charset val="1"/>
          </rPr>
          <t xml:space="preserve">Enter the nominal input voltage.
The LM27403 input operating voltage range is 3.0V to 20V.
</t>
        </r>
        <r>
          <rPr>
            <b val="true"/>
            <sz val="9"/>
            <color rgb="FF000000"/>
            <rFont val="Tahoma"/>
            <family val="2"/>
            <charset val="1"/>
          </rPr>
          <t xml:space="preserve">The text in this cell is red if:
</t>
        </r>
        <r>
          <rPr>
            <sz val="9"/>
            <color rgb="FF000000"/>
            <rFont val="Tahoma"/>
            <family val="2"/>
            <charset val="1"/>
          </rPr>
          <t xml:space="preserve">-The input voltage is above </t>
        </r>
        <r>
          <rPr>
            <b val="true"/>
            <sz val="9"/>
            <color rgb="FFFF0000"/>
            <rFont val="Tahoma"/>
            <family val="2"/>
            <charset val="1"/>
          </rPr>
          <t xml:space="preserve">20V
</t>
        </r>
        <r>
          <rPr>
            <sz val="9"/>
            <color rgb="FF000000"/>
            <rFont val="Tahoma"/>
            <family val="2"/>
            <charset val="1"/>
          </rPr>
          <t xml:space="preserve">-The input voltage is below </t>
        </r>
        <r>
          <rPr>
            <b val="true"/>
            <sz val="9"/>
            <color rgb="FFFF0000"/>
            <rFont val="Tahoma"/>
            <family val="2"/>
            <charset val="1"/>
          </rPr>
          <t xml:space="preserve">3.0V</t>
        </r>
      </text>
    </comment>
    <comment ref="E7" authorId="0">
      <text>
        <r>
          <rPr>
            <b val="true"/>
            <u val="single"/>
            <sz val="9"/>
            <color rgb="FF000000"/>
            <rFont val="Tahoma"/>
            <family val="2"/>
            <charset val="1"/>
          </rPr>
          <t xml:space="preserve">Output Voltage</t>
        </r>
        <r>
          <rPr>
            <b val="true"/>
            <sz val="9"/>
            <color rgb="FF000000"/>
            <rFont val="Tahoma"/>
            <family val="2"/>
            <charset val="1"/>
          </rPr>
          <t xml:space="preserve">:
</t>
        </r>
        <r>
          <rPr>
            <sz val="9"/>
            <color rgb="FF000000"/>
            <rFont val="Tahoma"/>
            <family val="2"/>
            <charset val="1"/>
          </rPr>
          <t xml:space="preserve">Enter the desired output voltage.
</t>
        </r>
        <r>
          <rPr>
            <b val="true"/>
            <sz val="9"/>
            <color rgb="FF000000"/>
            <rFont val="Tahoma"/>
            <family val="2"/>
            <charset val="1"/>
          </rPr>
          <t xml:space="preserve">
</t>
        </r>
        <r>
          <rPr>
            <sz val="9"/>
            <color rgb="FF000000"/>
            <rFont val="Tahoma"/>
            <family val="2"/>
            <charset val="1"/>
          </rPr>
          <t xml:space="preserve">The text in this cell is red if:
</t>
        </r>
        <r>
          <rPr>
            <b val="true"/>
            <sz val="9"/>
            <color rgb="FFFF0000"/>
            <rFont val="Tahoma"/>
            <family val="2"/>
            <charset val="1"/>
          </rPr>
          <t xml:space="preserve">-The output voltage is above the input voltage 
-The output voltage is below 0.6V</t>
        </r>
      </text>
    </comment>
    <comment ref="E9" authorId="0">
      <text>
        <r>
          <rPr>
            <b val="true"/>
            <u val="single"/>
            <sz val="9"/>
            <color rgb="FF000000"/>
            <rFont val="Tahoma"/>
            <family val="2"/>
            <charset val="1"/>
          </rPr>
          <t xml:space="preserve">Operating Frequency</t>
        </r>
        <r>
          <rPr>
            <b val="true"/>
            <sz val="9"/>
            <color rgb="FF000000"/>
            <rFont val="Tahoma"/>
            <family val="2"/>
            <charset val="1"/>
          </rPr>
          <t xml:space="preserve"> (set by R</t>
        </r>
        <r>
          <rPr>
            <b val="true"/>
            <vertAlign val="subscript"/>
            <sz val="9"/>
            <color rgb="FF000000"/>
            <rFont val="Tahoma"/>
            <family val="2"/>
            <charset val="1"/>
          </rPr>
          <t xml:space="preserve">FADJ</t>
        </r>
        <r>
          <rPr>
            <b val="true"/>
            <sz val="9"/>
            <color rgb="FF000000"/>
            <rFont val="Tahoma"/>
            <family val="2"/>
            <charset val="1"/>
          </rPr>
          <t xml:space="preserve">):
</t>
        </r>
        <r>
          <rPr>
            <sz val="9"/>
            <color rgb="FF000000"/>
            <rFont val="Tahoma"/>
            <family val="2"/>
            <charset val="1"/>
          </rPr>
          <t xml:space="preserve">This cell defines the free running frequency set by the R</t>
        </r>
        <r>
          <rPr>
            <vertAlign val="subscript"/>
            <sz val="9"/>
            <color rgb="FF000000"/>
            <rFont val="Tahoma"/>
            <family val="2"/>
            <charset val="1"/>
          </rPr>
          <t xml:space="preserve">FADJ</t>
        </r>
        <r>
          <rPr>
            <sz val="9"/>
            <color rgb="FF000000"/>
            <rFont val="Tahoma"/>
            <family val="2"/>
            <charset val="1"/>
          </rPr>
          <t xml:space="preserve"> resistor. 
</t>
        </r>
        <r>
          <rPr>
            <b val="true"/>
            <sz val="9"/>
            <color rgb="FF000000"/>
            <rFont val="Tahoma"/>
            <family val="2"/>
            <charset val="1"/>
          </rPr>
          <t xml:space="preserve">The text in this cell is blue if:
</t>
        </r>
        <r>
          <rPr>
            <b val="true"/>
            <sz val="9"/>
            <color rgb="FF0000FF"/>
            <rFont val="Tahoma"/>
            <family val="2"/>
            <charset val="1"/>
          </rPr>
          <t xml:space="preserve">-The frequency set by R</t>
        </r>
        <r>
          <rPr>
            <b val="true"/>
            <vertAlign val="subscript"/>
            <sz val="9"/>
            <color rgb="FF0000FF"/>
            <rFont val="Tahoma"/>
            <family val="2"/>
            <charset val="1"/>
          </rPr>
          <t xml:space="preserve">FADJ</t>
        </r>
        <r>
          <rPr>
            <b val="true"/>
            <sz val="9"/>
            <color rgb="FF0000FF"/>
            <rFont val="Tahoma"/>
            <family val="2"/>
            <charset val="1"/>
          </rPr>
          <t xml:space="preserve"> is greater than the SYNC frequency.
</t>
        </r>
        <r>
          <rPr>
            <sz val="9"/>
            <color rgb="FF000000"/>
            <rFont val="Tahoma"/>
            <family val="2"/>
            <charset val="1"/>
          </rPr>
          <t xml:space="preserve">
</t>
        </r>
        <r>
          <rPr>
            <b val="true"/>
            <sz val="9"/>
            <color rgb="FF000000"/>
            <rFont val="Tahoma"/>
            <family val="2"/>
            <charset val="1"/>
          </rPr>
          <t xml:space="preserve">The text in this cell is red if:
</t>
        </r>
        <r>
          <rPr>
            <b val="true"/>
            <sz val="9"/>
            <color rgb="FFFF0000"/>
            <rFont val="Tahoma"/>
            <family val="2"/>
            <charset val="1"/>
          </rPr>
          <t xml:space="preserve">-The frequency is below 200 kHz
-The frequency is above 1.2 MHz
</t>
        </r>
      </text>
    </comment>
    <comment ref="E10" authorId="0">
      <text>
        <r>
          <rPr>
            <b val="true"/>
            <u val="single"/>
            <sz val="9"/>
            <color rgb="FF000000"/>
            <rFont val="Tahoma"/>
            <family val="2"/>
            <charset val="1"/>
          </rPr>
          <t xml:space="preserve">Operating SYNC Frequency</t>
        </r>
        <r>
          <rPr>
            <b val="true"/>
            <sz val="9"/>
            <color rgb="FF000000"/>
            <rFont val="Tahoma"/>
            <family val="2"/>
            <charset val="1"/>
          </rPr>
          <t xml:space="preserve">:
</t>
        </r>
        <r>
          <rPr>
            <sz val="9"/>
            <color rgb="FF000000"/>
            <rFont val="Tahoma"/>
            <family val="2"/>
            <charset val="1"/>
          </rPr>
          <t xml:space="preserve">This frequency sets the switching frequency the LM27403 should synchronize to. If SYNC is not used, the SYNC pin should be grounded and a default of 200kHz should be inserted here.
</t>
        </r>
        <r>
          <rPr>
            <b val="true"/>
            <sz val="9"/>
            <color rgb="FF000000"/>
            <rFont val="Tahoma"/>
            <family val="2"/>
            <charset val="1"/>
          </rPr>
          <t xml:space="preserve">
The text in this cell is blue if 
</t>
        </r>
        <r>
          <rPr>
            <b val="true"/>
            <sz val="9"/>
            <color rgb="FF0000FF"/>
            <rFont val="Tahoma"/>
            <family val="2"/>
            <charset val="1"/>
          </rPr>
          <t xml:space="preserve">-The SYNC frequency is greater than the frequency set by R</t>
        </r>
        <r>
          <rPr>
            <b val="true"/>
            <vertAlign val="subscript"/>
            <sz val="9"/>
            <color rgb="FF0000FF"/>
            <rFont val="Tahoma"/>
            <family val="2"/>
            <charset val="1"/>
          </rPr>
          <t xml:space="preserve">FADJ</t>
        </r>
        <r>
          <rPr>
            <b val="true"/>
            <sz val="9"/>
            <color rgb="FF0000FF"/>
            <rFont val="Tahoma"/>
            <family val="2"/>
            <charset val="1"/>
          </rPr>
          <t xml:space="preserve">.
</t>
        </r>
        <r>
          <rPr>
            <b val="true"/>
            <sz val="9"/>
            <color rgb="FF000000"/>
            <rFont val="Tahoma"/>
            <family val="2"/>
            <charset val="1"/>
          </rPr>
          <t xml:space="preserve">
The text in this cell is red if:
</t>
        </r>
        <r>
          <rPr>
            <b val="true"/>
            <sz val="9"/>
            <color rgb="FFFF0000"/>
            <rFont val="Tahoma"/>
            <family val="2"/>
            <charset val="1"/>
          </rPr>
          <t xml:space="preserve">- The frequency is below 200 kHz;
- The frequency is above 1.2 MHz;
- The frequency exceeds the programmed frequency (set by the R</t>
        </r>
        <r>
          <rPr>
            <b val="true"/>
            <vertAlign val="subscript"/>
            <sz val="9"/>
            <color rgb="FFFF0000"/>
            <rFont val="Tahoma"/>
            <family val="2"/>
            <charset val="1"/>
          </rPr>
          <t xml:space="preserve">FADJ</t>
        </r>
        <r>
          <rPr>
            <b val="true"/>
            <sz val="9"/>
            <color rgb="FFFF0000"/>
            <rFont val="Tahoma"/>
            <family val="2"/>
            <charset val="1"/>
          </rPr>
          <t xml:space="preserve"> resistor) by 400 kHz.</t>
        </r>
      </text>
    </comment>
    <comment ref="E15" authorId="0">
      <text>
        <r>
          <rPr>
            <b val="true"/>
            <sz val="9"/>
            <color rgb="FF000000"/>
            <rFont val="Tahoma"/>
            <family val="2"/>
            <charset val="1"/>
          </rPr>
          <t xml:space="preserve">L</t>
        </r>
        <r>
          <rPr>
            <b val="true"/>
            <vertAlign val="subscript"/>
            <sz val="9"/>
            <color rgb="FF000000"/>
            <rFont val="Tahoma"/>
            <family val="2"/>
            <charset val="1"/>
          </rPr>
          <t xml:space="preserve">OUT</t>
        </r>
        <r>
          <rPr>
            <b val="true"/>
            <sz val="9"/>
            <color rgb="FF000000"/>
            <rFont val="Tahoma"/>
            <family val="2"/>
            <charset val="1"/>
          </rPr>
          <t xml:space="preserve">:
</t>
        </r>
        <r>
          <rPr>
            <sz val="9"/>
            <color rgb="FF000000"/>
            <rFont val="Tahoma"/>
            <family val="2"/>
            <charset val="1"/>
          </rPr>
          <t xml:space="preserve">Enter the output filter inductance here. Target inductor (peak-to-peak) ripple currrent is 30-40% of the DC full load current.</t>
        </r>
      </text>
    </comment>
    <comment ref="E16" authorId="0">
      <text>
        <r>
          <rPr>
            <b val="true"/>
            <u val="single"/>
            <sz val="9"/>
            <color rgb="FF000000"/>
            <rFont val="Tahoma"/>
            <family val="2"/>
            <charset val="1"/>
          </rPr>
          <t xml:space="preserve">Inductor DCR</t>
        </r>
        <r>
          <rPr>
            <b val="true"/>
            <sz val="9"/>
            <color rgb="FF000000"/>
            <rFont val="Tahoma"/>
            <family val="2"/>
            <charset val="1"/>
          </rPr>
          <t xml:space="preserve">:
</t>
        </r>
        <r>
          <rPr>
            <sz val="9"/>
            <color rgb="FF000000"/>
            <rFont val="Tahoma"/>
            <family val="2"/>
            <charset val="1"/>
          </rPr>
          <t xml:space="preserve">Enter the inductor DC resistance here. This is typically specified in the inductor datasheet at 25°C copper temperature.</t>
        </r>
      </text>
    </comment>
    <comment ref="E28" authorId="0">
      <text>
        <r>
          <rPr>
            <b val="true"/>
            <u val="single"/>
            <sz val="9"/>
            <color rgb="FF000000"/>
            <rFont val="Tahoma"/>
            <family val="2"/>
            <charset val="1"/>
          </rPr>
          <t xml:space="preserve">Output Voltage Ripple</t>
        </r>
        <r>
          <rPr>
            <b val="true"/>
            <sz val="9"/>
            <color rgb="FF000000"/>
            <rFont val="Tahoma"/>
            <family val="2"/>
            <charset val="1"/>
          </rPr>
          <t xml:space="preserve">:
</t>
        </r>
        <r>
          <rPr>
            <sz val="9"/>
            <color rgb="FF000000"/>
            <rFont val="Tahoma"/>
            <family val="2"/>
            <charset val="1"/>
          </rPr>
          <t xml:space="preserve">Enter the desired maximum peak-to-peak output voltage ripple here. This will set the ideal output capacitance value.
</t>
        </r>
        <r>
          <rPr>
            <b val="true"/>
            <sz val="9"/>
            <color rgb="FF000000"/>
            <rFont val="Tahoma"/>
            <family val="2"/>
            <charset val="1"/>
          </rPr>
          <t xml:space="preserve">
The text in this cell is red if:
</t>
        </r>
        <r>
          <rPr>
            <b val="true"/>
            <sz val="9"/>
            <color rgb="FFFF0000"/>
            <rFont val="Tahoma"/>
            <family val="2"/>
            <charset val="1"/>
          </rPr>
          <t xml:space="preserve">-The output voltage ripple is zero.</t>
        </r>
      </text>
    </comment>
    <comment ref="E30" authorId="0">
      <text>
        <r>
          <rPr>
            <b val="true"/>
            <u val="single"/>
            <sz val="9"/>
            <color rgb="FF000000"/>
            <rFont val="Tahoma"/>
            <family val="2"/>
            <charset val="1"/>
          </rPr>
          <t xml:space="preserve">Output Capacitance</t>
        </r>
        <r>
          <rPr>
            <b val="true"/>
            <sz val="9"/>
            <color rgb="FF000000"/>
            <rFont val="Tahoma"/>
            <family val="2"/>
            <charset val="1"/>
          </rPr>
          <t xml:space="preserve">:
</t>
        </r>
        <r>
          <rPr>
            <sz val="9"/>
            <color rgb="FF000000"/>
            <rFont val="Tahoma"/>
            <family val="2"/>
            <charset val="1"/>
          </rPr>
          <t xml:space="preserve">Enter the output capacitance here based on the minimum calculated result. Make sure that the nominal capacitance is appropriately derated for applied voltage, particularly with </t>
        </r>
        <r>
          <rPr>
            <sz val="9"/>
            <color rgb="FF0000FF"/>
            <rFont val="Tahoma"/>
            <family val="2"/>
            <charset val="1"/>
          </rPr>
          <t xml:space="preserve">ceramics</t>
        </r>
        <r>
          <rPr>
            <sz val="9"/>
            <color rgb="FF000000"/>
            <rFont val="Tahoma"/>
            <family val="2"/>
            <charset val="1"/>
          </rPr>
          <t xml:space="preserve">.
</t>
        </r>
        <r>
          <rPr>
            <b val="true"/>
            <sz val="9"/>
            <color rgb="FF000000"/>
            <rFont val="Tahoma"/>
            <family val="2"/>
            <charset val="1"/>
          </rPr>
          <t xml:space="preserve">The text in this cell is flagged red if:
</t>
        </r>
        <r>
          <rPr>
            <b val="true"/>
            <sz val="9"/>
            <color rgb="FFFF0000"/>
            <rFont val="Tahoma"/>
            <family val="2"/>
            <charset val="1"/>
          </rPr>
          <t xml:space="preserve">-The chosen output capacitor is smaller than the minimum ideal capacitance.</t>
        </r>
      </text>
    </comment>
    <comment ref="E32" authorId="0">
      <text>
        <r>
          <rPr>
            <b val="true"/>
            <u val="single"/>
            <sz val="9"/>
            <color rgb="FF000000"/>
            <rFont val="Tahoma"/>
            <family val="2"/>
            <charset val="1"/>
          </rPr>
          <t xml:space="preserve">Output Capacitor ESR</t>
        </r>
        <r>
          <rPr>
            <b val="true"/>
            <sz val="9"/>
            <color rgb="FF000000"/>
            <rFont val="Tahoma"/>
            <family val="2"/>
            <charset val="1"/>
          </rPr>
          <t xml:space="preserve">:
</t>
        </r>
        <r>
          <rPr>
            <sz val="9"/>
            <color rgb="FF000000"/>
            <rFont val="Tahoma"/>
            <family val="2"/>
            <charset val="1"/>
          </rPr>
          <t xml:space="preserve">Enter the output capacitor ESR here based on the maximum allowed output capacitor ESR to meet the voltage ripple specification.
</t>
        </r>
        <r>
          <rPr>
            <b val="true"/>
            <sz val="9"/>
            <color rgb="FF000000"/>
            <rFont val="Tahoma"/>
            <family val="2"/>
            <charset val="1"/>
          </rPr>
          <t xml:space="preserve">
The text in this cell will be </t>
        </r>
        <r>
          <rPr>
            <b val="true"/>
            <sz val="9"/>
            <color rgb="FFFF0000"/>
            <rFont val="Tahoma"/>
            <family val="2"/>
            <charset val="1"/>
          </rPr>
          <t xml:space="preserve">red</t>
        </r>
        <r>
          <rPr>
            <b val="true"/>
            <sz val="9"/>
            <color rgb="FF000000"/>
            <rFont val="Tahoma"/>
            <family val="2"/>
            <charset val="1"/>
          </rPr>
          <t xml:space="preserve"> if:
</t>
        </r>
        <r>
          <rPr>
            <b val="true"/>
            <sz val="9"/>
            <color rgb="FFFF0000"/>
            <rFont val="Tahoma"/>
            <family val="2"/>
            <charset val="1"/>
          </rPr>
          <t xml:space="preserve">-ESR is zero, or
-ESR exceeds maximum allowable ESR to meet the voltage ripple specification.</t>
        </r>
      </text>
    </comment>
    <comment ref="E37" authorId="0">
      <text>
        <r>
          <rPr>
            <b val="true"/>
            <u val="single"/>
            <sz val="9"/>
            <color rgb="FF000000"/>
            <rFont val="Tahoma"/>
            <family val="2"/>
            <charset val="1"/>
          </rPr>
          <t xml:space="preserve">Input Voltage Ripple</t>
        </r>
        <r>
          <rPr>
            <b val="true"/>
            <sz val="9"/>
            <color rgb="FF000000"/>
            <rFont val="Tahoma"/>
            <family val="2"/>
            <charset val="1"/>
          </rPr>
          <t xml:space="preserve">:
</t>
        </r>
        <r>
          <rPr>
            <sz val="9"/>
            <color rgb="FF000000"/>
            <rFont val="Tahoma"/>
            <family val="2"/>
            <charset val="1"/>
          </rPr>
          <t xml:space="preserve">Enter the desired maximum peak-to-peak input voltage ripple here. This will set the ideal input capacitance requirement.
</t>
        </r>
        <r>
          <rPr>
            <b val="true"/>
            <sz val="9"/>
            <color rgb="FF000000"/>
            <rFont val="Tahoma"/>
            <family val="2"/>
            <charset val="1"/>
          </rPr>
          <t xml:space="preserve">
The text in this cell is </t>
        </r>
        <r>
          <rPr>
            <b val="true"/>
            <sz val="9"/>
            <color rgb="FFFF0000"/>
            <rFont val="Tahoma"/>
            <family val="2"/>
            <charset val="1"/>
          </rPr>
          <t xml:space="preserve">red</t>
        </r>
        <r>
          <rPr>
            <b val="true"/>
            <sz val="9"/>
            <color rgb="FF000000"/>
            <rFont val="Tahoma"/>
            <family val="2"/>
            <charset val="1"/>
          </rPr>
          <t xml:space="preserve"> if:
</t>
        </r>
        <r>
          <rPr>
            <b val="true"/>
            <sz val="9"/>
            <color rgb="FFFF0000"/>
            <rFont val="Tahoma"/>
            <family val="2"/>
            <charset val="1"/>
          </rPr>
          <t xml:space="preserve">-The input voltage ripple is zero.</t>
        </r>
      </text>
    </comment>
    <comment ref="E39" authorId="0">
      <text>
        <r>
          <rPr>
            <b val="true"/>
            <u val="single"/>
            <sz val="9"/>
            <color rgb="FF000000"/>
            <rFont val="Tahoma"/>
            <family val="2"/>
            <charset val="1"/>
          </rPr>
          <t xml:space="preserve">Input Capacitance</t>
        </r>
        <r>
          <rPr>
            <b val="true"/>
            <sz val="9"/>
            <color rgb="FF000000"/>
            <rFont val="Tahoma"/>
            <family val="2"/>
            <charset val="1"/>
          </rPr>
          <t xml:space="preserve">:
</t>
        </r>
        <r>
          <rPr>
            <sz val="9"/>
            <color rgb="FF000000"/>
            <rFont val="Tahoma"/>
            <family val="2"/>
            <charset val="1"/>
          </rPr>
          <t xml:space="preserve">Enter the input capacitance here based on the minimum calculated result. Make sure that the nominal capacitance is appropriately derated for applied voltage.
</t>
        </r>
        <r>
          <rPr>
            <b val="true"/>
            <sz val="9"/>
            <color rgb="FF000000"/>
            <rFont val="Tahoma"/>
            <family val="2"/>
            <charset val="1"/>
          </rPr>
          <t xml:space="preserve">The text in this cell is flagged </t>
        </r>
        <r>
          <rPr>
            <b val="true"/>
            <sz val="9"/>
            <color rgb="FFFF0000"/>
            <rFont val="Tahoma"/>
            <family val="2"/>
            <charset val="1"/>
          </rPr>
          <t xml:space="preserve">red</t>
        </r>
        <r>
          <rPr>
            <b val="true"/>
            <sz val="9"/>
            <color rgb="FF000000"/>
            <rFont val="Tahoma"/>
            <family val="2"/>
            <charset val="1"/>
          </rPr>
          <t xml:space="preserve"> if:
</t>
        </r>
        <r>
          <rPr>
            <b val="true"/>
            <sz val="9"/>
            <color rgb="FFFF0000"/>
            <rFont val="Tahoma"/>
            <family val="2"/>
            <charset val="1"/>
          </rPr>
          <t xml:space="preserve">-The chosen input capacitor is smaller than the minimum ideal capacitance.</t>
        </r>
      </text>
    </comment>
    <comment ref="E41" authorId="0">
      <text>
        <r>
          <rPr>
            <b val="true"/>
            <u val="single"/>
            <sz val="9"/>
            <color rgb="FF000000"/>
            <rFont val="Tahoma"/>
            <family val="2"/>
            <charset val="1"/>
          </rPr>
          <t xml:space="preserve">Input Capacitor ESR</t>
        </r>
        <r>
          <rPr>
            <b val="true"/>
            <sz val="9"/>
            <color rgb="FF000000"/>
            <rFont val="Tahoma"/>
            <family val="2"/>
            <charset val="1"/>
          </rPr>
          <t xml:space="preserve">:
</t>
        </r>
        <r>
          <rPr>
            <sz val="9"/>
            <color rgb="FF000000"/>
            <rFont val="Tahoma"/>
            <family val="2"/>
            <charset val="1"/>
          </rPr>
          <t xml:space="preserve">Enter the input capacitor ESR here based on the maximum allowed input capacitor ESR to meet the ripple voltage specification.
</t>
        </r>
        <r>
          <rPr>
            <b val="true"/>
            <sz val="9"/>
            <color rgb="FF000000"/>
            <rFont val="Tahoma"/>
            <family val="2"/>
            <charset val="1"/>
          </rPr>
          <t xml:space="preserve">
The text in this cell will be </t>
        </r>
        <r>
          <rPr>
            <b val="true"/>
            <sz val="9"/>
            <color rgb="FFFF0000"/>
            <rFont val="Tahoma"/>
            <family val="2"/>
            <charset val="1"/>
          </rPr>
          <t xml:space="preserve">red</t>
        </r>
        <r>
          <rPr>
            <b val="true"/>
            <sz val="9"/>
            <color rgb="FF000000"/>
            <rFont val="Tahoma"/>
            <family val="2"/>
            <charset val="1"/>
          </rPr>
          <t xml:space="preserve"> if:
</t>
        </r>
        <r>
          <rPr>
            <b val="true"/>
            <sz val="9"/>
            <color rgb="FFFF0000"/>
            <rFont val="Tahoma"/>
            <family val="2"/>
            <charset val="1"/>
          </rPr>
          <t xml:space="preserve">-ESR is zero, or
-ESR exceeds maximum allowable ESR to meet the voltage ripple specification.
</t>
        </r>
      </text>
    </comment>
    <comment ref="E46" authorId="0">
      <text>
        <r>
          <rPr>
            <b val="true"/>
            <u val="single"/>
            <sz val="8"/>
            <color rgb="FF000000"/>
            <rFont val="Tahoma"/>
            <family val="2"/>
            <charset val="1"/>
          </rPr>
          <t xml:space="preserve">Soft-Start Time</t>
        </r>
        <r>
          <rPr>
            <b val="true"/>
            <sz val="8"/>
            <color rgb="FF000000"/>
            <rFont val="Tahoma"/>
            <family val="2"/>
            <charset val="1"/>
          </rPr>
          <t xml:space="preserve">:
</t>
        </r>
        <r>
          <rPr>
            <sz val="8"/>
            <color rgb="FF000000"/>
            <rFont val="Tahoma"/>
            <family val="2"/>
            <charset val="1"/>
          </rPr>
          <t xml:space="preserve">Enter the desired soft-start time here. The soft-start time cannot be shorter than the internal 1.28 ms soft-start timer.
</t>
        </r>
        <r>
          <rPr>
            <b val="true"/>
            <sz val="8"/>
            <color rgb="FF000000"/>
            <rFont val="Tahoma"/>
            <family val="2"/>
            <charset val="1"/>
          </rPr>
          <t xml:space="preserve">
The text in this cell will be red if:
</t>
        </r>
        <r>
          <rPr>
            <b val="true"/>
            <sz val="8"/>
            <color rgb="FFFF0000"/>
            <rFont val="Tahoma"/>
            <family val="2"/>
            <charset val="1"/>
          </rPr>
          <t xml:space="preserve">-The specified soft-start time is less than 1.28 ms.</t>
        </r>
      </text>
    </comment>
    <comment ref="E48" authorId="0">
      <text>
        <r>
          <rPr>
            <b val="true"/>
            <u val="single"/>
            <sz val="9"/>
            <color rgb="FF000000"/>
            <rFont val="Tahoma"/>
            <family val="2"/>
            <charset val="1"/>
          </rPr>
          <t xml:space="preserve">OTP Setpoint</t>
        </r>
        <r>
          <rPr>
            <b val="true"/>
            <sz val="9"/>
            <color rgb="FF000000"/>
            <rFont val="Tahoma"/>
            <family val="2"/>
            <charset val="1"/>
          </rPr>
          <t xml:space="preserve">:
</t>
        </r>
        <r>
          <rPr>
            <sz val="9"/>
            <color rgb="FF000000"/>
            <rFont val="Tahoma"/>
            <family val="2"/>
            <charset val="1"/>
          </rPr>
          <t xml:space="preserve">Enter the desired system-/board-level OTP setpoint based on the temperature sensed using the diode-connected transistor connected to the D+ and D- pins. The remote temperature sensor is typically located adjacent the inductor (to compensate for the inductor DCR variation over temperature, as required for overcurrent protection).
Note than the LM27403 has internal over-temperature protection based on its die temperature reaching 165°C (typical).
</t>
        </r>
        <r>
          <rPr>
            <b val="true"/>
            <sz val="9"/>
            <color rgb="FF0000FF"/>
            <rFont val="Tahoma"/>
            <family val="2"/>
            <charset val="1"/>
          </rPr>
          <t xml:space="preserve">
NB: Connect a </t>
        </r>
        <r>
          <rPr>
            <b val="true"/>
            <u val="single"/>
            <sz val="9"/>
            <color rgb="FF0000FF"/>
            <rFont val="Tahoma"/>
            <family val="2"/>
            <charset val="1"/>
          </rPr>
          <t xml:space="preserve">100nF ceramic capacitor</t>
        </r>
        <r>
          <rPr>
            <b val="true"/>
            <sz val="9"/>
            <color rgb="FF0000FF"/>
            <rFont val="Tahoma"/>
            <family val="2"/>
            <charset val="1"/>
          </rPr>
          <t xml:space="preserve"> in parallel with the appropriate OTP resistance to configure the OTP setpoint.
</t>
        </r>
        <r>
          <rPr>
            <b val="true"/>
            <i val="true"/>
            <sz val="9"/>
            <color rgb="FF0000FF"/>
            <rFont val="Tahoma"/>
            <family val="2"/>
            <charset val="1"/>
          </rPr>
          <t xml:space="preserve">If a system-level OTP feature is not required, tie the OTP pin to GND.
</t>
        </r>
        <r>
          <rPr>
            <sz val="9"/>
            <color rgb="FF000000"/>
            <rFont val="Tahoma"/>
            <family val="2"/>
            <charset val="1"/>
          </rPr>
          <t xml:space="preserve">
The text in this cell will be red if:
</t>
        </r>
        <r>
          <rPr>
            <b val="true"/>
            <sz val="9"/>
            <color rgb="FFFF0000"/>
            <rFont val="Tahoma"/>
            <family val="2"/>
            <charset val="1"/>
          </rPr>
          <t xml:space="preserve">-The specified OTP temperature exceeds 150°C.</t>
        </r>
      </text>
    </comment>
    <comment ref="E50" authorId="0">
      <text>
        <r>
          <rPr>
            <b val="true"/>
            <u val="single"/>
            <sz val="9"/>
            <color rgb="FF000000"/>
            <rFont val="Tahoma"/>
            <family val="2"/>
            <charset val="1"/>
          </rPr>
          <t xml:space="preserve">Nominal UVLO Turn-On Input Voltage</t>
        </r>
        <r>
          <rPr>
            <b val="true"/>
            <sz val="9"/>
            <color rgb="FF000000"/>
            <rFont val="Tahoma"/>
            <family val="2"/>
            <charset val="1"/>
          </rPr>
          <t xml:space="preserve">:
</t>
        </r>
        <r>
          <rPr>
            <sz val="9"/>
            <color rgb="FF000000"/>
            <rFont val="Tahoma"/>
            <family val="2"/>
            <charset val="1"/>
          </rPr>
          <t xml:space="preserve">Enter the nominal input voltage at turn on.
The LM27403 input operating voltage range is 3.0V to 20V.
</t>
        </r>
        <r>
          <rPr>
            <b val="true"/>
            <sz val="9"/>
            <color rgb="FF000000"/>
            <rFont val="Tahoma"/>
            <family val="2"/>
            <charset val="1"/>
          </rPr>
          <t xml:space="preserve">The text in this cell is red if:
</t>
        </r>
        <r>
          <rPr>
            <sz val="9"/>
            <color rgb="FF000000"/>
            <rFont val="Tahoma"/>
            <family val="2"/>
            <charset val="1"/>
          </rPr>
          <t xml:space="preserve">-The input voltage is above </t>
        </r>
        <r>
          <rPr>
            <b val="true"/>
            <sz val="9"/>
            <color rgb="FFFF0000"/>
            <rFont val="Tahoma"/>
            <family val="2"/>
            <charset val="1"/>
          </rPr>
          <t xml:space="preserve">19V
</t>
        </r>
        <r>
          <rPr>
            <sz val="9"/>
            <color rgb="FF000000"/>
            <rFont val="Tahoma"/>
            <family val="2"/>
            <charset val="1"/>
          </rPr>
          <t xml:space="preserve">-The input voltage is below </t>
        </r>
        <r>
          <rPr>
            <b val="true"/>
            <sz val="9"/>
            <color rgb="FFFF0000"/>
            <rFont val="Tahoma"/>
            <family val="2"/>
            <charset val="1"/>
          </rPr>
          <t xml:space="preserve">2.7V</t>
        </r>
      </text>
    </comment>
    <comment ref="E51" authorId="0">
      <text>
        <r>
          <rPr>
            <b val="true"/>
            <u val="single"/>
            <sz val="9"/>
            <color rgb="FF000000"/>
            <rFont val="Tahoma"/>
            <family val="2"/>
            <charset val="1"/>
          </rPr>
          <t xml:space="preserve">Nominal UVLO Turn-Off Input Voltage</t>
        </r>
        <r>
          <rPr>
            <b val="true"/>
            <sz val="9"/>
            <color rgb="FF000000"/>
            <rFont val="Tahoma"/>
            <family val="2"/>
            <charset val="1"/>
          </rPr>
          <t xml:space="preserve">:
</t>
        </r>
        <r>
          <rPr>
            <sz val="9"/>
            <color rgb="FF000000"/>
            <rFont val="Tahoma"/>
            <family val="2"/>
            <charset val="1"/>
          </rPr>
          <t xml:space="preserve">Enter the nominal input voltage at turn off.
The LM27403 input operating voltage range is 3.0V to 20V.
</t>
        </r>
        <r>
          <rPr>
            <b val="true"/>
            <sz val="9"/>
            <color rgb="FF000000"/>
            <rFont val="Tahoma"/>
            <family val="2"/>
            <charset val="1"/>
          </rPr>
          <t xml:space="preserve">
The text in this cell is red if:
</t>
        </r>
        <r>
          <rPr>
            <sz val="9"/>
            <color rgb="FF000000"/>
            <rFont val="Tahoma"/>
            <family val="2"/>
            <charset val="1"/>
          </rPr>
          <t xml:space="preserve">-The input voltage is above </t>
        </r>
        <r>
          <rPr>
            <b val="true"/>
            <sz val="9"/>
            <color rgb="FFFF0000"/>
            <rFont val="Tahoma"/>
            <family val="2"/>
            <charset val="1"/>
          </rPr>
          <t xml:space="preserve">18V
</t>
        </r>
        <r>
          <rPr>
            <sz val="9"/>
            <color rgb="FF000000"/>
            <rFont val="Tahoma"/>
            <family val="2"/>
            <charset val="1"/>
          </rPr>
          <t xml:space="preserve">-The input voltage is below </t>
        </r>
        <r>
          <rPr>
            <b val="true"/>
            <sz val="9"/>
            <color rgb="FFFF0000"/>
            <rFont val="Tahoma"/>
            <family val="2"/>
            <charset val="1"/>
          </rPr>
          <t xml:space="preserve">2.4V</t>
        </r>
      </text>
    </comment>
    <comment ref="E59" authorId="0">
      <text>
        <r>
          <rPr>
            <b val="true"/>
            <u val="single"/>
            <sz val="9"/>
            <color rgb="FF000000"/>
            <rFont val="Tahoma"/>
            <family val="2"/>
            <charset val="1"/>
          </rPr>
          <t xml:space="preserve">Crossover Frequency</t>
        </r>
        <r>
          <rPr>
            <b val="true"/>
            <sz val="9"/>
            <color rgb="FF000000"/>
            <rFont val="Tahoma"/>
            <family val="2"/>
            <charset val="1"/>
          </rPr>
          <t xml:space="preserve">:
</t>
        </r>
        <r>
          <rPr>
            <sz val="9"/>
            <color rgb="FF000000"/>
            <rFont val="Tahoma"/>
            <family val="2"/>
            <charset val="1"/>
          </rPr>
          <t xml:space="preserve">Enter the desired open loop crossover frequency (usually between 10% and 20% of switching frequency). The LM27403 design tool determines feedback compensation components based on this target performance metric.</t>
        </r>
      </text>
    </comment>
    <comment ref="E61" authorId="0">
      <text>
        <r>
          <rPr>
            <b val="true"/>
            <sz val="9"/>
            <color rgb="FF000000"/>
            <rFont val="Tahoma"/>
            <family val="2"/>
            <charset val="1"/>
          </rPr>
          <t xml:space="preserve">R</t>
        </r>
        <r>
          <rPr>
            <b val="true"/>
            <vertAlign val="subscript"/>
            <sz val="9"/>
            <color rgb="FF000000"/>
            <rFont val="Tahoma"/>
            <family val="2"/>
            <charset val="1"/>
          </rPr>
          <t xml:space="preserve">FB1</t>
        </r>
        <r>
          <rPr>
            <b val="true"/>
            <sz val="9"/>
            <color rgb="FF000000"/>
            <rFont val="Tahoma"/>
            <family val="2"/>
            <charset val="1"/>
          </rPr>
          <t xml:space="preserve">:
</t>
        </r>
        <r>
          <rPr>
            <sz val="9"/>
            <color rgb="FF000000"/>
            <rFont val="Tahoma"/>
            <family val="2"/>
            <charset val="1"/>
          </rPr>
          <t xml:space="preserve">This is the upper feedback resistor that sets the output voltage. A recommended starting value of </t>
        </r>
        <r>
          <rPr>
            <b val="true"/>
            <sz val="9"/>
            <color rgb="FF000000"/>
            <rFont val="Tahoma"/>
            <family val="2"/>
            <charset val="1"/>
          </rPr>
          <t xml:space="preserve">R</t>
        </r>
        <r>
          <rPr>
            <b val="true"/>
            <vertAlign val="subscript"/>
            <sz val="9"/>
            <color rgb="FF000000"/>
            <rFont val="Tahoma"/>
            <family val="2"/>
            <charset val="1"/>
          </rPr>
          <t xml:space="preserve">FB1</t>
        </r>
        <r>
          <rPr>
            <sz val="9"/>
            <color rgb="FF000000"/>
            <rFont val="Tahoma"/>
            <family val="2"/>
            <charset val="1"/>
          </rPr>
          <t xml:space="preserve"> is 20kΩ.</t>
        </r>
      </text>
    </comment>
    <comment ref="E82" authorId="0">
      <text>
        <r>
          <rPr>
            <b val="true"/>
            <sz val="10"/>
            <color rgb="FF000000"/>
            <rFont val="Tahoma"/>
            <family val="2"/>
            <charset val="1"/>
          </rPr>
          <t xml:space="preserve">On-State Resistance (R</t>
        </r>
        <r>
          <rPr>
            <b val="true"/>
            <vertAlign val="subscript"/>
            <sz val="10"/>
            <color rgb="FF000000"/>
            <rFont val="Tahoma"/>
            <family val="2"/>
            <charset val="1"/>
          </rPr>
          <t xml:space="preserve">DS(on)</t>
        </r>
        <r>
          <rPr>
            <b val="true"/>
            <sz val="10"/>
            <color rgb="FF000000"/>
            <rFont val="Tahoma"/>
            <family val="2"/>
            <charset val="1"/>
          </rPr>
          <t xml:space="preserve">):
</t>
        </r>
        <r>
          <rPr>
            <sz val="10"/>
            <color rgb="FF000000"/>
            <rFont val="Tahoma"/>
            <family val="2"/>
            <charset val="1"/>
          </rPr>
          <t xml:space="preserve">Enter the </t>
        </r>
        <r>
          <rPr>
            <b val="true"/>
            <sz val="10"/>
            <color rgb="FF000000"/>
            <rFont val="Tahoma"/>
            <family val="2"/>
            <charset val="1"/>
          </rPr>
          <t xml:space="preserve">R</t>
        </r>
        <r>
          <rPr>
            <b val="true"/>
            <vertAlign val="subscript"/>
            <sz val="10"/>
            <color rgb="FF000000"/>
            <rFont val="Tahoma"/>
            <family val="2"/>
            <charset val="1"/>
          </rPr>
          <t xml:space="preserve">DS(on)</t>
        </r>
        <r>
          <rPr>
            <sz val="10"/>
            <color rgb="FF000000"/>
            <rFont val="Tahoma"/>
            <family val="2"/>
            <charset val="1"/>
          </rPr>
          <t xml:space="preserve"> of the high-side MOSFET here. High current designs (&gt;15A) will incur large conduction losses and, as such, demand MOSFETs with low </t>
        </r>
        <r>
          <rPr>
            <b val="true"/>
            <sz val="10"/>
            <color rgb="FF000000"/>
            <rFont val="Tahoma"/>
            <family val="2"/>
            <charset val="1"/>
          </rPr>
          <t xml:space="preserve">R</t>
        </r>
        <r>
          <rPr>
            <b val="true"/>
            <vertAlign val="subscript"/>
            <sz val="10"/>
            <color rgb="FF000000"/>
            <rFont val="Tahoma"/>
            <family val="2"/>
            <charset val="1"/>
          </rPr>
          <t xml:space="preserve">DS(on)</t>
        </r>
        <r>
          <rPr>
            <sz val="10"/>
            <color rgb="FF000000"/>
            <rFont val="Tahoma"/>
            <family val="2"/>
            <charset val="1"/>
          </rPr>
          <t xml:space="preserve"> usually at the expense of larger Q</t>
        </r>
        <r>
          <rPr>
            <vertAlign val="subscript"/>
            <sz val="10"/>
            <color rgb="FF000000"/>
            <rFont val="Tahoma"/>
            <family val="2"/>
            <charset val="1"/>
          </rPr>
          <t xml:space="preserve">G</t>
        </r>
        <r>
          <rPr>
            <sz val="10"/>
            <color rgb="FF000000"/>
            <rFont val="Tahoma"/>
            <family val="2"/>
            <charset val="1"/>
          </rPr>
          <t xml:space="preserve">.
MOSFET </t>
        </r>
        <r>
          <rPr>
            <b val="true"/>
            <sz val="10"/>
            <color rgb="FF000000"/>
            <rFont val="Tahoma"/>
            <family val="2"/>
            <charset val="1"/>
          </rPr>
          <t xml:space="preserve">R</t>
        </r>
        <r>
          <rPr>
            <b val="true"/>
            <vertAlign val="subscript"/>
            <sz val="10"/>
            <color rgb="FF000000"/>
            <rFont val="Tahoma"/>
            <family val="2"/>
            <charset val="1"/>
          </rPr>
          <t xml:space="preserve">DS(ON)</t>
        </r>
        <r>
          <rPr>
            <sz val="10"/>
            <color rgb="FF000000"/>
            <rFont val="Tahoma"/>
            <family val="2"/>
            <charset val="1"/>
          </rPr>
          <t xml:space="preserve"> has a positive temperature coefficient (resistance increases with increasing temperature). This temperature coefficient is accounted for in the efficiency and power dissipation calculations.</t>
        </r>
      </text>
    </comment>
    <comment ref="E83" authorId="0">
      <text>
        <r>
          <rPr>
            <b val="true"/>
            <sz val="10"/>
            <color rgb="FF000000"/>
            <rFont val="Tahoma"/>
            <family val="2"/>
            <charset val="1"/>
          </rPr>
          <t xml:space="preserve">Total Gate Charge (Q</t>
        </r>
        <r>
          <rPr>
            <b val="true"/>
            <vertAlign val="subscript"/>
            <sz val="10"/>
            <color rgb="FF000000"/>
            <rFont val="Tahoma"/>
            <family val="2"/>
            <charset val="1"/>
          </rPr>
          <t xml:space="preserve">g</t>
        </r>
        <r>
          <rPr>
            <b val="true"/>
            <sz val="10"/>
            <color rgb="FF000000"/>
            <rFont val="Tahoma"/>
            <family val="2"/>
            <charset val="1"/>
          </rPr>
          <t xml:space="preserve">):
</t>
        </r>
        <r>
          <rPr>
            <sz val="10"/>
            <color rgb="FF000000"/>
            <rFont val="Tahoma"/>
            <family val="2"/>
            <charset val="1"/>
          </rPr>
          <t xml:space="preserve">Enter the total gate charge of the high-side MOSFET here.</t>
        </r>
      </text>
    </comment>
    <comment ref="E84" authorId="0">
      <text>
        <r>
          <rPr>
            <b val="true"/>
            <sz val="10"/>
            <color rgb="FF000000"/>
            <rFont val="Tahoma"/>
            <family val="2"/>
            <charset val="1"/>
          </rPr>
          <t xml:space="preserve">Gate-Drain Charge (Q</t>
        </r>
        <r>
          <rPr>
            <b val="true"/>
            <vertAlign val="subscript"/>
            <sz val="10"/>
            <color rgb="FF000000"/>
            <rFont val="Tahoma"/>
            <family val="2"/>
            <charset val="1"/>
          </rPr>
          <t xml:space="preserve">GD</t>
        </r>
        <r>
          <rPr>
            <b val="true"/>
            <sz val="10"/>
            <color rgb="FF000000"/>
            <rFont val="Tahoma"/>
            <family val="2"/>
            <charset val="1"/>
          </rPr>
          <t xml:space="preserve">):
</t>
        </r>
        <r>
          <rPr>
            <sz val="10"/>
            <color rgb="FF000000"/>
            <rFont val="Tahoma"/>
            <family val="2"/>
            <charset val="1"/>
          </rPr>
          <t xml:space="preserve">Enter the Q</t>
        </r>
        <r>
          <rPr>
            <vertAlign val="subscript"/>
            <sz val="10"/>
            <color rgb="FF000000"/>
            <rFont val="Tahoma"/>
            <family val="2"/>
            <charset val="1"/>
          </rPr>
          <t xml:space="preserve">GD</t>
        </r>
        <r>
          <rPr>
            <sz val="10"/>
            <color rgb="FF000000"/>
            <rFont val="Tahoma"/>
            <family val="2"/>
            <charset val="1"/>
          </rPr>
          <t xml:space="preserve"> of the high-side MOSFET here.
MOSFET Q</t>
        </r>
        <r>
          <rPr>
            <vertAlign val="subscript"/>
            <sz val="10"/>
            <color rgb="FF000000"/>
            <rFont val="Tahoma"/>
            <family val="2"/>
            <charset val="1"/>
          </rPr>
          <t xml:space="preserve">GD</t>
        </r>
        <r>
          <rPr>
            <sz val="10"/>
            <color rgb="FF000000"/>
            <rFont val="Tahoma"/>
            <family val="2"/>
            <charset val="1"/>
          </rPr>
          <t xml:space="preserve"> will affect the turn-on and-off transition times. Slow transition times will result in a decrease in efficiency, especially at higher input voltages.</t>
        </r>
      </text>
    </comment>
    <comment ref="E85" authorId="0">
      <text>
        <r>
          <rPr>
            <b val="true"/>
            <sz val="10"/>
            <color rgb="FF000000"/>
            <rFont val="Tahoma"/>
            <family val="2"/>
            <charset val="1"/>
          </rPr>
          <t xml:space="preserve">Gate-Source Charge (Q</t>
        </r>
        <r>
          <rPr>
            <b val="true"/>
            <vertAlign val="subscript"/>
            <sz val="10"/>
            <color rgb="FF000000"/>
            <rFont val="Tahoma"/>
            <family val="2"/>
            <charset val="1"/>
          </rPr>
          <t xml:space="preserve">GS</t>
        </r>
        <r>
          <rPr>
            <b val="true"/>
            <sz val="10"/>
            <color rgb="FF000000"/>
            <rFont val="Tahoma"/>
            <family val="2"/>
            <charset val="1"/>
          </rPr>
          <t xml:space="preserve">):
</t>
        </r>
        <r>
          <rPr>
            <sz val="10"/>
            <color rgb="FF000000"/>
            <rFont val="Tahoma"/>
            <family val="2"/>
            <charset val="1"/>
          </rPr>
          <t xml:space="preserve">Enter the gate-source charge here. </t>
        </r>
      </text>
    </comment>
    <comment ref="E86" authorId="0">
      <text>
        <r>
          <rPr>
            <b val="true"/>
            <sz val="10"/>
            <color rgb="FF000000"/>
            <rFont val="Tahoma"/>
            <family val="2"/>
            <charset val="1"/>
          </rPr>
          <t xml:space="preserve">Gate Resistance (R</t>
        </r>
        <r>
          <rPr>
            <b val="true"/>
            <vertAlign val="subscript"/>
            <sz val="10"/>
            <color rgb="FF000000"/>
            <rFont val="Tahoma"/>
            <family val="2"/>
            <charset val="1"/>
          </rPr>
          <t xml:space="preserve">G</t>
        </r>
        <r>
          <rPr>
            <b val="true"/>
            <sz val="10"/>
            <color rgb="FF000000"/>
            <rFont val="Tahoma"/>
            <family val="2"/>
            <charset val="1"/>
          </rPr>
          <t xml:space="preserve">):
</t>
        </r>
        <r>
          <rPr>
            <sz val="10"/>
            <color rgb="FF000000"/>
            <rFont val="Tahoma"/>
            <family val="2"/>
            <charset val="1"/>
          </rPr>
          <t xml:space="preserve">Enter the high-side MOSFET gate resistance here. </t>
        </r>
      </text>
    </comment>
    <comment ref="E87" authorId="0">
      <text>
        <r>
          <rPr>
            <b val="true"/>
            <sz val="10"/>
            <color rgb="FF000000"/>
            <rFont val="Tahoma"/>
            <family val="2"/>
            <charset val="1"/>
          </rPr>
          <t xml:space="preserve">Forward Transconductance (g</t>
        </r>
        <r>
          <rPr>
            <b val="true"/>
            <vertAlign val="subscript"/>
            <sz val="10"/>
            <color rgb="FF000000"/>
            <rFont val="Tahoma"/>
            <family val="2"/>
            <charset val="1"/>
          </rPr>
          <t xml:space="preserve">FS</t>
        </r>
        <r>
          <rPr>
            <b val="true"/>
            <sz val="10"/>
            <color rgb="FF000000"/>
            <rFont val="Tahoma"/>
            <family val="2"/>
            <charset val="1"/>
          </rPr>
          <t xml:space="preserve">):
</t>
        </r>
        <r>
          <rPr>
            <sz val="10"/>
            <color rgb="FF000000"/>
            <rFont val="Tahoma"/>
            <family val="2"/>
            <charset val="1"/>
          </rPr>
          <t xml:space="preserve">Enter the forward transconductance rating of the high-side MOSFET here.</t>
        </r>
      </text>
    </comment>
    <comment ref="E88" authorId="0">
      <text>
        <r>
          <rPr>
            <b val="true"/>
            <sz val="10"/>
            <color rgb="FF000000"/>
            <rFont val="Tahoma"/>
            <family val="2"/>
            <charset val="1"/>
          </rPr>
          <t xml:space="preserve">Gate to Source Threshold Voltage (V</t>
        </r>
        <r>
          <rPr>
            <b val="true"/>
            <vertAlign val="subscript"/>
            <sz val="10"/>
            <color rgb="FF000000"/>
            <rFont val="Tahoma"/>
            <family val="2"/>
            <charset val="1"/>
          </rPr>
          <t xml:space="preserve">GS(TH)</t>
        </r>
        <r>
          <rPr>
            <b val="true"/>
            <sz val="10"/>
            <color rgb="FF000000"/>
            <rFont val="Tahoma"/>
            <family val="2"/>
            <charset val="1"/>
          </rPr>
          <t xml:space="preserve">):
</t>
        </r>
        <r>
          <rPr>
            <sz val="10"/>
            <color rgb="FF000000"/>
            <rFont val="Tahoma"/>
            <family val="2"/>
            <charset val="1"/>
          </rPr>
          <t xml:space="preserve">Enter the MOSFET gate-source threshold voltage at rated current here. This can be taken as the plateau voltage in the V</t>
        </r>
        <r>
          <rPr>
            <vertAlign val="subscript"/>
            <sz val="10"/>
            <color rgb="FF000000"/>
            <rFont val="Tahoma"/>
            <family val="2"/>
            <charset val="1"/>
          </rPr>
          <t xml:space="preserve">GS</t>
        </r>
        <r>
          <rPr>
            <sz val="10"/>
            <color rgb="FF000000"/>
            <rFont val="Tahoma"/>
            <family val="2"/>
            <charset val="1"/>
          </rPr>
          <t xml:space="preserve">-Q</t>
        </r>
        <r>
          <rPr>
            <vertAlign val="subscript"/>
            <sz val="10"/>
            <color rgb="FF000000"/>
            <rFont val="Tahoma"/>
            <family val="2"/>
            <charset val="1"/>
          </rPr>
          <t xml:space="preserve">G</t>
        </r>
        <r>
          <rPr>
            <sz val="10"/>
            <color rgb="FF000000"/>
            <rFont val="Tahoma"/>
            <family val="2"/>
            <charset val="1"/>
          </rPr>
          <t xml:space="preserve"> curve in the MOSFET datasheet.
</t>
        </r>
      </text>
    </comment>
    <comment ref="E89" authorId="0">
      <text>
        <r>
          <rPr>
            <b val="true"/>
            <sz val="10"/>
            <color rgb="FF000000"/>
            <rFont val="Tahoma"/>
            <family val="2"/>
            <charset val="1"/>
          </rPr>
          <t xml:space="preserve">Body Diode Forward Voltage (V</t>
        </r>
        <r>
          <rPr>
            <b val="true"/>
            <vertAlign val="subscript"/>
            <sz val="10"/>
            <color rgb="FF000000"/>
            <rFont val="Tahoma"/>
            <family val="2"/>
            <charset val="1"/>
          </rPr>
          <t xml:space="preserve">bd1</t>
        </r>
        <r>
          <rPr>
            <b val="true"/>
            <sz val="10"/>
            <color rgb="FF000000"/>
            <rFont val="Tahoma"/>
            <family val="2"/>
            <charset val="1"/>
          </rPr>
          <t xml:space="preserve">):
</t>
        </r>
        <r>
          <rPr>
            <sz val="10"/>
            <color rgb="FF000000"/>
            <rFont val="Tahoma"/>
            <family val="2"/>
            <charset val="1"/>
          </rPr>
          <t xml:space="preserve">A MOSFET has an inherent reverse body diode, and the voltage drop usually is specified at a rated current. The high-side MOSFET body diode contributes power loss during negative current events.</t>
        </r>
      </text>
    </comment>
    <comment ref="E90" authorId="0">
      <text>
        <r>
          <rPr>
            <b val="true"/>
            <sz val="10"/>
            <color rgb="FF000000"/>
            <rFont val="Tahoma"/>
            <family val="2"/>
            <charset val="1"/>
          </rPr>
          <t xml:space="preserve">θ</t>
        </r>
        <r>
          <rPr>
            <b val="true"/>
            <vertAlign val="subscript"/>
            <sz val="10"/>
            <color rgb="FF000000"/>
            <rFont val="Tahoma"/>
            <family val="2"/>
            <charset val="1"/>
          </rPr>
          <t xml:space="preserve">JA</t>
        </r>
        <r>
          <rPr>
            <b val="true"/>
            <sz val="10"/>
            <color rgb="FF000000"/>
            <rFont val="Tahoma"/>
            <family val="2"/>
            <charset val="1"/>
          </rPr>
          <t xml:space="preserve">:
</t>
        </r>
        <r>
          <rPr>
            <sz val="10"/>
            <color rgb="FF000000"/>
            <rFont val="Tahoma"/>
            <family val="2"/>
            <charset val="1"/>
          </rPr>
          <t xml:space="preserve">θ</t>
        </r>
        <r>
          <rPr>
            <vertAlign val="subscript"/>
            <sz val="10"/>
            <color rgb="FF000000"/>
            <rFont val="Tahoma"/>
            <family val="2"/>
            <charset val="1"/>
          </rPr>
          <t xml:space="preserve">JA</t>
        </r>
        <r>
          <rPr>
            <sz val="10"/>
            <color rgb="FF000000"/>
            <rFont val="Tahoma"/>
            <family val="2"/>
            <charset val="1"/>
          </rPr>
          <t xml:space="preserve"> is the junction-to-ambient thermal resistance of the MOSFET. Higher θ</t>
        </r>
        <r>
          <rPr>
            <vertAlign val="subscript"/>
            <sz val="10"/>
            <color rgb="FF000000"/>
            <rFont val="Tahoma"/>
            <family val="2"/>
            <charset val="1"/>
          </rPr>
          <t xml:space="preserve">JA</t>
        </r>
        <r>
          <rPr>
            <sz val="10"/>
            <color rgb="FF000000"/>
            <rFont val="Tahoma"/>
            <family val="2"/>
            <charset val="1"/>
          </rPr>
          <t xml:space="preserve"> will lead to higher power loss and reduced efficiency. High current designs demand low θ</t>
        </r>
        <r>
          <rPr>
            <vertAlign val="subscript"/>
            <sz val="10"/>
            <color rgb="FF000000"/>
            <rFont val="Tahoma"/>
            <family val="2"/>
            <charset val="1"/>
          </rPr>
          <t xml:space="preserve">JA</t>
        </r>
        <r>
          <rPr>
            <sz val="10"/>
            <color rgb="FF000000"/>
            <rFont val="Tahoma"/>
            <family val="2"/>
            <charset val="1"/>
          </rPr>
          <t xml:space="preserve"> rating to help maintain low MOSFET operating junction temperature. What's imperative here is consciencious PCB design and layout to maximize heat removal from the MOSFET.</t>
        </r>
      </text>
    </comment>
    <comment ref="E93" authorId="0">
      <text>
        <r>
          <rPr>
            <b val="true"/>
            <sz val="10"/>
            <color rgb="FF000000"/>
            <rFont val="Tahoma"/>
            <family val="2"/>
            <charset val="1"/>
          </rPr>
          <t xml:space="preserve">MOSFET On-State Resistance (R</t>
        </r>
        <r>
          <rPr>
            <b val="true"/>
            <vertAlign val="subscript"/>
            <sz val="10"/>
            <color rgb="FF000000"/>
            <rFont val="Tahoma"/>
            <family val="2"/>
            <charset val="1"/>
          </rPr>
          <t xml:space="preserve">DS(on)</t>
        </r>
        <r>
          <rPr>
            <b val="true"/>
            <sz val="10"/>
            <color rgb="FF000000"/>
            <rFont val="Tahoma"/>
            <family val="2"/>
            <charset val="1"/>
          </rPr>
          <t xml:space="preserve">):
</t>
        </r>
        <r>
          <rPr>
            <sz val="10"/>
            <color rgb="FF000000"/>
            <rFont val="Tahoma"/>
            <family val="2"/>
            <charset val="1"/>
          </rPr>
          <t xml:space="preserve">Enter the R</t>
        </r>
        <r>
          <rPr>
            <vertAlign val="subscript"/>
            <sz val="10"/>
            <color rgb="FF000000"/>
            <rFont val="Tahoma"/>
            <family val="2"/>
            <charset val="1"/>
          </rPr>
          <t xml:space="preserve">DS(on)</t>
        </r>
        <r>
          <rPr>
            <sz val="10"/>
            <color rgb="FF000000"/>
            <rFont val="Tahoma"/>
            <family val="2"/>
            <charset val="1"/>
          </rPr>
          <t xml:space="preserve"> of the low-side MOSFET here. High current designs (&gt;15A) can incur large conduction losses and, as such, demand MOSFETs with low R</t>
        </r>
        <r>
          <rPr>
            <vertAlign val="subscript"/>
            <sz val="10"/>
            <color rgb="FF000000"/>
            <rFont val="Tahoma"/>
            <family val="2"/>
            <charset val="1"/>
          </rPr>
          <t xml:space="preserve">DS(on)</t>
        </r>
        <r>
          <rPr>
            <sz val="10"/>
            <color rgb="FF000000"/>
            <rFont val="Tahoma"/>
            <family val="2"/>
            <charset val="1"/>
          </rPr>
          <t xml:space="preserve"> </t>
        </r>
        <r>
          <rPr>
            <sz val="10"/>
            <color rgb="FF000000"/>
            <rFont val="Calibri"/>
            <family val="2"/>
            <charset val="1"/>
          </rPr>
          <t xml:space="preserve">– </t>
        </r>
        <r>
          <rPr>
            <sz val="10"/>
            <color rgb="FF000000"/>
            <rFont val="Tahoma"/>
            <family val="2"/>
            <charset val="1"/>
          </rPr>
          <t xml:space="preserve">usually at the expense of larger Q</t>
        </r>
        <r>
          <rPr>
            <vertAlign val="subscript"/>
            <sz val="10"/>
            <color rgb="FF000000"/>
            <rFont val="Tahoma"/>
            <family val="2"/>
            <charset val="1"/>
          </rPr>
          <t xml:space="preserve">G</t>
        </r>
        <r>
          <rPr>
            <sz val="10"/>
            <color rgb="FF000000"/>
            <rFont val="Tahoma"/>
            <family val="2"/>
            <charset val="1"/>
          </rPr>
          <t xml:space="preserve">. MOSFET R</t>
        </r>
        <r>
          <rPr>
            <vertAlign val="subscript"/>
            <sz val="10"/>
            <color rgb="FF000000"/>
            <rFont val="Tahoma"/>
            <family val="2"/>
            <charset val="1"/>
          </rPr>
          <t xml:space="preserve">DS(on)</t>
        </r>
        <r>
          <rPr>
            <sz val="10"/>
            <color rgb="FF000000"/>
            <rFont val="Tahoma"/>
            <family val="2"/>
            <charset val="1"/>
          </rPr>
          <t xml:space="preserve"> temperature coefficient is accounted for in the efficiency and power dissipation calculations.  </t>
        </r>
      </text>
    </comment>
    <comment ref="E94" authorId="0">
      <text>
        <r>
          <rPr>
            <b val="true"/>
            <sz val="10"/>
            <color rgb="FF000000"/>
            <rFont val="Tahoma"/>
            <family val="2"/>
            <charset val="1"/>
          </rPr>
          <t xml:space="preserve">Total Gate Charge (Q</t>
        </r>
        <r>
          <rPr>
            <b val="true"/>
            <vertAlign val="subscript"/>
            <sz val="10"/>
            <color rgb="FF000000"/>
            <rFont val="Tahoma"/>
            <family val="2"/>
            <charset val="1"/>
          </rPr>
          <t xml:space="preserve">G</t>
        </r>
        <r>
          <rPr>
            <b val="true"/>
            <sz val="10"/>
            <color rgb="FF000000"/>
            <rFont val="Tahoma"/>
            <family val="2"/>
            <charset val="1"/>
          </rPr>
          <t xml:space="preserve">):
</t>
        </r>
        <r>
          <rPr>
            <sz val="10"/>
            <color rgb="FF000000"/>
            <rFont val="Tahoma"/>
            <family val="2"/>
            <charset val="1"/>
          </rPr>
          <t xml:space="preserve">Enter the total gate charge of the low-side MOSFET here.</t>
        </r>
      </text>
    </comment>
    <comment ref="E95" authorId="0">
      <text>
        <r>
          <rPr>
            <b val="true"/>
            <sz val="9"/>
            <color rgb="FF000000"/>
            <rFont val="Tahoma"/>
            <family val="2"/>
            <charset val="1"/>
          </rPr>
          <t xml:space="preserve">Body Diode Voltage (V</t>
        </r>
        <r>
          <rPr>
            <b val="true"/>
            <vertAlign val="subscript"/>
            <sz val="9"/>
            <color rgb="FF000000"/>
            <rFont val="Tahoma"/>
            <family val="2"/>
            <charset val="1"/>
          </rPr>
          <t xml:space="preserve">sd</t>
        </r>
        <r>
          <rPr>
            <b val="true"/>
            <sz val="9"/>
            <color rgb="FF000000"/>
            <rFont val="Tahoma"/>
            <family val="2"/>
            <charset val="1"/>
          </rPr>
          <t xml:space="preserve">):
</t>
        </r>
        <r>
          <rPr>
            <sz val="9"/>
            <color rgb="FF000000"/>
            <rFont val="Tahoma"/>
            <family val="2"/>
            <charset val="1"/>
          </rPr>
          <t xml:space="preserve">The low-side MOSFET body diode can contribute substantial power loss related to (1) body diode conduction drop during the deadtime, and (2) diode reverse recovery current.</t>
        </r>
      </text>
    </comment>
    <comment ref="E96" authorId="0">
      <text>
        <r>
          <rPr>
            <b val="true"/>
            <sz val="10"/>
            <color rgb="FF000000"/>
            <rFont val="Tahoma"/>
            <family val="2"/>
            <charset val="1"/>
          </rPr>
          <t xml:space="preserve">Body Diode Recovery Charge (Q</t>
        </r>
        <r>
          <rPr>
            <b val="true"/>
            <vertAlign val="subscript"/>
            <sz val="10"/>
            <color rgb="FF000000"/>
            <rFont val="Tahoma"/>
            <family val="2"/>
            <charset val="1"/>
          </rPr>
          <t xml:space="preserve">RR</t>
        </r>
        <r>
          <rPr>
            <b val="true"/>
            <sz val="10"/>
            <color rgb="FF000000"/>
            <rFont val="Tahoma"/>
            <family val="2"/>
            <charset val="1"/>
          </rPr>
          <t xml:space="preserve">):
</t>
        </r>
        <r>
          <rPr>
            <sz val="10"/>
            <color rgb="FF000000"/>
            <rFont val="Tahoma"/>
            <family val="2"/>
            <charset val="1"/>
          </rPr>
          <t xml:space="preserve">Enter the reverse recovery charge of the low-side MOSFET body diode here. </t>
        </r>
      </text>
    </comment>
    <comment ref="E97" authorId="0">
      <text>
        <r>
          <rPr>
            <b val="true"/>
            <sz val="10"/>
            <color rgb="FF000000"/>
            <rFont val="Tahoma"/>
            <family val="2"/>
            <charset val="1"/>
          </rPr>
          <t xml:space="preserve">θ</t>
        </r>
        <r>
          <rPr>
            <b val="true"/>
            <vertAlign val="subscript"/>
            <sz val="10"/>
            <color rgb="FF000000"/>
            <rFont val="Tahoma"/>
            <family val="2"/>
            <charset val="1"/>
          </rPr>
          <t xml:space="preserve">JA</t>
        </r>
        <r>
          <rPr>
            <b val="true"/>
            <sz val="10"/>
            <color rgb="FF000000"/>
            <rFont val="Tahoma"/>
            <family val="2"/>
            <charset val="1"/>
          </rPr>
          <t xml:space="preserve">:
</t>
        </r>
        <r>
          <rPr>
            <sz val="10"/>
            <color rgb="FF000000"/>
            <rFont val="Tahoma"/>
            <family val="2"/>
            <charset val="1"/>
          </rPr>
          <t xml:space="preserve">θ</t>
        </r>
        <r>
          <rPr>
            <vertAlign val="subscript"/>
            <sz val="10"/>
            <color rgb="FF000000"/>
            <rFont val="Tahoma"/>
            <family val="2"/>
            <charset val="1"/>
          </rPr>
          <t xml:space="preserve">JA</t>
        </r>
        <r>
          <rPr>
            <sz val="10"/>
            <color rgb="FF000000"/>
            <rFont val="Tahoma"/>
            <family val="2"/>
            <charset val="1"/>
          </rPr>
          <t xml:space="preserve"> is the junction-to-ambient thermal resistance of the MOSFET. Higher θ</t>
        </r>
        <r>
          <rPr>
            <vertAlign val="subscript"/>
            <sz val="10"/>
            <color rgb="FF000000"/>
            <rFont val="Tahoma"/>
            <family val="2"/>
            <charset val="1"/>
          </rPr>
          <t xml:space="preserve">JA</t>
        </r>
        <r>
          <rPr>
            <sz val="10"/>
            <color rgb="FF000000"/>
            <rFont val="Tahoma"/>
            <family val="2"/>
            <charset val="1"/>
          </rPr>
          <t xml:space="preserve"> will lead to higher power loss and reduced efficiency. High current designs demand low θ</t>
        </r>
        <r>
          <rPr>
            <vertAlign val="subscript"/>
            <sz val="10"/>
            <color rgb="FF000000"/>
            <rFont val="Tahoma"/>
            <family val="2"/>
            <charset val="1"/>
          </rPr>
          <t xml:space="preserve">JA</t>
        </r>
        <r>
          <rPr>
            <sz val="10"/>
            <color rgb="FF000000"/>
            <rFont val="Tahoma"/>
            <family val="2"/>
            <charset val="1"/>
          </rPr>
          <t xml:space="preserve"> rating to help maintain low MOSFET operating junction temperature. What's imperative here is consciencious PCB design and layout to maximize heat removal from the MOSFET.</t>
        </r>
      </text>
    </comment>
    <comment ref="E99" authorId="0">
      <text>
        <r>
          <rPr>
            <b val="true"/>
            <sz val="10"/>
            <color rgb="FF000000"/>
            <rFont val="Tahoma"/>
            <family val="2"/>
            <charset val="1"/>
          </rPr>
          <t xml:space="preserve">Schottky Forward Voltage:
</t>
        </r>
        <r>
          <rPr>
            <sz val="10"/>
            <color rgb="FF000000"/>
            <rFont val="Tahoma"/>
            <family val="2"/>
            <charset val="1"/>
          </rPr>
          <t xml:space="preserve">If a Schottky diode is used, enter the forward voltage at the rated current here. If a Schottky diode is not used, enter "0" into this cell.</t>
        </r>
      </text>
    </comment>
    <comment ref="E100" authorId="0">
      <text>
        <r>
          <rPr>
            <b val="true"/>
            <sz val="10"/>
            <color rgb="FF000000"/>
            <rFont val="Tahoma"/>
            <family val="2"/>
            <charset val="1"/>
          </rPr>
          <t xml:space="preserve">Schottky Diode Reverse Recovery Charge:
</t>
        </r>
        <r>
          <rPr>
            <sz val="10"/>
            <color rgb="FF000000"/>
            <rFont val="Tahoma"/>
            <family val="2"/>
            <charset val="1"/>
          </rPr>
          <t xml:space="preserve">Enter the diode reverse recovery charge here. If a Schottky diode is not used, enter "0" into this cell.</t>
        </r>
      </text>
    </comment>
  </commentList>
</comments>
</file>

<file path=xl/sharedStrings.xml><?xml version="1.0" encoding="utf-8"?>
<sst xmlns="http://schemas.openxmlformats.org/spreadsheetml/2006/main" count="1262" uniqueCount="659">
  <si>
    <t>LM27403 DC-DC Regulator Design Tool</t>
  </si>
  <si>
    <t>http://www.ti.com/product/lm27403</t>
  </si>
  <si>
    <t>About</t>
  </si>
  <si>
    <t>xx</t>
  </si>
  <si>
    <t>= Input Box</t>
  </si>
  <si>
    <t>TERMS OF USE</t>
  </si>
  <si>
    <t>                </t>
  </si>
  <si>
    <t>Step 1: Operating Specifications</t>
  </si>
  <si>
    <r>
      <t xml:space="preserve">Nominal Input Voltage V</t>
    </r>
    <r>
      <rPr>
        <b val="true"/>
        <vertAlign val="subscript"/>
        <sz val="10"/>
        <color rgb="FF000000"/>
        <rFont val="Arial"/>
        <family val="2"/>
        <charset val="1"/>
      </rPr>
      <t xml:space="preserve">IN</t>
    </r>
    <r>
      <rPr>
        <b val="true"/>
        <sz val="10"/>
        <color rgb="FF000000"/>
        <rFont val="Arial"/>
        <family val="2"/>
        <charset val="1"/>
      </rPr>
      <t xml:space="preserve"> </t>
    </r>
  </si>
  <si>
    <t>V</t>
  </si>
  <si>
    <r>
      <t xml:space="preserve">Output Voltage V</t>
    </r>
    <r>
      <rPr>
        <b val="true"/>
        <vertAlign val="subscript"/>
        <sz val="10"/>
        <color rgb="FF000000"/>
        <rFont val="Arial"/>
        <family val="2"/>
        <charset val="1"/>
      </rPr>
      <t xml:space="preserve">OUT</t>
    </r>
    <r>
      <rPr>
        <b val="true"/>
        <sz val="10"/>
        <color rgb="FF000000"/>
        <rFont val="Arial"/>
        <family val="2"/>
        <charset val="1"/>
      </rPr>
      <t xml:space="preserve"> </t>
    </r>
  </si>
  <si>
    <r>
      <t xml:space="preserve">Maximum Output Current I</t>
    </r>
    <r>
      <rPr>
        <b val="true"/>
        <vertAlign val="subscript"/>
        <sz val="10"/>
        <color rgb="FF000000"/>
        <rFont val="Arial"/>
        <family val="2"/>
        <charset val="1"/>
      </rPr>
      <t xml:space="preserve">OUT</t>
    </r>
    <r>
      <rPr>
        <b val="true"/>
        <sz val="10"/>
        <color rgb="FF000000"/>
        <rFont val="Arial"/>
        <family val="2"/>
        <charset val="1"/>
      </rPr>
      <t xml:space="preserve"> </t>
    </r>
  </si>
  <si>
    <t>A</t>
  </si>
  <si>
    <r>
      <t xml:space="preserve">Switching Frequency (R</t>
    </r>
    <r>
      <rPr>
        <b val="true"/>
        <vertAlign val="subscript"/>
        <sz val="10"/>
        <color rgb="FF000000"/>
        <rFont val="Arial"/>
        <family val="2"/>
        <charset val="1"/>
      </rPr>
      <t xml:space="preserve">FADJ</t>
    </r>
    <r>
      <rPr>
        <b val="true"/>
        <sz val="10"/>
        <color rgb="FF000000"/>
        <rFont val="Arial"/>
        <family val="2"/>
        <charset val="1"/>
      </rPr>
      <t xml:space="preserve">) </t>
    </r>
  </si>
  <si>
    <t>kHz</t>
  </si>
  <si>
    <t>SYNC Frequency (if used) </t>
  </si>
  <si>
    <r>
      <t xml:space="preserve">Frequency Set Resistor R</t>
    </r>
    <r>
      <rPr>
        <vertAlign val="subscript"/>
        <sz val="10"/>
        <rFont val="Arial"/>
        <family val="2"/>
        <charset val="1"/>
      </rPr>
      <t xml:space="preserve">FADJ</t>
    </r>
    <r>
      <rPr>
        <sz val="10"/>
        <rFont val="Arial"/>
        <family val="2"/>
        <charset val="1"/>
      </rPr>
      <t xml:space="preserve"> </t>
    </r>
  </si>
  <si>
    <t>kΩ</t>
  </si>
  <si>
    <t>Step 2: Filter Inductor</t>
  </si>
  <si>
    <t>Recommended Filter Inductance </t>
  </si>
  <si>
    <t>µH</t>
  </si>
  <si>
    <r>
      <t xml:space="preserve">Inductance L</t>
    </r>
    <r>
      <rPr>
        <b val="true"/>
        <vertAlign val="subscript"/>
        <sz val="10"/>
        <color rgb="FF000000"/>
        <rFont val="Arial"/>
        <family val="2"/>
        <charset val="1"/>
      </rPr>
      <t xml:space="preserve">OUT</t>
    </r>
    <r>
      <rPr>
        <b val="true"/>
        <sz val="10"/>
        <color rgb="FF000000"/>
        <rFont val="Arial"/>
        <family val="2"/>
        <charset val="1"/>
      </rPr>
      <t xml:space="preserve"> </t>
    </r>
  </si>
  <si>
    <t>Inductor DCR </t>
  </si>
  <si>
    <t>mΩ</t>
  </si>
  <si>
    <t>Peak-to-Peak Inductor Ripple Current </t>
  </si>
  <si>
    <r>
      <t xml:space="preserve">A</t>
    </r>
    <r>
      <rPr>
        <vertAlign val="subscript"/>
        <sz val="10"/>
        <rFont val="Arial"/>
        <family val="2"/>
        <charset val="1"/>
      </rPr>
      <t xml:space="preserve">pk-pk</t>
    </r>
  </si>
  <si>
    <r>
      <t xml:space="preserve">Inductor Ripple Current as a % of Max I</t>
    </r>
    <r>
      <rPr>
        <vertAlign val="subscript"/>
        <sz val="10"/>
        <rFont val="Arial"/>
        <family val="2"/>
        <charset val="1"/>
      </rPr>
      <t xml:space="preserve">OUT</t>
    </r>
    <r>
      <rPr>
        <sz val="10"/>
        <rFont val="Arial"/>
        <family val="2"/>
        <charset val="1"/>
      </rPr>
      <t xml:space="preserve"> </t>
    </r>
  </si>
  <si>
    <t>%</t>
  </si>
  <si>
    <t>Step 3: Inductor DCR-based Current Limit</t>
  </si>
  <si>
    <t>Required Current Limit Setpoint </t>
  </si>
  <si>
    <t>\</t>
  </si>
  <si>
    <r>
      <t xml:space="preserve">Current Limit Set Resistor R</t>
    </r>
    <r>
      <rPr>
        <vertAlign val="subscript"/>
        <sz val="10"/>
        <rFont val="Arial"/>
        <family val="2"/>
        <charset val="1"/>
      </rPr>
      <t xml:space="preserve">ISET</t>
    </r>
    <r>
      <rPr>
        <sz val="10"/>
        <rFont val="Arial"/>
        <family val="2"/>
        <charset val="1"/>
      </rPr>
      <t xml:space="preserve"> </t>
    </r>
  </si>
  <si>
    <r>
      <t xml:space="preserve">DCR Sense Resistor R</t>
    </r>
    <r>
      <rPr>
        <vertAlign val="subscript"/>
        <sz val="10"/>
        <rFont val="Arial"/>
        <family val="2"/>
        <charset val="1"/>
      </rPr>
      <t xml:space="preserve">S</t>
    </r>
  </si>
  <si>
    <r>
      <t xml:space="preserve">DCR Sense Capacitor C</t>
    </r>
    <r>
      <rPr>
        <vertAlign val="subscript"/>
        <sz val="10"/>
        <rFont val="Arial"/>
        <family val="2"/>
        <charset val="1"/>
      </rPr>
      <t xml:space="preserve">S</t>
    </r>
  </si>
  <si>
    <t>µF</t>
  </si>
  <si>
    <t>Current Limit Setpoint </t>
  </si>
  <si>
    <t>Step 4: Output Capacitor</t>
  </si>
  <si>
    <t>Output Voltage Ripple Specification </t>
  </si>
  <si>
    <r>
      <t xml:space="preserve">mV</t>
    </r>
    <r>
      <rPr>
        <b val="true"/>
        <vertAlign val="subscript"/>
        <sz val="10"/>
        <rFont val="Arial"/>
        <family val="2"/>
        <charset val="1"/>
      </rPr>
      <t xml:space="preserve">pk-pk</t>
    </r>
  </si>
  <si>
    <t>Minimum Ideal Output Capacitance </t>
  </si>
  <si>
    <r>
      <t xml:space="preserve">Output Capacitance C</t>
    </r>
    <r>
      <rPr>
        <b val="true"/>
        <vertAlign val="subscript"/>
        <sz val="10"/>
        <rFont val="Arial"/>
        <family val="2"/>
        <charset val="1"/>
      </rPr>
      <t xml:space="preserve">OUT</t>
    </r>
    <r>
      <rPr>
        <b val="true"/>
        <sz val="10"/>
        <rFont val="Arial"/>
        <family val="2"/>
        <charset val="1"/>
      </rPr>
      <t xml:space="preserve"> </t>
    </r>
  </si>
  <si>
    <t>Maximum Permitted ESR </t>
  </si>
  <si>
    <t>Output Capacitor ESR </t>
  </si>
  <si>
    <t>Resulting Output Voltage Ripple </t>
  </si>
  <si>
    <r>
      <t xml:space="preserve">mV</t>
    </r>
    <r>
      <rPr>
        <vertAlign val="subscript"/>
        <sz val="10"/>
        <rFont val="Arial"/>
        <family val="2"/>
        <charset val="1"/>
      </rPr>
      <t xml:space="preserve">pk-pk</t>
    </r>
  </si>
  <si>
    <t>Output Capacitor Ripple Current </t>
  </si>
  <si>
    <t>A (rms)</t>
  </si>
  <si>
    <t>Step 5: Input Capacitor</t>
  </si>
  <si>
    <t>Input Voltage Ripple Specification </t>
  </si>
  <si>
    <t>Minimum Ideal Input Capacitance </t>
  </si>
  <si>
    <r>
      <t xml:space="preserve">Input Capacitance C</t>
    </r>
    <r>
      <rPr>
        <b val="true"/>
        <vertAlign val="subscript"/>
        <sz val="10"/>
        <color rgb="FF000000"/>
        <rFont val="Arial"/>
        <family val="2"/>
        <charset val="1"/>
      </rPr>
      <t xml:space="preserve">IN</t>
    </r>
    <r>
      <rPr>
        <b val="true"/>
        <sz val="10"/>
        <color rgb="FF000000"/>
        <rFont val="Arial"/>
        <family val="2"/>
        <charset val="1"/>
      </rPr>
      <t xml:space="preserve"> </t>
    </r>
  </si>
  <si>
    <t> </t>
  </si>
  <si>
    <t>Input Capacitor ESR </t>
  </si>
  <si>
    <t>Resulting Input Voltage Ripple </t>
  </si>
  <si>
    <t>Input Capacitor Ripple Current </t>
  </si>
  <si>
    <t>Step 6: Soft-start, OTP, UVLO</t>
  </si>
  <si>
    <r>
      <t xml:space="preserve">Soft-Start Time t</t>
    </r>
    <r>
      <rPr>
        <b val="true"/>
        <vertAlign val="subscript"/>
        <sz val="10"/>
        <color rgb="FF000000"/>
        <rFont val="Arial"/>
        <family val="2"/>
        <charset val="1"/>
      </rPr>
      <t xml:space="preserve">SS</t>
    </r>
    <r>
      <rPr>
        <b val="true"/>
        <sz val="10"/>
        <color rgb="FF000000"/>
        <rFont val="Arial"/>
        <family val="2"/>
        <charset val="1"/>
      </rPr>
      <t xml:space="preserve"> </t>
    </r>
  </si>
  <si>
    <t>ms</t>
  </si>
  <si>
    <r>
      <t xml:space="preserve">Soft-Start Capacitance C</t>
    </r>
    <r>
      <rPr>
        <vertAlign val="subscript"/>
        <sz val="10"/>
        <rFont val="Arial"/>
        <family val="2"/>
        <charset val="1"/>
      </rPr>
      <t xml:space="preserve">SS</t>
    </r>
    <r>
      <rPr>
        <sz val="10"/>
        <rFont val="Arial"/>
        <family val="2"/>
        <charset val="1"/>
      </rPr>
      <t xml:space="preserve"> </t>
    </r>
  </si>
  <si>
    <t>nF</t>
  </si>
  <si>
    <t>System Level OTP Setpoint </t>
  </si>
  <si>
    <t>°C</t>
  </si>
  <si>
    <r>
      <t xml:space="preserve">OTP Resistor R</t>
    </r>
    <r>
      <rPr>
        <vertAlign val="subscript"/>
        <sz val="10"/>
        <rFont val="Arial"/>
        <family val="2"/>
        <charset val="1"/>
      </rPr>
      <t xml:space="preserve">OTP</t>
    </r>
    <r>
      <rPr>
        <sz val="10"/>
        <rFont val="Arial"/>
        <family val="2"/>
        <charset val="1"/>
      </rPr>
      <t xml:space="preserve"> </t>
    </r>
  </si>
  <si>
    <t>Input Voltage UVLO On</t>
  </si>
  <si>
    <t>Input Voltage UVLO Off</t>
  </si>
  <si>
    <r>
      <t xml:space="preserve">UVLO Upper Resistor R</t>
    </r>
    <r>
      <rPr>
        <vertAlign val="subscript"/>
        <sz val="10"/>
        <rFont val="Arial"/>
        <family val="2"/>
        <charset val="1"/>
      </rPr>
      <t xml:space="preserve">UV1</t>
    </r>
  </si>
  <si>
    <r>
      <t xml:space="preserve">UVLO Lower Resistor R</t>
    </r>
    <r>
      <rPr>
        <vertAlign val="subscript"/>
        <sz val="10"/>
        <rFont val="Arial"/>
        <family val="2"/>
        <charset val="1"/>
      </rPr>
      <t xml:space="preserve">UV2</t>
    </r>
  </si>
  <si>
    <t>If the SYNC feature is not required, connect SYNC to GND</t>
  </si>
  <si>
    <t>Step 7: Compensation Design</t>
  </si>
  <si>
    <t>LC Complex Pole Frequency </t>
  </si>
  <si>
    <t>ESR Zero Frequency </t>
  </si>
  <si>
    <t>Desired Crossover Frequency </t>
  </si>
  <si>
    <t>Appropriate Midband Gain </t>
  </si>
  <si>
    <t>V/V</t>
  </si>
  <si>
    <r>
      <t xml:space="preserve">Upper Feedback Resistor R</t>
    </r>
    <r>
      <rPr>
        <b val="true"/>
        <vertAlign val="subscript"/>
        <sz val="10"/>
        <rFont val="Arial"/>
        <family val="2"/>
        <charset val="1"/>
      </rPr>
      <t xml:space="preserve">FB1 </t>
    </r>
  </si>
  <si>
    <r>
      <t xml:space="preserve">Lower Feedback Resistor R</t>
    </r>
    <r>
      <rPr>
        <vertAlign val="subscript"/>
        <sz val="10"/>
        <rFont val="Arial"/>
        <family val="2"/>
        <charset val="1"/>
      </rPr>
      <t xml:space="preserve">FB2</t>
    </r>
    <r>
      <rPr>
        <sz val="10"/>
        <rFont val="Arial"/>
        <family val="2"/>
        <charset val="1"/>
      </rPr>
      <t xml:space="preserve"> </t>
    </r>
  </si>
  <si>
    <t>Pole &amp; Zero Placement</t>
  </si>
  <si>
    <r>
      <t xml:space="preserve">F</t>
    </r>
    <r>
      <rPr>
        <b val="true"/>
        <vertAlign val="subscript"/>
        <sz val="10"/>
        <rFont val="Arial"/>
        <family val="2"/>
        <charset val="1"/>
      </rPr>
      <t xml:space="preserve">Z1  </t>
    </r>
  </si>
  <si>
    <r>
      <t xml:space="preserve">F</t>
    </r>
    <r>
      <rPr>
        <b val="true"/>
        <vertAlign val="subscript"/>
        <sz val="10"/>
        <rFont val="Arial"/>
        <family val="2"/>
        <charset val="1"/>
      </rPr>
      <t xml:space="preserve">Z2  </t>
    </r>
  </si>
  <si>
    <r>
      <t xml:space="preserve">F</t>
    </r>
    <r>
      <rPr>
        <b val="true"/>
        <vertAlign val="subscript"/>
        <sz val="10"/>
        <rFont val="Arial"/>
        <family val="2"/>
        <charset val="1"/>
      </rPr>
      <t xml:space="preserve">P1</t>
    </r>
    <r>
      <rPr>
        <b val="true"/>
        <sz val="10"/>
        <rFont val="Arial"/>
        <family val="2"/>
        <charset val="1"/>
      </rPr>
      <t xml:space="preserve">  </t>
    </r>
  </si>
  <si>
    <r>
      <t xml:space="preserve">F</t>
    </r>
    <r>
      <rPr>
        <b val="true"/>
        <vertAlign val="subscript"/>
        <sz val="10"/>
        <rFont val="Arial"/>
        <family val="2"/>
        <charset val="1"/>
      </rPr>
      <t xml:space="preserve">P2</t>
    </r>
    <r>
      <rPr>
        <b val="true"/>
        <sz val="10"/>
        <rFont val="Arial"/>
        <family val="2"/>
        <charset val="1"/>
      </rPr>
      <t xml:space="preserve">  </t>
    </r>
  </si>
  <si>
    <t>Compensation Components</t>
  </si>
  <si>
    <t>Calculated /</t>
  </si>
  <si>
    <t>Std Values</t>
  </si>
  <si>
    <t>Actual P/Z Frequencies</t>
  </si>
  <si>
    <r>
      <t xml:space="preserve">R</t>
    </r>
    <r>
      <rPr>
        <b val="true"/>
        <vertAlign val="subscript"/>
        <sz val="10"/>
        <rFont val="Arial"/>
        <family val="2"/>
        <charset val="1"/>
      </rPr>
      <t xml:space="preserve">C1</t>
    </r>
  </si>
  <si>
    <r>
      <t xml:space="preserve">kHz (F</t>
    </r>
    <r>
      <rPr>
        <b val="true"/>
        <vertAlign val="subscript"/>
        <sz val="10"/>
        <rFont val="Arial"/>
        <family val="2"/>
        <charset val="1"/>
      </rPr>
      <t xml:space="preserve">Z1</t>
    </r>
    <r>
      <rPr>
        <b val="true"/>
        <sz val="10"/>
        <rFont val="Arial"/>
        <family val="2"/>
        <charset val="1"/>
      </rPr>
      <t xml:space="preserve">)</t>
    </r>
  </si>
  <si>
    <r>
      <t xml:space="preserve">C</t>
    </r>
    <r>
      <rPr>
        <b val="true"/>
        <vertAlign val="subscript"/>
        <sz val="10"/>
        <rFont val="Arial"/>
        <family val="2"/>
        <charset val="1"/>
      </rPr>
      <t xml:space="preserve">C1</t>
    </r>
  </si>
  <si>
    <t>pF</t>
  </si>
  <si>
    <r>
      <t xml:space="preserve">kHz (F</t>
    </r>
    <r>
      <rPr>
        <b val="true"/>
        <vertAlign val="subscript"/>
        <sz val="10"/>
        <rFont val="Arial"/>
        <family val="2"/>
        <charset val="1"/>
      </rPr>
      <t xml:space="preserve">Z2</t>
    </r>
    <r>
      <rPr>
        <b val="true"/>
        <sz val="10"/>
        <rFont val="Arial"/>
        <family val="2"/>
        <charset val="1"/>
      </rPr>
      <t xml:space="preserve">)</t>
    </r>
  </si>
  <si>
    <r>
      <t xml:space="preserve">C</t>
    </r>
    <r>
      <rPr>
        <b val="true"/>
        <vertAlign val="subscript"/>
        <sz val="10"/>
        <rFont val="Arial"/>
        <family val="2"/>
        <charset val="1"/>
      </rPr>
      <t xml:space="preserve">C2</t>
    </r>
  </si>
  <si>
    <r>
      <t xml:space="preserve">kHz (F</t>
    </r>
    <r>
      <rPr>
        <b val="true"/>
        <vertAlign val="subscript"/>
        <sz val="10"/>
        <rFont val="Arial"/>
        <family val="2"/>
        <charset val="1"/>
      </rPr>
      <t xml:space="preserve">P1</t>
    </r>
    <r>
      <rPr>
        <b val="true"/>
        <sz val="10"/>
        <rFont val="Arial"/>
        <family val="2"/>
        <charset val="1"/>
      </rPr>
      <t xml:space="preserve">)</t>
    </r>
  </si>
  <si>
    <r>
      <t xml:space="preserve">R</t>
    </r>
    <r>
      <rPr>
        <b val="true"/>
        <vertAlign val="subscript"/>
        <sz val="10"/>
        <rFont val="Arial"/>
        <family val="2"/>
        <charset val="1"/>
      </rPr>
      <t xml:space="preserve">C2</t>
    </r>
  </si>
  <si>
    <t>Ω</t>
  </si>
  <si>
    <r>
      <t xml:space="preserve">kHz (F</t>
    </r>
    <r>
      <rPr>
        <b val="true"/>
        <vertAlign val="subscript"/>
        <sz val="10"/>
        <rFont val="Arial"/>
        <family val="2"/>
        <charset val="1"/>
      </rPr>
      <t xml:space="preserve">P2</t>
    </r>
    <r>
      <rPr>
        <b val="true"/>
        <sz val="10"/>
        <rFont val="Arial"/>
        <family val="2"/>
        <charset val="1"/>
      </rPr>
      <t xml:space="preserve">)</t>
    </r>
  </si>
  <si>
    <r>
      <t xml:space="preserve">C</t>
    </r>
    <r>
      <rPr>
        <b val="true"/>
        <vertAlign val="subscript"/>
        <sz val="10"/>
        <rFont val="Arial"/>
        <family val="2"/>
        <charset val="1"/>
      </rPr>
      <t xml:space="preserve">C3</t>
    </r>
  </si>
  <si>
    <t>Efficiency / Power Loss Analyzer</t>
  </si>
  <si>
    <t>Step 8: Efficiency</t>
  </si>
  <si>
    <r>
      <t xml:space="preserve">High-Side MOSFET (Q</t>
    </r>
    <r>
      <rPr>
        <b val="true"/>
        <vertAlign val="subscript"/>
        <sz val="10"/>
        <color rgb="FF0000FF"/>
        <rFont val="Arial"/>
        <family val="2"/>
        <charset val="1"/>
      </rPr>
      <t xml:space="preserve">1</t>
    </r>
    <r>
      <rPr>
        <b val="true"/>
        <sz val="10"/>
        <color rgb="FF0000FF"/>
        <rFont val="Arial"/>
        <family val="2"/>
        <charset val="1"/>
      </rPr>
      <t xml:space="preserve">) Specifications</t>
    </r>
  </si>
  <si>
    <t>CSD87350Q5D</t>
  </si>
  <si>
    <r>
      <t xml:space="preserve">On-State Resistance, R</t>
    </r>
    <r>
      <rPr>
        <b val="true"/>
        <vertAlign val="subscript"/>
        <sz val="10"/>
        <rFont val="Arial"/>
        <family val="2"/>
        <charset val="1"/>
      </rPr>
      <t xml:space="preserve">DS(on)</t>
    </r>
    <r>
      <rPr>
        <b val="true"/>
        <sz val="10"/>
        <rFont val="Arial"/>
        <family val="2"/>
        <charset val="1"/>
      </rPr>
      <t xml:space="preserve"> </t>
    </r>
  </si>
  <si>
    <r>
      <t xml:space="preserve">Total Gate Charge, Q</t>
    </r>
    <r>
      <rPr>
        <b val="true"/>
        <vertAlign val="subscript"/>
        <sz val="10"/>
        <rFont val="Arial"/>
        <family val="2"/>
        <charset val="1"/>
      </rPr>
      <t xml:space="preserve">G</t>
    </r>
    <r>
      <rPr>
        <b val="true"/>
        <sz val="10"/>
        <rFont val="Arial"/>
        <family val="2"/>
        <charset val="1"/>
      </rPr>
      <t xml:space="preserve"> </t>
    </r>
  </si>
  <si>
    <t>nC</t>
  </si>
  <si>
    <r>
      <t xml:space="preserve">Gate-Drain Charge, Q</t>
    </r>
    <r>
      <rPr>
        <b val="true"/>
        <vertAlign val="subscript"/>
        <sz val="10"/>
        <rFont val="Arial"/>
        <family val="2"/>
        <charset val="1"/>
      </rPr>
      <t xml:space="preserve">GD</t>
    </r>
    <r>
      <rPr>
        <b val="true"/>
        <sz val="10"/>
        <rFont val="Arial"/>
        <family val="2"/>
        <charset val="1"/>
      </rPr>
      <t xml:space="preserve"> </t>
    </r>
  </si>
  <si>
    <r>
      <t xml:space="preserve">Gate-Source Charge, Q</t>
    </r>
    <r>
      <rPr>
        <b val="true"/>
        <vertAlign val="subscript"/>
        <sz val="10"/>
        <rFont val="Arial"/>
        <family val="2"/>
        <charset val="1"/>
      </rPr>
      <t xml:space="preserve">GS</t>
    </r>
    <r>
      <rPr>
        <b val="true"/>
        <sz val="10"/>
        <rFont val="Arial"/>
        <family val="2"/>
        <charset val="1"/>
      </rPr>
      <t xml:space="preserve"> </t>
    </r>
  </si>
  <si>
    <r>
      <t xml:space="preserve">Gate Resistance, R</t>
    </r>
    <r>
      <rPr>
        <b val="true"/>
        <vertAlign val="subscript"/>
        <sz val="10"/>
        <rFont val="Arial"/>
        <family val="2"/>
        <charset val="1"/>
      </rPr>
      <t xml:space="preserve">G</t>
    </r>
    <r>
      <rPr>
        <b val="true"/>
        <sz val="10"/>
        <rFont val="Arial"/>
        <family val="2"/>
        <charset val="1"/>
      </rPr>
      <t xml:space="preserve"> </t>
    </r>
  </si>
  <si>
    <r>
      <t xml:space="preserve">Transconductance, g</t>
    </r>
    <r>
      <rPr>
        <b val="true"/>
        <vertAlign val="subscript"/>
        <sz val="10"/>
        <rFont val="Arial"/>
        <family val="2"/>
        <charset val="1"/>
      </rPr>
      <t xml:space="preserve">FS</t>
    </r>
    <r>
      <rPr>
        <b val="true"/>
        <sz val="10"/>
        <rFont val="Arial"/>
        <family val="2"/>
        <charset val="1"/>
      </rPr>
      <t xml:space="preserve"> </t>
    </r>
  </si>
  <si>
    <t>S</t>
  </si>
  <si>
    <r>
      <t xml:space="preserve">Gate-Source Threshold Voltage, V</t>
    </r>
    <r>
      <rPr>
        <b val="true"/>
        <vertAlign val="subscript"/>
        <sz val="10"/>
        <rFont val="Arial"/>
        <family val="2"/>
        <charset val="1"/>
      </rPr>
      <t xml:space="preserve">GS(TH)</t>
    </r>
    <r>
      <rPr>
        <b val="true"/>
        <sz val="10"/>
        <rFont val="Arial"/>
        <family val="2"/>
        <charset val="1"/>
      </rPr>
      <t xml:space="preserve"> </t>
    </r>
  </si>
  <si>
    <r>
      <t xml:space="preserve">Body Diode Forward Voltage, V</t>
    </r>
    <r>
      <rPr>
        <b val="true"/>
        <vertAlign val="subscript"/>
        <sz val="10"/>
        <rFont val="Arial"/>
        <family val="2"/>
        <charset val="1"/>
      </rPr>
      <t xml:space="preserve">BD1</t>
    </r>
    <r>
      <rPr>
        <b val="true"/>
        <sz val="10"/>
        <rFont val="Arial"/>
        <family val="2"/>
        <charset val="1"/>
      </rPr>
      <t xml:space="preserve"> </t>
    </r>
  </si>
  <si>
    <r>
      <t xml:space="preserve">Thermal Resistance, θ</t>
    </r>
    <r>
      <rPr>
        <b val="true"/>
        <vertAlign val="subscript"/>
        <sz val="10"/>
        <rFont val="Arial"/>
        <family val="2"/>
        <charset val="1"/>
      </rPr>
      <t xml:space="preserve">JA</t>
    </r>
    <r>
      <rPr>
        <b val="true"/>
        <sz val="10"/>
        <rFont val="Arial"/>
        <family val="2"/>
        <charset val="1"/>
      </rPr>
      <t xml:space="preserve"> </t>
    </r>
  </si>
  <si>
    <t>°C/W</t>
  </si>
  <si>
    <r>
      <t xml:space="preserve">Low-Side MOSFET (Q</t>
    </r>
    <r>
      <rPr>
        <b val="true"/>
        <vertAlign val="subscript"/>
        <sz val="10"/>
        <color rgb="FF0000FF"/>
        <rFont val="Arial"/>
        <family val="2"/>
        <charset val="1"/>
      </rPr>
      <t xml:space="preserve">2</t>
    </r>
    <r>
      <rPr>
        <b val="true"/>
        <sz val="10"/>
        <color rgb="FF0000FF"/>
        <rFont val="Arial"/>
        <family val="2"/>
        <charset val="1"/>
      </rPr>
      <t xml:space="preserve">) Specifications</t>
    </r>
  </si>
  <si>
    <r>
      <t xml:space="preserve">Body Diode Forward Voltage, V</t>
    </r>
    <r>
      <rPr>
        <b val="true"/>
        <vertAlign val="subscript"/>
        <sz val="10"/>
        <rFont val="Arial"/>
        <family val="2"/>
        <charset val="1"/>
      </rPr>
      <t xml:space="preserve">BD2</t>
    </r>
    <r>
      <rPr>
        <b val="true"/>
        <sz val="10"/>
        <rFont val="Arial"/>
        <family val="2"/>
        <charset val="1"/>
      </rPr>
      <t xml:space="preserve"> </t>
    </r>
  </si>
  <si>
    <r>
      <t xml:space="preserve">Body Diode Recovery Charge, Q</t>
    </r>
    <r>
      <rPr>
        <b val="true"/>
        <vertAlign val="subscript"/>
        <sz val="10"/>
        <rFont val="Arial"/>
        <family val="2"/>
        <charset val="1"/>
      </rPr>
      <t xml:space="preserve">RR</t>
    </r>
    <r>
      <rPr>
        <b val="true"/>
        <sz val="10"/>
        <rFont val="Arial"/>
        <family val="2"/>
        <charset val="1"/>
      </rPr>
      <t xml:space="preserve"> </t>
    </r>
  </si>
  <si>
    <t>Schottky Diode (if applicable)</t>
  </si>
  <si>
    <r>
      <t xml:space="preserve">Schottky Diode Forward Voltage, V</t>
    </r>
    <r>
      <rPr>
        <b val="true"/>
        <vertAlign val="subscript"/>
        <sz val="10"/>
        <rFont val="Arial"/>
        <family val="2"/>
        <charset val="1"/>
      </rPr>
      <t xml:space="preserve">SD</t>
    </r>
    <r>
      <rPr>
        <b val="true"/>
        <sz val="10"/>
        <rFont val="Arial"/>
        <family val="2"/>
        <charset val="1"/>
      </rPr>
      <t xml:space="preserve"> </t>
    </r>
  </si>
  <si>
    <r>
      <t xml:space="preserve">Schottky Diode Recovery Charge, Q</t>
    </r>
    <r>
      <rPr>
        <b val="true"/>
        <vertAlign val="subscript"/>
        <sz val="10"/>
        <rFont val="Arial"/>
        <family val="2"/>
        <charset val="1"/>
      </rPr>
      <t xml:space="preserve">RR2</t>
    </r>
    <r>
      <rPr>
        <b val="true"/>
        <sz val="10"/>
        <rFont val="Arial"/>
        <family val="2"/>
        <charset val="1"/>
      </rPr>
      <t xml:space="preserve"> </t>
    </r>
  </si>
  <si>
    <t>** Tie SYNC to GND if not used **</t>
  </si>
  <si>
    <t>High Efficiency Synchronous Buck Regulator BOM</t>
  </si>
  <si>
    <t>Count</t>
  </si>
  <si>
    <t>Ref Des</t>
  </si>
  <si>
    <t>Value</t>
  </si>
  <si>
    <t>Description</t>
  </si>
  <si>
    <t>Size</t>
  </si>
  <si>
    <t>Part Number</t>
  </si>
  <si>
    <t>MFR</t>
  </si>
  <si>
    <r>
      <t xml:space="preserve">C</t>
    </r>
    <r>
      <rPr>
        <vertAlign val="subscript"/>
        <sz val="10"/>
        <rFont val="Arial"/>
        <family val="2"/>
        <charset val="1"/>
      </rPr>
      <t xml:space="preserve">BOOT</t>
    </r>
    <r>
      <rPr>
        <sz val="10"/>
        <rFont val="Arial"/>
        <family val="2"/>
        <charset val="1"/>
      </rPr>
      <t xml:space="preserve">, C</t>
    </r>
    <r>
      <rPr>
        <vertAlign val="subscript"/>
        <sz val="10"/>
        <rFont val="Arial"/>
        <family val="2"/>
        <charset val="1"/>
      </rPr>
      <t xml:space="preserve">OTP</t>
    </r>
    <r>
      <rPr>
        <sz val="10"/>
        <rFont val="Arial"/>
        <family val="2"/>
        <charset val="1"/>
      </rPr>
      <t xml:space="preserve">, C</t>
    </r>
    <r>
      <rPr>
        <vertAlign val="subscript"/>
        <sz val="10"/>
        <rFont val="Arial"/>
        <family val="2"/>
        <charset val="1"/>
      </rPr>
      <t xml:space="preserve">T</t>
    </r>
  </si>
  <si>
    <t>0603</t>
  </si>
  <si>
    <t>Std</t>
  </si>
  <si>
    <r>
      <t xml:space="preserve">C</t>
    </r>
    <r>
      <rPr>
        <vertAlign val="subscript"/>
        <sz val="10"/>
        <rFont val="Arial"/>
        <family val="2"/>
        <charset val="1"/>
      </rPr>
      <t xml:space="preserve">C1</t>
    </r>
  </si>
  <si>
    <r>
      <t xml:space="preserve">C</t>
    </r>
    <r>
      <rPr>
        <vertAlign val="subscript"/>
        <sz val="10"/>
        <rFont val="Arial"/>
        <family val="2"/>
        <charset val="1"/>
      </rPr>
      <t xml:space="preserve">C2</t>
    </r>
  </si>
  <si>
    <r>
      <t xml:space="preserve">C</t>
    </r>
    <r>
      <rPr>
        <vertAlign val="subscript"/>
        <sz val="10"/>
        <rFont val="Arial"/>
        <family val="2"/>
        <charset val="1"/>
      </rPr>
      <t xml:space="preserve">C3</t>
    </r>
  </si>
  <si>
    <r>
      <t xml:space="preserve">C</t>
    </r>
    <r>
      <rPr>
        <vertAlign val="subscript"/>
        <sz val="10"/>
        <rFont val="Arial"/>
        <family val="2"/>
        <charset val="1"/>
      </rPr>
      <t xml:space="preserve">CS</t>
    </r>
  </si>
  <si>
    <r>
      <t xml:space="preserve">C</t>
    </r>
    <r>
      <rPr>
        <vertAlign val="subscript"/>
        <sz val="10"/>
        <rFont val="Arial"/>
        <family val="2"/>
        <charset val="1"/>
      </rPr>
      <t xml:space="preserve">D</t>
    </r>
  </si>
  <si>
    <r>
      <t xml:space="preserve">C</t>
    </r>
    <r>
      <rPr>
        <vertAlign val="subscript"/>
        <sz val="10"/>
        <rFont val="Arial"/>
        <family val="2"/>
        <charset val="1"/>
      </rPr>
      <t xml:space="preserve">IN</t>
    </r>
  </si>
  <si>
    <r>
      <t xml:space="preserve">C</t>
    </r>
    <r>
      <rPr>
        <vertAlign val="subscript"/>
        <sz val="10"/>
        <rFont val="Arial"/>
        <family val="2"/>
        <charset val="1"/>
      </rPr>
      <t xml:space="preserve">OUT</t>
    </r>
  </si>
  <si>
    <r>
      <t xml:space="preserve">C</t>
    </r>
    <r>
      <rPr>
        <vertAlign val="subscript"/>
        <sz val="10"/>
        <rFont val="Arial"/>
        <family val="2"/>
        <charset val="1"/>
      </rPr>
      <t xml:space="preserve">S</t>
    </r>
  </si>
  <si>
    <r>
      <t xml:space="preserve">C</t>
    </r>
    <r>
      <rPr>
        <vertAlign val="subscript"/>
        <sz val="10"/>
        <rFont val="Arial"/>
        <family val="2"/>
        <charset val="1"/>
      </rPr>
      <t xml:space="preserve">SS</t>
    </r>
  </si>
  <si>
    <r>
      <t xml:space="preserve">C</t>
    </r>
    <r>
      <rPr>
        <vertAlign val="subscript"/>
        <sz val="10"/>
        <rFont val="Arial"/>
        <family val="2"/>
        <charset val="1"/>
      </rPr>
      <t xml:space="preserve">VDD</t>
    </r>
  </si>
  <si>
    <r>
      <t xml:space="preserve">C</t>
    </r>
    <r>
      <rPr>
        <vertAlign val="subscript"/>
        <sz val="10"/>
        <rFont val="Arial"/>
        <family val="2"/>
        <charset val="1"/>
      </rPr>
      <t xml:space="preserve">VIN</t>
    </r>
  </si>
  <si>
    <r>
      <t xml:space="preserve">D</t>
    </r>
    <r>
      <rPr>
        <vertAlign val="subscript"/>
        <sz val="10"/>
        <rFont val="Arial"/>
        <family val="2"/>
        <charset val="1"/>
      </rPr>
      <t xml:space="preserve">BOOT</t>
    </r>
  </si>
  <si>
    <t>See description</t>
  </si>
  <si>
    <t>BAT64-02W, 40V, 200mA, Schottky</t>
  </si>
  <si>
    <t>SOD523</t>
  </si>
  <si>
    <t>BAT64-02W</t>
  </si>
  <si>
    <t>Infineon</t>
  </si>
  <si>
    <r>
      <t xml:space="preserve">L</t>
    </r>
    <r>
      <rPr>
        <vertAlign val="subscript"/>
        <sz val="10"/>
        <rFont val="Arial"/>
        <family val="2"/>
        <charset val="1"/>
      </rPr>
      <t xml:space="preserve">OUT</t>
    </r>
  </si>
  <si>
    <t>-</t>
  </si>
  <si>
    <t>Various</t>
  </si>
  <si>
    <r>
      <t xml:space="preserve">Q</t>
    </r>
    <r>
      <rPr>
        <vertAlign val="subscript"/>
        <sz val="10"/>
        <rFont val="Arial"/>
        <family val="2"/>
        <charset val="1"/>
      </rPr>
      <t xml:space="preserve">1</t>
    </r>
  </si>
  <si>
    <t>SON 5 x 6 mm</t>
  </si>
  <si>
    <t>TI</t>
  </si>
  <si>
    <r>
      <t xml:space="preserve">Q</t>
    </r>
    <r>
      <rPr>
        <vertAlign val="subscript"/>
        <sz val="10"/>
        <rFont val="Arial"/>
        <family val="2"/>
        <charset val="1"/>
      </rPr>
      <t xml:space="preserve">2</t>
    </r>
  </si>
  <si>
    <r>
      <t xml:space="preserve">Q</t>
    </r>
    <r>
      <rPr>
        <vertAlign val="subscript"/>
        <sz val="10"/>
        <rFont val="Arial"/>
        <family val="2"/>
        <charset val="1"/>
      </rPr>
      <t xml:space="preserve">T</t>
    </r>
  </si>
  <si>
    <t>2N3904</t>
  </si>
  <si>
    <t>Transistor, NPN, 40V, 200mA</t>
  </si>
  <si>
    <t>SOT323</t>
  </si>
  <si>
    <t>MMBT3904T</t>
  </si>
  <si>
    <r>
      <t xml:space="preserve">R</t>
    </r>
    <r>
      <rPr>
        <vertAlign val="subscript"/>
        <sz val="10"/>
        <rFont val="Arial"/>
        <family val="2"/>
        <charset val="1"/>
      </rPr>
      <t xml:space="preserve">C1</t>
    </r>
  </si>
  <si>
    <r>
      <t xml:space="preserve">R</t>
    </r>
    <r>
      <rPr>
        <vertAlign val="subscript"/>
        <sz val="10"/>
        <rFont val="Arial"/>
        <family val="2"/>
        <charset val="1"/>
      </rPr>
      <t xml:space="preserve">C2</t>
    </r>
  </si>
  <si>
    <r>
      <t xml:space="preserve">R</t>
    </r>
    <r>
      <rPr>
        <vertAlign val="subscript"/>
        <sz val="10"/>
        <rFont val="Arial"/>
        <family val="2"/>
        <charset val="1"/>
      </rPr>
      <t xml:space="preserve">CS</t>
    </r>
    <r>
      <rPr>
        <sz val="10"/>
        <rFont val="Arial"/>
        <family val="2"/>
        <charset val="1"/>
      </rPr>
      <t xml:space="preserve">, R</t>
    </r>
    <r>
      <rPr>
        <vertAlign val="subscript"/>
        <sz val="10"/>
        <rFont val="Arial"/>
        <family val="2"/>
        <charset val="1"/>
      </rPr>
      <t xml:space="preserve">ISET</t>
    </r>
  </si>
  <si>
    <r>
      <t xml:space="preserve">R</t>
    </r>
    <r>
      <rPr>
        <vertAlign val="subscript"/>
        <sz val="10"/>
        <rFont val="Arial"/>
        <family val="2"/>
        <charset val="1"/>
      </rPr>
      <t xml:space="preserve">FADJ</t>
    </r>
  </si>
  <si>
    <r>
      <t xml:space="preserve">R</t>
    </r>
    <r>
      <rPr>
        <vertAlign val="subscript"/>
        <sz val="10"/>
        <rFont val="Arial"/>
        <family val="2"/>
        <charset val="1"/>
      </rPr>
      <t xml:space="preserve">FB1</t>
    </r>
  </si>
  <si>
    <r>
      <t xml:space="preserve">R</t>
    </r>
    <r>
      <rPr>
        <vertAlign val="subscript"/>
        <sz val="10"/>
        <rFont val="Arial"/>
        <family val="2"/>
        <charset val="1"/>
      </rPr>
      <t xml:space="preserve">FB2</t>
    </r>
  </si>
  <si>
    <r>
      <t xml:space="preserve">R</t>
    </r>
    <r>
      <rPr>
        <vertAlign val="subscript"/>
        <sz val="10"/>
        <rFont val="Arial"/>
        <family val="2"/>
        <charset val="1"/>
      </rPr>
      <t xml:space="preserve">PGOOD</t>
    </r>
  </si>
  <si>
    <r>
      <t xml:space="preserve">R</t>
    </r>
    <r>
      <rPr>
        <vertAlign val="subscript"/>
        <sz val="10"/>
        <rFont val="Arial"/>
        <family val="2"/>
        <charset val="1"/>
      </rPr>
      <t xml:space="preserve">S</t>
    </r>
  </si>
  <si>
    <r>
      <t xml:space="preserve">R</t>
    </r>
    <r>
      <rPr>
        <vertAlign val="subscript"/>
        <sz val="10"/>
        <rFont val="Arial"/>
        <family val="2"/>
        <charset val="1"/>
      </rPr>
      <t xml:space="preserve">OTP</t>
    </r>
  </si>
  <si>
    <r>
      <t xml:space="preserve">R</t>
    </r>
    <r>
      <rPr>
        <vertAlign val="subscript"/>
        <sz val="10"/>
        <rFont val="Arial"/>
        <family val="2"/>
        <charset val="1"/>
      </rPr>
      <t xml:space="preserve">UV1</t>
    </r>
  </si>
  <si>
    <r>
      <t xml:space="preserve">R</t>
    </r>
    <r>
      <rPr>
        <vertAlign val="subscript"/>
        <sz val="10"/>
        <rFont val="Arial"/>
        <family val="2"/>
        <charset val="1"/>
      </rPr>
      <t xml:space="preserve">UV2</t>
    </r>
  </si>
  <si>
    <r>
      <t xml:space="preserve">R</t>
    </r>
    <r>
      <rPr>
        <vertAlign val="subscript"/>
        <sz val="10"/>
        <rFont val="Arial"/>
        <family val="2"/>
        <charset val="1"/>
      </rPr>
      <t xml:space="preserve">VIN</t>
    </r>
  </si>
  <si>
    <r>
      <t xml:space="preserve">U</t>
    </r>
    <r>
      <rPr>
        <b val="true"/>
        <vertAlign val="subscript"/>
        <sz val="10"/>
        <rFont val="Arial"/>
        <family val="2"/>
        <charset val="1"/>
      </rPr>
      <t xml:space="preserve">1</t>
    </r>
  </si>
  <si>
    <t>LM27403</t>
  </si>
  <si>
    <t>IC, LM27403, PWM Controller with DCR Current Sensing, 3V-20V Input</t>
  </si>
  <si>
    <t>WQFN-24</t>
  </si>
  <si>
    <t>LM27403SQ</t>
  </si>
  <si>
    <r>
      <t xml:space="preserve">NOTES</t>
    </r>
    <r>
      <rPr>
        <b val="true"/>
        <sz val="10"/>
        <rFont val="Arial"/>
        <family val="2"/>
        <charset val="1"/>
      </rPr>
      <t xml:space="preserve">:</t>
    </r>
  </si>
  <si>
    <t>** TI PowerBlock MOSFET has vertically-stacked high- and low-side MOSFETs integrated in one package **</t>
  </si>
  <si>
    <t>** Inductor saturation current should be higher than the current limit setpoint at all operating temperatures **</t>
  </si>
  <si>
    <t>** Effective output capacitance should be appropriately derated for applied voltage and temperature, particularly with ceramics **</t>
  </si>
  <si>
    <t> LM27403 DC-DC Regulator Design Tool</t>
  </si>
  <si>
    <t>LM27403EVM PCB Layout</t>
  </si>
  <si>
    <t>LM27403EVM-POL600 PCB Layout</t>
  </si>
  <si>
    <t>Excel Variables Names/Calculations</t>
  </si>
  <si>
    <t>Input from user =</t>
  </si>
  <si>
    <t>Output =</t>
  </si>
  <si>
    <t>Constant</t>
  </si>
  <si>
    <t>Variable Name</t>
  </si>
  <si>
    <t>STD Units</t>
  </si>
  <si>
    <t>Notes</t>
  </si>
  <si>
    <t>iteration</t>
  </si>
  <si>
    <t>Step 1: Operational Specs</t>
  </si>
  <si>
    <t>Vin</t>
  </si>
  <si>
    <t>Nominal input voltage</t>
  </si>
  <si>
    <t>Vout</t>
  </si>
  <si>
    <t>Output Voltage</t>
  </si>
  <si>
    <t>Iout</t>
  </si>
  <si>
    <t>Maximum output Current</t>
  </si>
  <si>
    <t>Fsw</t>
  </si>
  <si>
    <t>Hz</t>
  </si>
  <si>
    <t>Nominal Operational Frequency</t>
  </si>
  <si>
    <t>Vref</t>
  </si>
  <si>
    <t>Reference Voltage</t>
  </si>
  <si>
    <t>Rfadj</t>
  </si>
  <si>
    <t>W</t>
  </si>
  <si>
    <t>Totp</t>
  </si>
  <si>
    <t>Step 2: Inductor</t>
  </si>
  <si>
    <t>Don1</t>
  </si>
  <si>
    <t>index</t>
  </si>
  <si>
    <t>ideal Duty Cycle</t>
  </si>
  <si>
    <t>Doff1</t>
  </si>
  <si>
    <t>Ideal 1- Duty Cycle</t>
  </si>
  <si>
    <t>Lout1</t>
  </si>
  <si>
    <t>H</t>
  </si>
  <si>
    <t>Calculated Inductor value for 30% ripple</t>
  </si>
  <si>
    <t>Lout2</t>
  </si>
  <si>
    <t>Chosen Inductor Value</t>
  </si>
  <si>
    <t>Rdcr</t>
  </si>
  <si>
    <t>DCR</t>
  </si>
  <si>
    <t>Don2</t>
  </si>
  <si>
    <t>Duty Cycle with DCR accounted for</t>
  </si>
  <si>
    <t>Doff2</t>
  </si>
  <si>
    <t>1-Duty Cycle with DCR accounted for</t>
  </si>
  <si>
    <t>Vripple1</t>
  </si>
  <si>
    <t>Choosen Initial Voltage ripple Value</t>
  </si>
  <si>
    <t>Irripple1</t>
  </si>
  <si>
    <t>Ripple Current after Chosen inductor (p-p)</t>
  </si>
  <si>
    <t>DCR at hot</t>
  </si>
  <si>
    <t>Ohms</t>
  </si>
  <si>
    <t>Temp</t>
  </si>
  <si>
    <t>TL</t>
  </si>
  <si>
    <t>s</t>
  </si>
  <si>
    <t>L/R Time Constant</t>
  </si>
  <si>
    <t>Step 3: Current Limit</t>
  </si>
  <si>
    <t>Common Circuit (Y/N)?</t>
  </si>
  <si>
    <t>yes</t>
  </si>
  <si>
    <t>no</t>
  </si>
  <si>
    <t>Ilimit</t>
  </si>
  <si>
    <t>Chosen current limit level</t>
  </si>
  <si>
    <t>Ics</t>
  </si>
  <si>
    <t>Current Limit Current Source</t>
  </si>
  <si>
    <t>Rsetideal</t>
  </si>
  <si>
    <t>Ideal Rset for the chossen current limit</t>
  </si>
  <si>
    <t>Rset</t>
  </si>
  <si>
    <t>Starndard value current limit set resistor</t>
  </si>
  <si>
    <t>Csideal</t>
  </si>
  <si>
    <t>F</t>
  </si>
  <si>
    <t>Ideal filter capacitor </t>
  </si>
  <si>
    <t>Cs</t>
  </si>
  <si>
    <t>Standard size based on Csideal filter capacitor</t>
  </si>
  <si>
    <t>Rsideal</t>
  </si>
  <si>
    <t>Based on 0.22uF DCR filter capacitor</t>
  </si>
  <si>
    <t>Rs</t>
  </si>
  <si>
    <t>Same as recommended filter resistor</t>
  </si>
  <si>
    <t>Ilimit2</t>
  </si>
  <si>
    <t>Current limit setpoint after standard components are selected</t>
  </si>
  <si>
    <t>Icoutrms</t>
  </si>
  <si>
    <t>Output Cap rms current</t>
  </si>
  <si>
    <t>Coutmin</t>
  </si>
  <si>
    <t>Minimum Output Capacitnace</t>
  </si>
  <si>
    <t>Cout</t>
  </si>
  <si>
    <t>Choosen Output Capacitor</t>
  </si>
  <si>
    <t>Resrmax</t>
  </si>
  <si>
    <t>Max ESR before ripple exceeds Vripple1</t>
  </si>
  <si>
    <t>CoutEsr</t>
  </si>
  <si>
    <t>Chosen ESR</t>
  </si>
  <si>
    <t>Vripple</t>
  </si>
  <si>
    <t>Vp-p</t>
  </si>
  <si>
    <t>Vinripple1</t>
  </si>
  <si>
    <t>Icinrms</t>
  </si>
  <si>
    <t>Cinmin</t>
  </si>
  <si>
    <t>Cin</t>
  </si>
  <si>
    <t>Input capacitance</t>
  </si>
  <si>
    <t>CinEsrMax</t>
  </si>
  <si>
    <t>RCinEsr</t>
  </si>
  <si>
    <t>Input capacitance series resistance (ESR)</t>
  </si>
  <si>
    <t>Vinripple2</t>
  </si>
  <si>
    <t>Step 6: Soft Start</t>
  </si>
  <si>
    <t>Tss</t>
  </si>
  <si>
    <t>Soft Start Time</t>
  </si>
  <si>
    <t>Iss</t>
  </si>
  <si>
    <t>Load Cap current during soft start</t>
  </si>
  <si>
    <t>Css</t>
  </si>
  <si>
    <t>Css_u</t>
  </si>
  <si>
    <t>Step 7: Other Components</t>
  </si>
  <si>
    <r>
      <t xml:space="preserve">VIN</t>
    </r>
    <r>
      <rPr>
        <vertAlign val="subscript"/>
        <sz val="10"/>
        <rFont val="Arial"/>
        <family val="2"/>
        <charset val="1"/>
      </rPr>
      <t xml:space="preserve">UVLO_ON</t>
    </r>
  </si>
  <si>
    <r>
      <t xml:space="preserve">VIN</t>
    </r>
    <r>
      <rPr>
        <vertAlign val="subscript"/>
        <sz val="10"/>
        <rFont val="Arial"/>
        <family val="2"/>
        <charset val="1"/>
      </rPr>
      <t xml:space="preserve">UVLO_OFF</t>
    </r>
  </si>
  <si>
    <t>kΩ</t>
  </si>
  <si>
    <r>
      <t xml:space="preserve">VIN</t>
    </r>
    <r>
      <rPr>
        <vertAlign val="subscript"/>
        <sz val="10"/>
        <rFont val="Arial"/>
        <family val="2"/>
        <charset val="1"/>
      </rPr>
      <t xml:space="preserve">UVLO_ON_ACTUAL</t>
    </r>
  </si>
  <si>
    <r>
      <t xml:space="preserve">VIN</t>
    </r>
    <r>
      <rPr>
        <vertAlign val="subscript"/>
        <sz val="10"/>
        <rFont val="Arial"/>
        <family val="2"/>
        <charset val="1"/>
      </rPr>
      <t xml:space="preserve">UVLO_OFF_ACTUAL</t>
    </r>
  </si>
  <si>
    <t>Rising UVLO/EN Threshold</t>
  </si>
  <si>
    <t>Falling UVLO/EN Threshold</t>
  </si>
  <si>
    <t>UVLO/EN Current Hysteresis</t>
  </si>
  <si>
    <t>Falling UVLO/EN Falling</t>
  </si>
  <si>
    <t>Rising UVLO/EN Hysteresis </t>
  </si>
  <si>
    <r>
      <t xml:space="preserve">R</t>
    </r>
    <r>
      <rPr>
        <vertAlign val="subscript"/>
        <sz val="10"/>
        <rFont val="Arial"/>
        <family val="2"/>
        <charset val="1"/>
      </rPr>
      <t xml:space="preserve">PG</t>
    </r>
  </si>
  <si>
    <r>
      <t xml:space="preserve">R</t>
    </r>
    <r>
      <rPr>
        <vertAlign val="subscript"/>
        <sz val="10"/>
        <rFont val="Arial"/>
        <family val="2"/>
        <charset val="1"/>
      </rPr>
      <t xml:space="preserve">SB</t>
    </r>
  </si>
  <si>
    <t>Rh</t>
  </si>
  <si>
    <t>Rotp</t>
  </si>
  <si>
    <t>CSBY</t>
  </si>
  <si>
    <t>Step 8: Compensation</t>
  </si>
  <si>
    <t>Eadcg</t>
  </si>
  <si>
    <t>Error Amplifier Finite DC Gain (AOL)</t>
  </si>
  <si>
    <t>GBP</t>
  </si>
  <si>
    <t>Error Amplifier Gain Bandwidth Product (GBW)</t>
  </si>
  <si>
    <t>Chosen Crossover</t>
  </si>
  <si>
    <t>Kmidband</t>
  </si>
  <si>
    <t>Midband Gain For the Error Amplifier</t>
  </si>
  <si>
    <t>Rfb1</t>
  </si>
  <si>
    <t>Top Feedback Resistor</t>
  </si>
  <si>
    <t>Rfb2</t>
  </si>
  <si>
    <t>Bottom Feedback Resistor</t>
  </si>
  <si>
    <t>Rfb2_u</t>
  </si>
  <si>
    <t>User Chosen Feedback Resistor</t>
  </si>
  <si>
    <t>Vramp</t>
  </si>
  <si>
    <t>Peak-to-Peak Ramp Voltage of PWM</t>
  </si>
  <si>
    <t>Rcea1</t>
  </si>
  <si>
    <t>This component will first set the midband gain</t>
  </si>
  <si>
    <t>Cc1ea</t>
  </si>
  <si>
    <t>This along with Rcea1 will set a zero</t>
  </si>
  <si>
    <t>Cc2ea</t>
  </si>
  <si>
    <t>Rcea2</t>
  </si>
  <si>
    <t>Cc3ea</t>
  </si>
  <si>
    <r>
      <t xml:space="preserve">Choosen Compensation Components from the </t>
    </r>
    <r>
      <rPr>
        <b val="true"/>
        <u val="single"/>
        <sz val="10"/>
        <color rgb="FFFF0000"/>
        <rFont val="Arial"/>
        <family val="2"/>
        <charset val="1"/>
      </rPr>
      <t xml:space="preserve">standard value sheet</t>
    </r>
  </si>
  <si>
    <t>Rcea1_u</t>
  </si>
  <si>
    <t>Cc1ea_u</t>
  </si>
  <si>
    <t>Cc2ea_u</t>
  </si>
  <si>
    <t>Rcea2_u</t>
  </si>
  <si>
    <t>Cc3ea_u</t>
  </si>
  <si>
    <t>Resulting Poles/Zero/Q Locations</t>
  </si>
  <si>
    <t>Fo</t>
  </si>
  <si>
    <t>LC Double Pole Location</t>
  </si>
  <si>
    <t>Q</t>
  </si>
  <si>
    <t>Quality Factor of LC output Filter</t>
  </si>
  <si>
    <t>Fesr</t>
  </si>
  <si>
    <t>Cout ESR Zero Location</t>
  </si>
  <si>
    <t>Fz1</t>
  </si>
  <si>
    <t>This zero is set at or below the double pole location</t>
  </si>
  <si>
    <t>Fz2</t>
  </si>
  <si>
    <t>Fp1</t>
  </si>
  <si>
    <t>This pole cancels the zero from the Output Cap ESR</t>
  </si>
  <si>
    <t>Fp2</t>
  </si>
  <si>
    <t>This pole is set at half the switching frequency</t>
  </si>
  <si>
    <t>Ro</t>
  </si>
  <si>
    <t>Output Resistance</t>
  </si>
  <si>
    <t>Pi</t>
  </si>
  <si>
    <t>PI</t>
  </si>
  <si>
    <t>Other Input Variables</t>
  </si>
  <si>
    <t>Rfets</t>
  </si>
  <si>
    <t>Series resistance due to FETs</t>
  </si>
  <si>
    <t>Diode loss eq res</t>
  </si>
  <si>
    <t>Fet loss eq res</t>
  </si>
  <si>
    <t>cap loss eq res</t>
  </si>
  <si>
    <t>Sw cap</t>
  </si>
  <si>
    <t>Design</t>
  </si>
  <si>
    <t>Ta</t>
  </si>
  <si>
    <t>Ambient Temperature</t>
  </si>
  <si>
    <t>Components</t>
  </si>
  <si>
    <t>LTc</t>
  </si>
  <si>
    <t>%/°C</t>
  </si>
  <si>
    <t>Inductor Series Resistance Temp Co</t>
  </si>
  <si>
    <t>ThetaCa</t>
  </si>
  <si>
    <t>Core to Ambient Thermal Resistance</t>
  </si>
  <si>
    <t>Input Capacitor Series Resistance</t>
  </si>
  <si>
    <t>Part Characteristics</t>
  </si>
  <si>
    <t>Vdd</t>
  </si>
  <si>
    <t>Top Driver</t>
  </si>
  <si>
    <t>RdsonDRT</t>
  </si>
  <si>
    <t>Drain to Source Resistance of pull up Top FET Driver</t>
  </si>
  <si>
    <t>RdsonDRT2</t>
  </si>
  <si>
    <t>Drain to Source Resistance of pull down Top FET Driver</t>
  </si>
  <si>
    <t>Bottom Driver</t>
  </si>
  <si>
    <t>RdsonDRB</t>
  </si>
  <si>
    <t>RdsonDRB2</t>
  </si>
  <si>
    <t>Deadtime</t>
  </si>
  <si>
    <t>Output Capacitor Capcitance</t>
  </si>
  <si>
    <t>Total Deadtime</t>
  </si>
  <si>
    <t>IQ</t>
  </si>
  <si>
    <t>IQ </t>
  </si>
  <si>
    <t>Quiescent Current Of Controller (Not Switching!)</t>
  </si>
  <si>
    <t>Top FET</t>
  </si>
  <si>
    <t>RdsonTop</t>
  </si>
  <si>
    <t>Drain to Source Resistance of Top FET </t>
  </si>
  <si>
    <t>RdsonTopTc</t>
  </si>
  <si>
    <t>Drain to Source Resistance Temp Co</t>
  </si>
  <si>
    <t>QgTop</t>
  </si>
  <si>
    <t>C</t>
  </si>
  <si>
    <t>Gate Charge Of Top FET</t>
  </si>
  <si>
    <t>QgdTop</t>
  </si>
  <si>
    <t>Gate to Drain Charge</t>
  </si>
  <si>
    <t>QgsTop</t>
  </si>
  <si>
    <t>RGateTop</t>
  </si>
  <si>
    <t>Gate Resistance</t>
  </si>
  <si>
    <t>GfsTop</t>
  </si>
  <si>
    <t>Transconductance of Top FET</t>
  </si>
  <si>
    <t>VthTop</t>
  </si>
  <si>
    <t>Threshold Voltage of Top FET</t>
  </si>
  <si>
    <t>VspTop</t>
  </si>
  <si>
    <t>Switch Point Voltage of Top FET</t>
  </si>
  <si>
    <t>VsdTop</t>
  </si>
  <si>
    <t>Diode Forward Voltage of Top FET Body diode</t>
  </si>
  <si>
    <t>ThetaJaTop</t>
  </si>
  <si>
    <t>Junction to Ambient Resistance</t>
  </si>
  <si>
    <t>Bottom FET</t>
  </si>
  <si>
    <t>RdsonBot</t>
  </si>
  <si>
    <t>Drain To Source Resistance of Bottom FET Driver</t>
  </si>
  <si>
    <t>RdsonBotTc</t>
  </si>
  <si>
    <t>Drain To Source Resitance Temp Co</t>
  </si>
  <si>
    <t>QgBot</t>
  </si>
  <si>
    <t>RGateBot</t>
  </si>
  <si>
    <t>VsdBot</t>
  </si>
  <si>
    <t>Diode Forward Voltage of Bottom FET Body Diode</t>
  </si>
  <si>
    <t>QrrBot</t>
  </si>
  <si>
    <t>Reverse Recovery Charge of Body Diode</t>
  </si>
  <si>
    <t>TrrBot</t>
  </si>
  <si>
    <t>Reverse Recovery Time of Body Diode</t>
  </si>
  <si>
    <t>ThetaJaBot</t>
  </si>
  <si>
    <t>Bottom Schottky</t>
  </si>
  <si>
    <t>VfdSky</t>
  </si>
  <si>
    <t>Diode Forward Voltage</t>
  </si>
  <si>
    <t>QrrSky</t>
  </si>
  <si>
    <t>Diode Reverse Recovery Charge</t>
  </si>
  <si>
    <t>Ireverse</t>
  </si>
  <si>
    <t>Reverse Leakage Current</t>
  </si>
  <si>
    <t>Controller</t>
  </si>
  <si>
    <t>ThetaJaCtrl</t>
  </si>
  <si>
    <t>Outputs</t>
  </si>
  <si>
    <t>Tr</t>
  </si>
  <si>
    <t>Tf</t>
  </si>
  <si>
    <t>Part Power Disipation</t>
  </si>
  <si>
    <t>Units</t>
  </si>
  <si>
    <t>Power Dis</t>
  </si>
  <si>
    <t>Temp rise</t>
  </si>
  <si>
    <t>Current (switching)</t>
  </si>
  <si>
    <t>Qrr Current</t>
  </si>
  <si>
    <t>Diode Current</t>
  </si>
  <si>
    <t>Total Application Switching IQ</t>
  </si>
  <si>
    <t>Bottom FET/Diode</t>
  </si>
  <si>
    <t>Part Power</t>
  </si>
  <si>
    <t>SCHEMATIC LABELS</t>
  </si>
  <si>
    <t>Capacitance per component (Cout)</t>
  </si>
  <si>
    <t># of output caps</t>
  </si>
  <si>
    <t>CIN</t>
  </si>
  <si>
    <t>Capacitance per component (Cin)</t>
  </si>
  <si>
    <t># of input caps</t>
  </si>
  <si>
    <t>Rpgood</t>
  </si>
  <si>
    <t>20kΩ</t>
  </si>
  <si>
    <t>Cd</t>
  </si>
  <si>
    <t>1nF</t>
  </si>
  <si>
    <t>Blank out</t>
  </si>
  <si>
    <t>OUTPUT CURRENT</t>
  </si>
  <si>
    <t>VIN</t>
  </si>
  <si>
    <t>VIN </t>
  </si>
  <si>
    <t>CBOOT</t>
  </si>
  <si>
    <t>VDD</t>
  </si>
  <si>
    <t>SYNC</t>
  </si>
  <si>
    <t>EN</t>
  </si>
  <si>
    <t>PGOOD</t>
  </si>
  <si>
    <t>SS/TRACK</t>
  </si>
  <si>
    <t>FADJ</t>
  </si>
  <si>
    <t>GND</t>
  </si>
  <si>
    <t>COMP</t>
  </si>
  <si>
    <t>FB</t>
  </si>
  <si>
    <t>CS-</t>
  </si>
  <si>
    <t>CS+</t>
  </si>
  <si>
    <t>LG</t>
  </si>
  <si>
    <t>SW</t>
  </si>
  <si>
    <t>HG</t>
  </si>
  <si>
    <t>RS</t>
  </si>
  <si>
    <t>OTP</t>
  </si>
  <si>
    <t>D+</t>
  </si>
  <si>
    <t>D-</t>
  </si>
  <si>
    <t>Rs1</t>
  </si>
  <si>
    <t>Rs2</t>
  </si>
  <si>
    <t>Rs3</t>
  </si>
  <si>
    <t>Rs4</t>
  </si>
  <si>
    <t>Capacitors</t>
  </si>
  <si>
    <t>Cdd</t>
  </si>
  <si>
    <t>Csb</t>
  </si>
  <si>
    <t>Csby</t>
  </si>
  <si>
    <t>Cby</t>
  </si>
  <si>
    <t>Cb</t>
  </si>
  <si>
    <t>Sugested Cs</t>
  </si>
  <si>
    <t>Inputs</t>
  </si>
  <si>
    <t>Resistors</t>
  </si>
  <si>
    <t>inputs</t>
  </si>
  <si>
    <t>Standard Result</t>
  </si>
  <si>
    <t>Radj</t>
  </si>
  <si>
    <t>Ω</t>
  </si>
  <si>
    <t>(pF)</t>
  </si>
  <si>
    <t>Rc1ea</t>
  </si>
  <si>
    <t>Rc2ea</t>
  </si>
  <si>
    <t>Ruv1</t>
  </si>
  <si>
    <t>Ruv2</t>
  </si>
  <si>
    <t>Riset</t>
  </si>
  <si>
    <t>Rc1</t>
  </si>
  <si>
    <t>Cc1</t>
  </si>
  <si>
    <t>Cc2</t>
  </si>
  <si>
    <t>Rc2</t>
  </si>
  <si>
    <t>Cc3</t>
  </si>
  <si>
    <t>Bode Plot Setup</t>
  </si>
  <si>
    <t>EA MODELING</t>
  </si>
  <si>
    <t>XOVER SEARCH</t>
  </si>
  <si>
    <t>a</t>
  </si>
  <si>
    <t>b</t>
  </si>
  <si>
    <t>c</t>
  </si>
  <si>
    <t>d</t>
  </si>
  <si>
    <t>xover</t>
  </si>
  <si>
    <t>Output Filter</t>
  </si>
  <si>
    <t>Pwm</t>
  </si>
  <si>
    <t>Compensation</t>
  </si>
  <si>
    <t>Design Output</t>
  </si>
  <si>
    <t>Z1</t>
  </si>
  <si>
    <t>Z3</t>
  </si>
  <si>
    <t>Ea Gain BW</t>
  </si>
  <si>
    <t>Complex EA</t>
  </si>
  <si>
    <t>Actual EA Response</t>
  </si>
  <si>
    <t>Actual Open Loop System Response</t>
  </si>
  <si>
    <t>phase margin</t>
  </si>
  <si>
    <t>Comp To Output</t>
  </si>
  <si>
    <t>Esr zero</t>
  </si>
  <si>
    <t>LC Double Pole</t>
  </si>
  <si>
    <t>Origin Pole</t>
  </si>
  <si>
    <t>Num</t>
  </si>
  <si>
    <t>Den</t>
  </si>
  <si>
    <t>Total</t>
  </si>
  <si>
    <t>A(s)</t>
  </si>
  <si>
    <t>Frequency</t>
  </si>
  <si>
    <t>Gain</t>
  </si>
  <si>
    <t>Phase</t>
  </si>
  <si>
    <t>Total Gain</t>
  </si>
  <si>
    <t>Total Phase</t>
  </si>
  <si>
    <t>Phase margin</t>
  </si>
  <si>
    <t>Real</t>
  </si>
  <si>
    <t>Imag</t>
  </si>
  <si>
    <t>Z1 Real</t>
  </si>
  <si>
    <t>Z1 Imag</t>
  </si>
  <si>
    <t>Z3 Real</t>
  </si>
  <si>
    <t>Z3 Imag</t>
  </si>
  <si>
    <t>EAGain</t>
  </si>
  <si>
    <t>Ea Gain (db)</t>
  </si>
  <si>
    <t>Ea Phase</t>
  </si>
  <si>
    <t>Total Phase Margin</t>
  </si>
  <si>
    <t>Total Phase margin</t>
  </si>
  <si>
    <t>Output to Comp 5V In @ 500kHz 0A Iout 25DegC</t>
  </si>
  <si>
    <t>EA Gain BW</t>
  </si>
  <si>
    <t>Actual Total System Response</t>
  </si>
  <si>
    <t>EA Gain</t>
  </si>
  <si>
    <t>EA Gain (dB)</t>
  </si>
  <si>
    <t>EA Phase</t>
  </si>
  <si>
    <t>BUCK CONTROLLER POWER TOOL</t>
  </si>
  <si>
    <t>Enter the values of your design and FET datasheet specifications below. Note that thermal resistance ("Theta JA") will change when components are placed on the PCB</t>
  </si>
  <si>
    <t>Currents</t>
  </si>
  <si>
    <t>INDUCTOR </t>
  </si>
  <si>
    <t>HIGH SIDE FET losses </t>
  </si>
  <si>
    <t>LOW SIDE FET Losses </t>
  </si>
  <si>
    <t>External Diode</t>
  </si>
  <si>
    <t>Diod/eFET</t>
  </si>
  <si>
    <t>Part Losses</t>
  </si>
  <si>
    <t>RESULSTS</t>
  </si>
  <si>
    <t>Input Parameters</t>
  </si>
  <si>
    <t>Step</t>
  </si>
  <si>
    <t>Duty Cycle</t>
  </si>
  <si>
    <t>Current Ripple p-p</t>
  </si>
  <si>
    <t>IRMS</t>
  </si>
  <si>
    <t>DCR    Loss</t>
  </si>
  <si>
    <t>Core</t>
  </si>
  <si>
    <t>Total Inductor Loss/Diss</t>
  </si>
  <si>
    <t>Irms</t>
  </si>
  <si>
    <t>Cout Esr Loss</t>
  </si>
  <si>
    <t>Total Cout Loss/Diss</t>
  </si>
  <si>
    <t>Cin Esr   Loss</t>
  </si>
  <si>
    <t>Total Cin Loss/Diss</t>
  </si>
  <si>
    <t>RDSON Loss</t>
  </si>
  <si>
    <t>Transitional Loss</t>
  </si>
  <si>
    <t>Dead Time Loss </t>
  </si>
  <si>
    <t>Total Top FET Loss/Diss</t>
  </si>
  <si>
    <t>DeadTime Loss</t>
  </si>
  <si>
    <t>Total Bottom Fet Diss/Loss</t>
  </si>
  <si>
    <t>Reverse Recovery Loss</t>
  </si>
  <si>
    <t>IQ      Loss</t>
  </si>
  <si>
    <t>Switching Current Loss</t>
  </si>
  <si>
    <t>Switching Current Diss</t>
  </si>
  <si>
    <t>Total Part Loss</t>
  </si>
  <si>
    <t>Total Loss</t>
  </si>
  <si>
    <t>OUTPUT POWER</t>
  </si>
  <si>
    <t>EFF</t>
  </si>
  <si>
    <t>Top FET Temp Rise</t>
  </si>
  <si>
    <t>Bottom FET Temp Rise</t>
  </si>
  <si>
    <t>Qg</t>
  </si>
  <si>
    <t>θJA=80</t>
  </si>
  <si>
    <t>θJA=100</t>
  </si>
  <si>
    <t>θJA=120</t>
  </si>
  <si>
    <t>θJA=140</t>
  </si>
  <si>
    <t>θJA=160</t>
  </si>
  <si>
    <t>θJA=180</t>
  </si>
  <si>
    <t>θJA=20</t>
  </si>
  <si>
    <t>θJA=30</t>
  </si>
  <si>
    <t>θJA=40</t>
  </si>
  <si>
    <t>θJA=50</t>
  </si>
  <si>
    <t>Input Value</t>
  </si>
  <si>
    <t>250kHz / 5-1.2V /25A</t>
  </si>
  <si>
    <t>250kHz / 12-5V / 30A</t>
  </si>
  <si>
    <t>250kHz / 18-1.2V / 20A</t>
  </si>
  <si>
    <t>Switching Frequency</t>
  </si>
  <si>
    <t>500kHz / 5-1.2V / 15A</t>
  </si>
  <si>
    <t>Max Output Current</t>
  </si>
  <si>
    <t>500kHz / 12-5V / 15A</t>
  </si>
  <si>
    <t>degC</t>
  </si>
  <si>
    <t>1Mhz / 5-1.2V / 10A</t>
  </si>
  <si>
    <t>Subregulated Boost Voltage</t>
  </si>
  <si>
    <t>1Mhz / 12-1.2V/ 10A</t>
  </si>
  <si>
    <t>500kHz / 18-1.2V / 20A</t>
  </si>
  <si>
    <t>L</t>
  </si>
  <si>
    <t>uH</t>
  </si>
  <si>
    <t>Output Inductor Inductance Value</t>
  </si>
  <si>
    <t>θJA=120°C/W - 160°C/W</t>
  </si>
  <si>
    <t>mOhms</t>
  </si>
  <si>
    <t>Inductor Series Resistance at 25 Degrees C</t>
  </si>
  <si>
    <t>θJA=30°C/W - 50°C/W</t>
  </si>
  <si>
    <t>ppm</t>
  </si>
  <si>
    <t>degC/W</t>
  </si>
  <si>
    <t>uF</t>
  </si>
  <si>
    <t>Input Capacitor Capacitance</t>
  </si>
  <si>
    <t>RCoutEsr</t>
  </si>
  <si>
    <t>Output Capacitor Series Resistance</t>
  </si>
  <si>
    <t>EFF_1 @ 25°C</t>
  </si>
  <si>
    <t>Efficiency</t>
  </si>
  <si>
    <t>Pdis</t>
  </si>
  <si>
    <t>Vin=10V</t>
  </si>
  <si>
    <t>Vout=5.1V</t>
  </si>
  <si>
    <t>L=3.3uH/30mOhm </t>
  </si>
  <si>
    <t>4394 Top and Bottom Fets</t>
  </si>
  <si>
    <t>nS</t>
  </si>
  <si>
    <t>mA</t>
  </si>
  <si>
    <t>ns</t>
  </si>
  <si>
    <t>Bottom Shotkey</t>
  </si>
  <si>
    <t>Std Units</t>
  </si>
  <si>
    <t>Theta Ja</t>
  </si>
  <si>
    <t>Dmax</t>
  </si>
  <si>
    <t>Dprime</t>
  </si>
  <si>
    <t>Ipp</t>
  </si>
  <si>
    <t>Deg C</t>
  </si>
  <si>
    <t>UNITS</t>
  </si>
  <si>
    <t>STD UNITS</t>
  </si>
  <si>
    <t>Frequency of Ringing</t>
  </si>
  <si>
    <t>MHz</t>
  </si>
  <si>
    <t>SW capacitance</t>
  </si>
  <si>
    <t>Lpar</t>
  </si>
  <si>
    <t>nH</t>
  </si>
  <si>
    <t>Csnub</t>
  </si>
  <si>
    <t>Rsnub</t>
  </si>
  <si>
    <t>Ripple I</t>
  </si>
  <si>
    <t>R1</t>
  </si>
  <si>
    <t>C1</t>
  </si>
  <si>
    <t>R2</t>
  </si>
  <si>
    <t>C2</t>
  </si>
  <si>
    <t>I1 </t>
  </si>
  <si>
    <t>I2 </t>
  </si>
</sst>
</file>

<file path=xl/styles.xml><?xml version="1.0" encoding="utf-8"?>
<styleSheet xmlns="http://schemas.openxmlformats.org/spreadsheetml/2006/main">
  <numFmts count="35">
    <numFmt numFmtId="164" formatCode="GENERAL"/>
    <numFmt numFmtId="165" formatCode="_(* #,##0.00_);_(* \(#,##0.00\);_(* \-??_);_(@_)"/>
    <numFmt numFmtId="166" formatCode="0"/>
    <numFmt numFmtId="167" formatCode="0.0"/>
    <numFmt numFmtId="168" formatCode="0.00"/>
    <numFmt numFmtId="169" formatCode="0.000"/>
    <numFmt numFmtId="170" formatCode="0.00000000"/>
    <numFmt numFmtId="171" formatCode="0.0000"/>
    <numFmt numFmtId="172" formatCode="#0.0#"/>
    <numFmt numFmtId="173" formatCode="#,##0"/>
    <numFmt numFmtId="174" formatCode="@"/>
    <numFmt numFmtId="175" formatCode="GENERAL&quot;µF&quot;"/>
    <numFmt numFmtId="176" formatCode="&quot;Capacitor, Ceramic, &quot;GENERAL&quot;-µF, 16V, X7R, 10%&quot;"/>
    <numFmt numFmtId="177" formatCode="GENERAL&quot;pF&quot;"/>
    <numFmt numFmtId="178" formatCode="&quot;Capacitor, Ceramic, &quot;GENERAL&quot;-pF, 16V, X7R, 10%&quot;"/>
    <numFmt numFmtId="179" formatCode="&quot;Capacitor, Ceramic, &quot;GENERAL&quot;-pF, 50V, NP0, 5%&quot;"/>
    <numFmt numFmtId="180" formatCode="GENERAL&quot;nF&quot;"/>
    <numFmt numFmtId="181" formatCode="&quot;Capacitor, Ceramic, &quot;GENERAL&quot;-nF, 16V, X7R, 10%&quot;"/>
    <numFmt numFmtId="182" formatCode="&quot;Capacitor, Ceramic, &quot;GENERAL&quot;-µF, 25V, X5R, 20%&quot;"/>
    <numFmt numFmtId="183" formatCode="&quot;Capacitor, Ceramic, &quot;GENERAL&quot;-µF, 6.3V, X5R, 20%&quot;"/>
    <numFmt numFmtId="184" formatCode="&quot;Capacitor, Ceramic, &quot;GENERAL&quot;-µF, 10V, X5R, 20%&quot;"/>
    <numFmt numFmtId="185" formatCode="&quot;Capacitor, Ceramic, &quot;GENERAL&quot;-µF, 25V, X7R, 20%&quot;"/>
    <numFmt numFmtId="186" formatCode="GENERAL&quot;µH&quot;"/>
    <numFmt numFmtId="187" formatCode="&quot;Inductor, &quot;GENERAL&quot;-µH, 10%&quot;"/>
    <numFmt numFmtId="188" formatCode="&quot;MOSFET, N-CH, 30V, &quot;GENERAL&quot;mΩ&quot;"/>
    <numFmt numFmtId="189" formatCode="GENERAL\k"/>
    <numFmt numFmtId="190" formatCode="&quot;Resistor, Chip, &quot;GENERAL&quot;-kΩ, 1/16W, 1%&quot;"/>
    <numFmt numFmtId="191" formatCode="&quot;Resistor, Chip, &quot;GENERAL&quot;-Ω, 1/16W, 1%&quot;"/>
    <numFmt numFmtId="192" formatCode="0.00E+00"/>
    <numFmt numFmtId="193" formatCode="0.000000000"/>
    <numFmt numFmtId="194" formatCode="0.000E+00"/>
    <numFmt numFmtId="195" formatCode="0.00%"/>
    <numFmt numFmtId="196" formatCode="0.0000000"/>
    <numFmt numFmtId="197" formatCode="0.000000"/>
    <numFmt numFmtId="198" formatCode="0.00000"/>
  </numFmts>
  <fonts count="112">
    <font>
      <sz val="10"/>
      <name val="Arial"/>
      <family val="2"/>
      <charset val="1"/>
    </font>
    <font>
      <sz val="10"/>
      <name val="Arial"/>
      <family val="0"/>
    </font>
    <font>
      <sz val="10"/>
      <name val="Arial"/>
      <family val="0"/>
    </font>
    <font>
      <sz val="10"/>
      <name val="Arial"/>
      <family val="0"/>
    </font>
    <font>
      <sz val="11"/>
      <color rgb="FF000000"/>
      <name val="Calibri"/>
      <family val="2"/>
      <charset val="1"/>
    </font>
    <font>
      <sz val="10"/>
      <name val="Calibri"/>
      <family val="2"/>
      <charset val="1"/>
    </font>
    <font>
      <sz val="32"/>
      <color rgb="FFFFFFFF"/>
      <name val="Arial"/>
      <family val="2"/>
      <charset val="1"/>
    </font>
    <font>
      <b val="true"/>
      <sz val="22"/>
      <color rgb="FFFFFFFF"/>
      <name val="Calibri"/>
      <family val="2"/>
      <charset val="1"/>
    </font>
    <font>
      <u val="single"/>
      <sz val="10"/>
      <color rgb="FF808080"/>
      <name val="Arial"/>
      <family val="2"/>
      <charset val="1"/>
    </font>
    <font>
      <u val="single"/>
      <sz val="10"/>
      <color rgb="FF0000FF"/>
      <name val="Arial"/>
      <family val="2"/>
      <charset val="1"/>
    </font>
    <font>
      <b val="true"/>
      <sz val="12"/>
      <color rgb="FFFFFFFF"/>
      <name val="Calibri"/>
      <family val="2"/>
      <charset val="1"/>
    </font>
    <font>
      <b val="true"/>
      <sz val="12"/>
      <color rgb="FF003366"/>
      <name val="Calibri"/>
      <family val="2"/>
      <charset val="1"/>
    </font>
    <font>
      <b val="true"/>
      <sz val="10"/>
      <color rgb="FFFFFFFF"/>
      <name val="Calibri"/>
      <family val="2"/>
      <charset val="1"/>
    </font>
    <font>
      <sz val="10"/>
      <color rgb="FF003366"/>
      <name val="Calibri"/>
      <family val="2"/>
      <charset val="1"/>
    </font>
    <font>
      <b val="true"/>
      <sz val="14"/>
      <color rgb="FFFFFFFF"/>
      <name val="Calibri"/>
      <family val="2"/>
      <charset val="1"/>
    </font>
    <font>
      <b val="true"/>
      <sz val="10"/>
      <color rgb="FFFFFF00"/>
      <name val="Calibri"/>
      <family val="2"/>
      <charset val="1"/>
    </font>
    <font>
      <b val="true"/>
      <sz val="12"/>
      <color rgb="FF0000FF"/>
      <name val="Arial"/>
      <family val="2"/>
      <charset val="1"/>
    </font>
    <font>
      <b val="true"/>
      <i val="true"/>
      <sz val="14"/>
      <color rgb="FF0000FF"/>
      <name val="Calibri"/>
      <family val="2"/>
      <charset val="1"/>
    </font>
    <font>
      <b val="true"/>
      <sz val="10"/>
      <name val="Calibri"/>
      <family val="2"/>
      <charset val="1"/>
    </font>
    <font>
      <sz val="10"/>
      <color rgb="FF969696"/>
      <name val="Calibri"/>
      <family val="2"/>
      <charset val="1"/>
    </font>
    <font>
      <b val="true"/>
      <sz val="10"/>
      <color rgb="FF000000"/>
      <name val="Arial"/>
      <family val="2"/>
      <charset val="1"/>
    </font>
    <font>
      <b val="true"/>
      <vertAlign val="subscript"/>
      <sz val="10"/>
      <color rgb="FF000000"/>
      <name val="Arial"/>
      <family val="2"/>
      <charset val="1"/>
    </font>
    <font>
      <b val="true"/>
      <sz val="10"/>
      <name val="Arial"/>
      <family val="2"/>
      <charset val="1"/>
    </font>
    <font>
      <sz val="10"/>
      <color rgb="FF969696"/>
      <name val="Arial"/>
      <family val="2"/>
      <charset val="1"/>
    </font>
    <font>
      <b val="true"/>
      <i val="true"/>
      <sz val="10"/>
      <color rgb="FF969696"/>
      <name val="Arial"/>
      <family val="2"/>
      <charset val="1"/>
    </font>
    <font>
      <vertAlign val="subscript"/>
      <sz val="10"/>
      <name val="Arial"/>
      <family val="2"/>
      <charset val="1"/>
    </font>
    <font>
      <i val="true"/>
      <sz val="10"/>
      <name val="Arial"/>
      <family val="2"/>
      <charset val="1"/>
    </font>
    <font>
      <sz val="10"/>
      <color rgb="FF808080"/>
      <name val="Arial"/>
      <family val="2"/>
      <charset val="1"/>
    </font>
    <font>
      <b val="true"/>
      <i val="true"/>
      <sz val="14"/>
      <color rgb="FF0000FF"/>
      <name val="Arial"/>
      <family val="2"/>
      <charset val="1"/>
    </font>
    <font>
      <sz val="10"/>
      <color rgb="FF000000"/>
      <name val="Arial"/>
      <family val="2"/>
      <charset val="1"/>
    </font>
    <font>
      <b val="true"/>
      <vertAlign val="subscript"/>
      <sz val="10"/>
      <name val="Arial"/>
      <family val="2"/>
      <charset val="1"/>
    </font>
    <font>
      <sz val="10"/>
      <color rgb="FF808080"/>
      <name val="Calibri"/>
      <family val="2"/>
      <charset val="1"/>
    </font>
    <font>
      <b val="true"/>
      <i val="true"/>
      <sz val="10"/>
      <name val="Arial"/>
      <family val="2"/>
      <charset val="1"/>
    </font>
    <font>
      <b val="true"/>
      <sz val="10"/>
      <color rgb="FFFF0000"/>
      <name val="Arial"/>
      <family val="2"/>
      <charset val="1"/>
    </font>
    <font>
      <sz val="10"/>
      <color rgb="FF0000FF"/>
      <name val="Arial"/>
      <family val="2"/>
      <charset val="1"/>
    </font>
    <font>
      <b val="true"/>
      <sz val="10"/>
      <color rgb="FF0000FF"/>
      <name val="Arial"/>
      <family val="2"/>
      <charset val="1"/>
    </font>
    <font>
      <sz val="10"/>
      <color rgb="FF0000FF"/>
      <name val="Calibri"/>
      <family val="2"/>
      <charset val="1"/>
    </font>
    <font>
      <b val="true"/>
      <i val="true"/>
      <sz val="10"/>
      <color rgb="FF808080"/>
      <name val="Arial"/>
      <family val="2"/>
      <charset val="1"/>
    </font>
    <font>
      <b val="true"/>
      <sz val="14"/>
      <color rgb="FFFFFFFF"/>
      <name val="Arial"/>
      <family val="2"/>
      <charset val="1"/>
    </font>
    <font>
      <sz val="12"/>
      <name val="Arial"/>
      <family val="2"/>
      <charset val="1"/>
    </font>
    <font>
      <sz val="12"/>
      <name val="Calibri"/>
      <family val="2"/>
      <charset val="1"/>
    </font>
    <font>
      <b val="true"/>
      <vertAlign val="subscript"/>
      <sz val="10"/>
      <color rgb="FF0000FF"/>
      <name val="Arial"/>
      <family val="2"/>
      <charset val="1"/>
    </font>
    <font>
      <b val="true"/>
      <u val="single"/>
      <sz val="9"/>
      <color rgb="FF000000"/>
      <name val="Tahoma"/>
      <family val="2"/>
      <charset val="1"/>
    </font>
    <font>
      <b val="true"/>
      <sz val="9"/>
      <color rgb="FF000000"/>
      <name val="Tahoma"/>
      <family val="2"/>
      <charset val="1"/>
    </font>
    <font>
      <sz val="9"/>
      <color rgb="FF000000"/>
      <name val="Tahoma"/>
      <family val="2"/>
      <charset val="1"/>
    </font>
    <font>
      <b val="true"/>
      <sz val="9"/>
      <color rgb="FFFF0000"/>
      <name val="Tahoma"/>
      <family val="2"/>
      <charset val="1"/>
    </font>
    <font>
      <b val="true"/>
      <vertAlign val="subscript"/>
      <sz val="9"/>
      <color rgb="FF000000"/>
      <name val="Tahoma"/>
      <family val="2"/>
      <charset val="1"/>
    </font>
    <font>
      <vertAlign val="subscript"/>
      <sz val="9"/>
      <color rgb="FF000000"/>
      <name val="Tahoma"/>
      <family val="2"/>
      <charset val="1"/>
    </font>
    <font>
      <b val="true"/>
      <sz val="9"/>
      <color rgb="FF0000FF"/>
      <name val="Tahoma"/>
      <family val="2"/>
      <charset val="1"/>
    </font>
    <font>
      <b val="true"/>
      <vertAlign val="subscript"/>
      <sz val="9"/>
      <color rgb="FF0000FF"/>
      <name val="Tahoma"/>
      <family val="2"/>
      <charset val="1"/>
    </font>
    <font>
      <sz val="11"/>
      <color rgb="FF000000"/>
      <name val="Tahoma"/>
      <family val="2"/>
      <charset val="1"/>
    </font>
    <font>
      <b val="true"/>
      <vertAlign val="subscript"/>
      <sz val="9"/>
      <color rgb="FFFF0000"/>
      <name val="Tahoma"/>
      <family val="2"/>
      <charset val="1"/>
    </font>
    <font>
      <sz val="9"/>
      <color rgb="FF0000FF"/>
      <name val="Tahoma"/>
      <family val="2"/>
      <charset val="1"/>
    </font>
    <font>
      <b val="true"/>
      <u val="single"/>
      <sz val="8"/>
      <color rgb="FF000000"/>
      <name val="Tahoma"/>
      <family val="2"/>
      <charset val="1"/>
    </font>
    <font>
      <b val="true"/>
      <sz val="8"/>
      <color rgb="FF000000"/>
      <name val="Tahoma"/>
      <family val="2"/>
      <charset val="1"/>
    </font>
    <font>
      <sz val="8"/>
      <color rgb="FF000000"/>
      <name val="Tahoma"/>
      <family val="2"/>
      <charset val="1"/>
    </font>
    <font>
      <b val="true"/>
      <sz val="8"/>
      <color rgb="FFFF0000"/>
      <name val="Tahoma"/>
      <family val="2"/>
      <charset val="1"/>
    </font>
    <font>
      <b val="true"/>
      <u val="single"/>
      <sz val="9"/>
      <color rgb="FF0000FF"/>
      <name val="Tahoma"/>
      <family val="2"/>
      <charset val="1"/>
    </font>
    <font>
      <b val="true"/>
      <i val="true"/>
      <sz val="9"/>
      <color rgb="FF0000FF"/>
      <name val="Tahoma"/>
      <family val="2"/>
      <charset val="1"/>
    </font>
    <font>
      <b val="true"/>
      <sz val="10"/>
      <color rgb="FF000000"/>
      <name val="Tahoma"/>
      <family val="2"/>
      <charset val="1"/>
    </font>
    <font>
      <b val="true"/>
      <vertAlign val="subscript"/>
      <sz val="10"/>
      <color rgb="FF000000"/>
      <name val="Tahoma"/>
      <family val="2"/>
      <charset val="1"/>
    </font>
    <font>
      <sz val="10"/>
      <color rgb="FF000000"/>
      <name val="Tahoma"/>
      <family val="2"/>
      <charset val="1"/>
    </font>
    <font>
      <vertAlign val="subscript"/>
      <sz val="10"/>
      <color rgb="FF000000"/>
      <name val="Tahoma"/>
      <family val="2"/>
      <charset val="1"/>
    </font>
    <font>
      <sz val="10"/>
      <color rgb="FF000000"/>
      <name val="Calibri"/>
      <family val="2"/>
      <charset val="1"/>
    </font>
    <font>
      <sz val="9"/>
      <color rgb="FF000000"/>
      <name val="Arial"/>
      <family val="2"/>
    </font>
    <font>
      <b val="true"/>
      <sz val="18"/>
      <color rgb="FF000000"/>
      <name val="Arial"/>
      <family val="2"/>
    </font>
    <font>
      <b val="true"/>
      <sz val="11"/>
      <color rgb="FF000000"/>
      <name val="Arial"/>
      <family val="2"/>
    </font>
    <font>
      <b val="true"/>
      <sz val="12"/>
      <color rgb="FF000000"/>
      <name val="Arial"/>
      <family val="2"/>
    </font>
    <font>
      <b val="true"/>
      <sz val="11"/>
      <color rgb="FFFF0000"/>
      <name val="Arial"/>
      <family val="2"/>
    </font>
    <font>
      <b val="true"/>
      <sz val="12"/>
      <color rgb="FFFF0000"/>
      <name val="Arial"/>
      <family val="2"/>
    </font>
    <font>
      <b val="true"/>
      <sz val="10"/>
      <color rgb="FF000000"/>
      <name val="Arial"/>
      <family val="2"/>
    </font>
    <font>
      <b val="true"/>
      <sz val="10.5"/>
      <color rgb="FF002060"/>
      <name val="Arial"/>
      <family val="2"/>
    </font>
    <font>
      <b val="true"/>
      <sz val="12"/>
      <color rgb="FF002060"/>
      <name val="Arial"/>
      <family val="2"/>
    </font>
    <font>
      <b val="true"/>
      <sz val="10.5"/>
      <color rgb="FFFF0000"/>
      <name val="Arial"/>
      <family val="2"/>
    </font>
    <font>
      <b val="true"/>
      <vertAlign val="subscript"/>
      <sz val="18"/>
      <color rgb="FF000000"/>
      <name val="Arial"/>
      <family val="2"/>
    </font>
    <font>
      <b val="true"/>
      <sz val="11"/>
      <color rgb="FF0000FF"/>
      <name val="Arial"/>
      <family val="2"/>
    </font>
    <font>
      <b val="true"/>
      <sz val="12"/>
      <color rgb="FF0000FF"/>
      <name val="Arial"/>
      <family val="2"/>
    </font>
    <font>
      <sz val="11"/>
      <color rgb="FF000000"/>
      <name val="Arial"/>
      <family val="2"/>
    </font>
    <font>
      <sz val="8.5"/>
      <color rgb="FF000000"/>
      <name val="Arial"/>
      <family val="2"/>
    </font>
    <font>
      <sz val="10"/>
      <color rgb="FF000000"/>
      <name val="Arial"/>
      <family val="2"/>
    </font>
    <font>
      <vertAlign val="subscript"/>
      <sz val="10"/>
      <color rgb="FF000000"/>
      <name val="Arial"/>
      <family val="2"/>
    </font>
    <font>
      <sz val="11"/>
      <color rgb="FF000000"/>
      <name val="Calibri"/>
      <family val="2"/>
    </font>
    <font>
      <vertAlign val="subscript"/>
      <sz val="11"/>
      <color rgb="FF000000"/>
      <name val="Calibri"/>
      <family val="2"/>
    </font>
    <font>
      <sz val="10"/>
      <name val="Arial"/>
      <family val="2"/>
    </font>
    <font>
      <sz val="10"/>
      <color rgb="FF000000"/>
      <name val="Calibri"/>
      <family val="2"/>
    </font>
    <font>
      <sz val="10"/>
      <color rgb="FF000000"/>
      <name val="Arialri"/>
      <family val="0"/>
    </font>
    <font>
      <b val="true"/>
      <sz val="16"/>
      <name val="Arial"/>
      <family val="2"/>
      <charset val="1"/>
    </font>
    <font>
      <b val="true"/>
      <sz val="10"/>
      <color rgb="FFFFFFFF"/>
      <name val="Arial"/>
      <family val="2"/>
      <charset val="1"/>
    </font>
    <font>
      <b val="true"/>
      <u val="single"/>
      <sz val="10"/>
      <name val="Arial"/>
      <family val="2"/>
      <charset val="1"/>
    </font>
    <font>
      <sz val="36"/>
      <color rgb="FFFF0000"/>
      <name val="Arial"/>
      <family val="2"/>
      <charset val="1"/>
    </font>
    <font>
      <sz val="16"/>
      <color rgb="FFFFFFFF"/>
      <name val="Arial"/>
      <family val="2"/>
      <charset val="1"/>
    </font>
    <font>
      <b val="true"/>
      <sz val="22"/>
      <color rgb="FF99CCFF"/>
      <name val="Arial"/>
      <family val="2"/>
      <charset val="1"/>
    </font>
    <font>
      <b val="true"/>
      <sz val="12"/>
      <color rgb="FF3366FF"/>
      <name val="Arial"/>
      <family val="2"/>
      <charset val="1"/>
    </font>
    <font>
      <sz val="10"/>
      <name val="Symbol"/>
      <family val="1"/>
      <charset val="2"/>
    </font>
    <font>
      <b val="true"/>
      <u val="single"/>
      <sz val="10"/>
      <color rgb="FFFF0000"/>
      <name val="Arial"/>
      <family val="2"/>
      <charset val="1"/>
    </font>
    <font>
      <b val="true"/>
      <sz val="20"/>
      <color rgb="FF99CCFF"/>
      <name val="Arial"/>
      <family val="2"/>
      <charset val="1"/>
    </font>
    <font>
      <b val="true"/>
      <sz val="8.25"/>
      <color rgb="FF000000"/>
      <name val="Arial"/>
      <family val="2"/>
    </font>
    <font>
      <sz val="8"/>
      <color rgb="FF000000"/>
      <name val="Arial"/>
      <family val="2"/>
    </font>
    <font>
      <b val="true"/>
      <sz val="8"/>
      <color rgb="FF000000"/>
      <name val="Arial"/>
      <family val="2"/>
    </font>
    <font>
      <sz val="6.75"/>
      <color rgb="FF000000"/>
      <name val="Arial"/>
      <family val="2"/>
    </font>
    <font>
      <b val="true"/>
      <sz val="8.5"/>
      <color rgb="FF000000"/>
      <name val="Arial"/>
      <family val="2"/>
    </font>
    <font>
      <b val="true"/>
      <sz val="28"/>
      <color rgb="FF99CCFF"/>
      <name val="Arial"/>
      <family val="2"/>
      <charset val="1"/>
    </font>
    <font>
      <b val="true"/>
      <sz val="10"/>
      <color rgb="FF99CCFF"/>
      <name val="Arial"/>
      <family val="2"/>
      <charset val="1"/>
    </font>
    <font>
      <b val="true"/>
      <sz val="24"/>
      <color rgb="FF99CCFF"/>
      <name val="Arial"/>
      <family val="2"/>
      <charset val="1"/>
    </font>
    <font>
      <sz val="10"/>
      <color rgb="FF99CCFF"/>
      <name val="Arial"/>
      <family val="2"/>
      <charset val="1"/>
    </font>
    <font>
      <b val="true"/>
      <sz val="10.75"/>
      <color rgb="FF000000"/>
      <name val="Arial"/>
      <family val="2"/>
    </font>
    <font>
      <b val="true"/>
      <sz val="9.25"/>
      <color rgb="FF000000"/>
      <name val="Arial"/>
      <family val="2"/>
    </font>
    <font>
      <sz val="7.8"/>
      <color rgb="FF000000"/>
      <name val="Arial"/>
      <family val="2"/>
    </font>
    <font>
      <b val="true"/>
      <sz val="11.25"/>
      <color rgb="FF000000"/>
      <name val="Arial"/>
      <family val="2"/>
    </font>
    <font>
      <b val="true"/>
      <sz val="9.75"/>
      <color rgb="FF000000"/>
      <name val="Arial"/>
      <family val="2"/>
    </font>
    <font>
      <sz val="8.2"/>
      <color rgb="FF000000"/>
      <name val="Arial"/>
      <family val="2"/>
    </font>
    <font>
      <b val="true"/>
      <sz val="10.25"/>
      <color rgb="FF000000"/>
      <name val="Arial"/>
      <family val="2"/>
    </font>
  </fonts>
  <fills count="21">
    <fill>
      <patternFill patternType="none"/>
    </fill>
    <fill>
      <patternFill patternType="gray125"/>
    </fill>
    <fill>
      <patternFill patternType="solid">
        <fgColor rgb="FF000000"/>
        <bgColor rgb="FF003300"/>
      </patternFill>
    </fill>
    <fill>
      <patternFill patternType="solid">
        <fgColor rgb="FFFF0000"/>
        <bgColor rgb="FF993300"/>
      </patternFill>
    </fill>
    <fill>
      <patternFill patternType="solid">
        <fgColor rgb="FF808080"/>
        <bgColor rgb="FF878787"/>
      </patternFill>
    </fill>
    <fill>
      <patternFill patternType="solid">
        <fgColor rgb="FFFFFF00"/>
        <bgColor rgb="FFFFFF00"/>
      </patternFill>
    </fill>
    <fill>
      <patternFill patternType="solid">
        <fgColor rgb="FFFFFFFF"/>
        <bgColor rgb="FFFFFFCC"/>
      </patternFill>
    </fill>
    <fill>
      <patternFill patternType="solid">
        <fgColor rgb="FF003366"/>
        <bgColor rgb="FF002060"/>
      </patternFill>
    </fill>
    <fill>
      <patternFill patternType="solid">
        <fgColor rgb="FFFFFF99"/>
        <bgColor rgb="FFFFFFCC"/>
      </patternFill>
    </fill>
    <fill>
      <patternFill patternType="solid">
        <fgColor rgb="FFC0C0C0"/>
        <bgColor rgb="FFB7B7B7"/>
      </patternFill>
    </fill>
    <fill>
      <patternFill patternType="solid">
        <fgColor rgb="FFFF9900"/>
        <bgColor rgb="FFFFCC00"/>
      </patternFill>
    </fill>
    <fill>
      <patternFill patternType="solid">
        <fgColor rgb="FF99CC00"/>
        <bgColor rgb="FFFFCC00"/>
      </patternFill>
    </fill>
    <fill>
      <patternFill patternType="solid">
        <fgColor rgb="FF969696"/>
        <bgColor rgb="FF878787"/>
      </patternFill>
    </fill>
    <fill>
      <patternFill patternType="solid">
        <fgColor rgb="FFFF6600"/>
        <bgColor rgb="FFFF9900"/>
      </patternFill>
    </fill>
    <fill>
      <patternFill patternType="solid">
        <fgColor rgb="FF99CCFF"/>
        <bgColor rgb="FFC0C0C0"/>
      </patternFill>
    </fill>
    <fill>
      <patternFill patternType="solid">
        <fgColor rgb="FF00FF00"/>
        <bgColor rgb="FF33CCCC"/>
      </patternFill>
    </fill>
    <fill>
      <patternFill patternType="solid">
        <fgColor rgb="FFCC99FF"/>
        <bgColor rgb="FF9999FF"/>
      </patternFill>
    </fill>
    <fill>
      <patternFill patternType="solid">
        <fgColor rgb="FFFFCC99"/>
        <bgColor rgb="FFC0C0C0"/>
      </patternFill>
    </fill>
    <fill>
      <patternFill patternType="solid">
        <fgColor rgb="FFFF99CC"/>
        <bgColor rgb="FFFF8080"/>
      </patternFill>
    </fill>
    <fill>
      <patternFill patternType="solid">
        <fgColor rgb="FFCCFFFF"/>
        <bgColor rgb="FFCCFFFF"/>
      </patternFill>
    </fill>
    <fill>
      <patternFill patternType="solid">
        <fgColor rgb="FFCCFFCC"/>
        <bgColor rgb="FFCCFFFF"/>
      </patternFill>
    </fill>
  </fills>
  <borders count="47">
    <border diagonalUp="false" diagonalDown="false">
      <left/>
      <right/>
      <top/>
      <bottom/>
      <diagonal/>
    </border>
    <border diagonalUp="false" diagonalDown="false">
      <left style="thin"/>
      <right/>
      <top/>
      <bottom/>
      <diagonal/>
    </border>
    <border diagonalUp="false" diagonalDown="false">
      <left style="medium"/>
      <right/>
      <top style="medium"/>
      <bottom/>
      <diagonal/>
    </border>
    <border diagonalUp="false" diagonalDown="false">
      <left style="medium"/>
      <right/>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diagonal/>
    </border>
    <border diagonalUp="false" diagonalDown="false">
      <left/>
      <right/>
      <top style="medium"/>
      <bottom/>
      <diagonal/>
    </border>
    <border diagonalUp="false" diagonalDown="false">
      <left/>
      <right style="medium"/>
      <top style="medium"/>
      <bottom/>
      <diagonal/>
    </border>
    <border diagonalUp="false" diagonalDown="false">
      <left/>
      <right style="medium"/>
      <top/>
      <bottom style="medium"/>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medium">
        <color rgb="FF969696"/>
      </left>
      <right/>
      <top style="medium">
        <color rgb="FF969696"/>
      </top>
      <bottom/>
      <diagonal/>
    </border>
    <border diagonalUp="false" diagonalDown="false">
      <left/>
      <right/>
      <top style="medium">
        <color rgb="FF969696"/>
      </top>
      <bottom/>
      <diagonal/>
    </border>
    <border diagonalUp="false" diagonalDown="false">
      <left/>
      <right style="medium">
        <color rgb="FF969696"/>
      </right>
      <top style="medium">
        <color rgb="FF969696"/>
      </top>
      <bottom/>
      <diagonal/>
    </border>
    <border diagonalUp="false" diagonalDown="false">
      <left style="medium">
        <color rgb="FF969696"/>
      </left>
      <right/>
      <top/>
      <bottom/>
      <diagonal/>
    </border>
    <border diagonalUp="false" diagonalDown="false">
      <left/>
      <right style="medium">
        <color rgb="FF969696"/>
      </right>
      <top/>
      <bottom/>
      <diagonal/>
    </border>
    <border diagonalUp="false" diagonalDown="false">
      <left style="medium">
        <color rgb="FF969696"/>
      </left>
      <right/>
      <top/>
      <bottom style="medium">
        <color rgb="FF969696"/>
      </bottom>
      <diagonal/>
    </border>
    <border diagonalUp="false" diagonalDown="false">
      <left/>
      <right/>
      <top/>
      <bottom style="medium">
        <color rgb="FF969696"/>
      </bottom>
      <diagonal/>
    </border>
    <border diagonalUp="false" diagonalDown="false">
      <left/>
      <right style="medium">
        <color rgb="FF969696"/>
      </right>
      <top/>
      <bottom style="medium">
        <color rgb="FF969696"/>
      </bottom>
      <diagonal/>
    </border>
    <border diagonalUp="false" diagonalDown="false">
      <left/>
      <right/>
      <top style="medium"/>
      <bottom style="thin"/>
      <diagonal/>
    </border>
    <border diagonalUp="false" diagonalDown="false">
      <left/>
      <right/>
      <top/>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thin"/>
      <right/>
      <top style="thin"/>
      <bottom style="medium"/>
      <diagonal/>
    </border>
    <border diagonalUp="false" diagonalDown="false">
      <left/>
      <right style="medium"/>
      <top style="thin"/>
      <bottom style="medium"/>
      <diagonal/>
    </border>
    <border diagonalUp="false" diagonalDown="false">
      <left/>
      <right style="thin"/>
      <top style="thin"/>
      <bottom style="medium"/>
      <diagonal/>
    </border>
    <border diagonalUp="false" diagonalDown="false">
      <left style="medium"/>
      <right style="thin"/>
      <top/>
      <bottom style="medium"/>
      <diagonal/>
    </border>
    <border diagonalUp="false" diagonalDown="false">
      <left/>
      <right style="thin"/>
      <top/>
      <bottom style="medium"/>
      <diagonal/>
    </border>
    <border diagonalUp="false" diagonalDown="false">
      <left style="thin"/>
      <right style="thin"/>
      <top/>
      <bottom style="medium"/>
      <diagonal/>
    </border>
    <border diagonalUp="false" diagonalDown="false">
      <left style="thin"/>
      <right/>
      <top/>
      <bottom style="medium"/>
      <diagonal/>
    </border>
    <border diagonalUp="false" diagonalDown="false">
      <left/>
      <right/>
      <top style="thin"/>
      <bottom style="thin"/>
      <diagonal/>
    </border>
    <border diagonalUp="false" diagonalDown="false">
      <left/>
      <right/>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thin"/>
      <right style="thin"/>
      <top/>
      <bottom/>
      <diagonal/>
    </border>
    <border diagonalUp="false" diagonalDown="false">
      <left/>
      <right style="thin"/>
      <top style="thin"/>
      <bottom/>
      <diagonal/>
    </border>
    <border diagonalUp="false" diagonalDown="false">
      <left/>
      <right style="thin"/>
      <top/>
      <bottom style="thin"/>
      <diagonal/>
    </border>
  </borders>
  <cellStyleXfs count="24">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9"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cellStyleXfs>
  <cellXfs count="452">
    <xf numFmtId="164" fontId="0" fillId="0" borderId="0" xfId="0" applyFont="false" applyBorder="false" applyAlignment="false" applyProtection="false">
      <alignment horizontal="general" vertical="bottom" textRotation="0" wrapText="false" indent="0" shrinkToFit="false"/>
      <protection locked="true" hidden="false"/>
    </xf>
    <xf numFmtId="164" fontId="5" fillId="2" borderId="1" xfId="0" applyFont="true" applyBorder="true" applyAlignment="false" applyProtection="true">
      <alignment horizontal="general" vertical="bottom" textRotation="0" wrapText="false" indent="0" shrinkToFit="false"/>
      <protection locked="true" hidden="false"/>
    </xf>
    <xf numFmtId="164" fontId="5" fillId="2" borderId="0" xfId="0" applyFont="true" applyBorder="false" applyAlignment="false" applyProtection="true">
      <alignment horizontal="general" vertical="bottom" textRotation="0" wrapText="false" indent="0" shrinkToFit="false"/>
      <protection locked="true" hidden="false"/>
    </xf>
    <xf numFmtId="164" fontId="6" fillId="3" borderId="2" xfId="0" applyFont="true" applyBorder="true" applyAlignment="true" applyProtection="true">
      <alignment horizontal="center" vertical="center" textRotation="0" wrapText="false" indent="0" shrinkToFit="false"/>
      <protection locked="true" hidden="false"/>
    </xf>
    <xf numFmtId="164" fontId="5" fillId="4" borderId="0" xfId="0" applyFont="true" applyBorder="true" applyAlignment="false" applyProtection="true">
      <alignment horizontal="general" vertical="bottom" textRotation="0" wrapText="false" indent="0" shrinkToFit="false"/>
      <protection locked="true" hidden="false"/>
    </xf>
    <xf numFmtId="164" fontId="7" fillId="4" borderId="3" xfId="0" applyFont="true" applyBorder="true" applyAlignment="true" applyProtection="true">
      <alignment horizontal="left" vertical="bottom" textRotation="0" wrapText="false" indent="0" shrinkToFit="false"/>
      <protection locked="true" hidden="false"/>
    </xf>
    <xf numFmtId="164" fontId="7" fillId="4" borderId="0" xfId="0" applyFont="true" applyBorder="true" applyAlignment="true" applyProtection="true">
      <alignment horizontal="left" vertical="bottom" textRotation="0" wrapText="false" indent="0" shrinkToFit="false"/>
      <protection locked="true" hidden="false"/>
    </xf>
    <xf numFmtId="164" fontId="8" fillId="4" borderId="0" xfId="20" applyFont="true" applyBorder="true" applyAlignment="true" applyProtection="true">
      <alignment horizontal="general" vertical="bottom" textRotation="0" wrapText="false" indent="0" shrinkToFit="false"/>
      <protection locked="true" hidden="false"/>
    </xf>
    <xf numFmtId="164" fontId="10" fillId="4" borderId="3" xfId="0" applyFont="true" applyBorder="true" applyAlignment="true" applyProtection="true">
      <alignment horizontal="left" vertical="center" textRotation="0" wrapText="false" indent="0" shrinkToFit="false"/>
      <protection locked="true" hidden="false"/>
    </xf>
    <xf numFmtId="164" fontId="10" fillId="4" borderId="0" xfId="0" applyFont="true" applyBorder="true" applyAlignment="true" applyProtection="true">
      <alignment horizontal="left" vertical="center" textRotation="0" wrapText="false" indent="0" shrinkToFit="false"/>
      <protection locked="true" hidden="false"/>
    </xf>
    <xf numFmtId="164" fontId="8" fillId="4" borderId="0" xfId="20" applyFont="true" applyBorder="true" applyAlignment="true" applyProtection="true">
      <alignment horizontal="left" vertical="center" textRotation="0" wrapText="false" indent="0" shrinkToFit="false"/>
      <protection locked="true" hidden="false"/>
    </xf>
    <xf numFmtId="164" fontId="11" fillId="4" borderId="0" xfId="0" applyFont="true" applyBorder="true" applyAlignment="true" applyProtection="true">
      <alignment horizontal="left" vertical="center" textRotation="0" wrapText="false" indent="0" shrinkToFit="false"/>
      <protection locked="true" hidden="false"/>
    </xf>
    <xf numFmtId="164" fontId="12" fillId="5" borderId="0" xfId="0" applyFont="true" applyBorder="true" applyAlignment="true" applyProtection="true">
      <alignment horizontal="general" vertical="center" textRotation="0" wrapText="false" indent="0" shrinkToFit="false"/>
      <protection locked="true" hidden="false"/>
    </xf>
    <xf numFmtId="164" fontId="10" fillId="4" borderId="0" xfId="0" applyFont="true" applyBorder="true" applyAlignment="true" applyProtection="true">
      <alignment horizontal="general" vertical="center" textRotation="0" wrapText="false" indent="0" shrinkToFit="false"/>
      <protection locked="true" hidden="false"/>
    </xf>
    <xf numFmtId="164" fontId="12" fillId="4" borderId="0" xfId="0" applyFont="true" applyBorder="true" applyAlignment="true" applyProtection="true">
      <alignment horizontal="general" vertical="center" textRotation="0" wrapText="false" indent="0" shrinkToFit="false"/>
      <protection locked="true" hidden="false"/>
    </xf>
    <xf numFmtId="164" fontId="13" fillId="4" borderId="0" xfId="0" applyFont="true" applyBorder="true" applyAlignment="true" applyProtection="true">
      <alignment horizontal="general" vertical="center" textRotation="0" wrapText="false" indent="0" shrinkToFit="false"/>
      <protection locked="true" hidden="false"/>
    </xf>
    <xf numFmtId="164" fontId="13" fillId="4" borderId="0" xfId="0" applyFont="true" applyBorder="true" applyAlignment="false" applyProtection="true">
      <alignment horizontal="general" vertical="bottom" textRotation="0" wrapText="false" indent="0" shrinkToFit="false"/>
      <protection locked="true" hidden="false"/>
    </xf>
    <xf numFmtId="164" fontId="10" fillId="4" borderId="0" xfId="0" applyFont="true" applyBorder="true" applyAlignment="true" applyProtection="true">
      <alignment horizontal="center" vertical="center" textRotation="0" wrapText="false" indent="0" shrinkToFit="false"/>
      <protection locked="true" hidden="false"/>
    </xf>
    <xf numFmtId="164" fontId="14" fillId="4" borderId="4" xfId="0" applyFont="true" applyBorder="true" applyAlignment="false" applyProtection="true">
      <alignment horizontal="general" vertical="bottom" textRotation="0" wrapText="false" indent="0" shrinkToFit="false"/>
      <protection locked="true" hidden="false"/>
    </xf>
    <xf numFmtId="164" fontId="14" fillId="4" borderId="5" xfId="0" applyFont="true" applyBorder="true" applyAlignment="false" applyProtection="true">
      <alignment horizontal="general" vertical="bottom" textRotation="0" wrapText="false" indent="0" shrinkToFit="false"/>
      <protection locked="true" hidden="false"/>
    </xf>
    <xf numFmtId="164" fontId="12" fillId="4" borderId="5" xfId="0" applyFont="true" applyBorder="true" applyAlignment="false" applyProtection="true">
      <alignment horizontal="general" vertical="bottom" textRotation="0" wrapText="false" indent="0" shrinkToFit="false"/>
      <protection locked="true" hidden="false"/>
    </xf>
    <xf numFmtId="164" fontId="15" fillId="4" borderId="5" xfId="0" applyFont="true" applyBorder="true" applyAlignment="false" applyProtection="true">
      <alignment horizontal="general" vertical="bottom" textRotation="0" wrapText="false" indent="0" shrinkToFit="false"/>
      <protection locked="true" hidden="false"/>
    </xf>
    <xf numFmtId="164" fontId="16" fillId="6" borderId="3" xfId="0" applyFont="true" applyBorder="true" applyAlignment="true" applyProtection="true">
      <alignment horizontal="general" vertical="bottom" textRotation="0" wrapText="false" indent="0" shrinkToFit="false"/>
      <protection locked="true" hidden="false"/>
    </xf>
    <xf numFmtId="164" fontId="17" fillId="6" borderId="0" xfId="0" applyFont="true" applyBorder="true" applyAlignment="true" applyProtection="true">
      <alignment horizontal="general" vertical="bottom" textRotation="0" wrapText="false" indent="0" shrinkToFit="false"/>
      <protection locked="true" hidden="false"/>
    </xf>
    <xf numFmtId="164" fontId="18" fillId="6" borderId="0" xfId="0" applyFont="true" applyBorder="true" applyAlignment="true" applyProtection="true">
      <alignment horizontal="general" vertical="bottom" textRotation="0" wrapText="false" indent="0" shrinkToFit="false"/>
      <protection locked="true" hidden="false"/>
    </xf>
    <xf numFmtId="164" fontId="18" fillId="6" borderId="0" xfId="0" applyFont="true" applyBorder="true" applyAlignment="true" applyProtection="true">
      <alignment horizontal="right" vertical="bottom" textRotation="0" wrapText="false" indent="0" shrinkToFit="false"/>
      <protection locked="true" hidden="false"/>
    </xf>
    <xf numFmtId="164" fontId="19" fillId="6" borderId="0" xfId="0" applyFont="true" applyBorder="true" applyAlignment="false" applyProtection="true">
      <alignment horizontal="general" vertical="bottom" textRotation="0" wrapText="false" indent="0" shrinkToFit="false"/>
      <protection locked="true" hidden="false"/>
    </xf>
    <xf numFmtId="164" fontId="5" fillId="6" borderId="0" xfId="0" applyFont="true" applyBorder="true" applyAlignment="false" applyProtection="true">
      <alignment horizontal="general" vertical="bottom" textRotation="0" wrapText="false" indent="0" shrinkToFit="false"/>
      <protection locked="true" hidden="false"/>
    </xf>
    <xf numFmtId="164" fontId="5" fillId="6" borderId="6" xfId="0" applyFont="true" applyBorder="true" applyAlignment="false" applyProtection="true">
      <alignment horizontal="general" vertical="bottom" textRotation="0" wrapText="false" indent="0" shrinkToFit="false"/>
      <protection locked="true" hidden="false"/>
    </xf>
    <xf numFmtId="164" fontId="0" fillId="6" borderId="2" xfId="0" applyFont="true" applyBorder="true" applyAlignment="false" applyProtection="true">
      <alignment horizontal="general" vertical="bottom" textRotation="0" wrapText="false" indent="0" shrinkToFit="false"/>
      <protection locked="true" hidden="false"/>
    </xf>
    <xf numFmtId="164" fontId="0" fillId="6" borderId="7" xfId="0" applyFont="true" applyBorder="true" applyAlignment="false" applyProtection="true">
      <alignment horizontal="general" vertical="bottom" textRotation="0" wrapText="false" indent="0" shrinkToFit="false"/>
      <protection locked="true" hidden="false"/>
    </xf>
    <xf numFmtId="164" fontId="0" fillId="6" borderId="7" xfId="0" applyFont="true" applyBorder="true" applyAlignment="true" applyProtection="true">
      <alignment horizontal="right" vertical="bottom" textRotation="0" wrapText="false" indent="0" shrinkToFit="false"/>
      <protection locked="true" hidden="false"/>
    </xf>
    <xf numFmtId="164" fontId="20" fillId="6" borderId="7" xfId="0" applyFont="true" applyBorder="true" applyAlignment="true" applyProtection="true">
      <alignment horizontal="right" vertical="bottom" textRotation="0" wrapText="false" indent="0" shrinkToFit="false"/>
      <protection locked="true" hidden="false"/>
    </xf>
    <xf numFmtId="164" fontId="22" fillId="5" borderId="7" xfId="0" applyFont="true" applyBorder="true" applyAlignment="false" applyProtection="true">
      <alignment horizontal="general" vertical="bottom" textRotation="0" wrapText="false" indent="0" shrinkToFit="false"/>
      <protection locked="false" hidden="false"/>
    </xf>
    <xf numFmtId="164" fontId="22" fillId="6" borderId="8" xfId="0" applyFont="true" applyBorder="true" applyAlignment="false" applyProtection="true">
      <alignment horizontal="general" vertical="bottom" textRotation="0" wrapText="false" indent="0" shrinkToFit="false"/>
      <protection locked="true" hidden="false"/>
    </xf>
    <xf numFmtId="164" fontId="23" fillId="6" borderId="0" xfId="0" applyFont="true" applyBorder="true" applyAlignment="false" applyProtection="true">
      <alignment horizontal="general" vertical="bottom" textRotation="0" wrapText="false" indent="0" shrinkToFit="false"/>
      <protection locked="true" hidden="false"/>
    </xf>
    <xf numFmtId="164" fontId="0" fillId="6" borderId="0" xfId="0" applyFont="true" applyBorder="true" applyAlignment="false" applyProtection="true">
      <alignment horizontal="general" vertical="bottom" textRotation="0" wrapText="false" indent="0" shrinkToFit="false"/>
      <protection locked="true" hidden="false"/>
    </xf>
    <xf numFmtId="164" fontId="0" fillId="6" borderId="3" xfId="0" applyFont="true" applyBorder="true" applyAlignment="false" applyProtection="true">
      <alignment horizontal="general" vertical="bottom" textRotation="0" wrapText="false" indent="0" shrinkToFit="false"/>
      <protection locked="true" hidden="false"/>
    </xf>
    <xf numFmtId="164" fontId="0" fillId="6" borderId="0" xfId="0" applyFont="true" applyBorder="true" applyAlignment="true" applyProtection="true">
      <alignment horizontal="right" vertical="bottom" textRotation="0" wrapText="false" indent="0" shrinkToFit="false"/>
      <protection locked="true" hidden="false"/>
    </xf>
    <xf numFmtId="164" fontId="20" fillId="6" borderId="0" xfId="0" applyFont="true" applyBorder="true" applyAlignment="true" applyProtection="true">
      <alignment horizontal="right" vertical="bottom" textRotation="0" wrapText="false" indent="0" shrinkToFit="false"/>
      <protection locked="true" hidden="false"/>
    </xf>
    <xf numFmtId="164" fontId="22" fillId="5" borderId="0" xfId="0" applyFont="true" applyBorder="true" applyAlignment="false" applyProtection="true">
      <alignment horizontal="general" vertical="bottom" textRotation="0" wrapText="false" indent="0" shrinkToFit="false"/>
      <protection locked="false" hidden="false"/>
    </xf>
    <xf numFmtId="164" fontId="22" fillId="6" borderId="6" xfId="0" applyFont="true" applyBorder="true" applyAlignment="false" applyProtection="true">
      <alignment horizontal="general" vertical="bottom" textRotation="0" wrapText="false" indent="0" shrinkToFit="false"/>
      <protection locked="true" hidden="false"/>
    </xf>
    <xf numFmtId="164" fontId="5" fillId="2" borderId="0" xfId="0" applyFont="true" applyBorder="true" applyAlignment="false" applyProtection="true">
      <alignment horizontal="general" vertical="bottom" textRotation="0" wrapText="false" indent="0" shrinkToFit="false"/>
      <protection locked="true" hidden="false"/>
    </xf>
    <xf numFmtId="166" fontId="22" fillId="5" borderId="0" xfId="0" applyFont="true" applyBorder="true" applyAlignment="false" applyProtection="true">
      <alignment horizontal="general" vertical="bottom" textRotation="0" wrapText="false" indent="0" shrinkToFit="false"/>
      <protection locked="false" hidden="false"/>
    </xf>
    <xf numFmtId="164" fontId="24" fillId="6" borderId="0" xfId="0" applyFont="true" applyBorder="true" applyAlignment="false" applyProtection="true">
      <alignment horizontal="general" vertical="bottom" textRotation="0" wrapText="false" indent="0" shrinkToFit="false"/>
      <protection locked="true" hidden="false"/>
    </xf>
    <xf numFmtId="164" fontId="0" fillId="6" borderId="4" xfId="0" applyFont="true" applyBorder="true" applyAlignment="false" applyProtection="true">
      <alignment horizontal="general" vertical="bottom" textRotation="0" wrapText="false" indent="0" shrinkToFit="false"/>
      <protection locked="true" hidden="false"/>
    </xf>
    <xf numFmtId="164" fontId="0" fillId="6" borderId="5" xfId="0" applyFont="true" applyBorder="true" applyAlignment="false" applyProtection="true">
      <alignment horizontal="general" vertical="bottom" textRotation="0" wrapText="false" indent="0" shrinkToFit="false"/>
      <protection locked="true" hidden="false"/>
    </xf>
    <xf numFmtId="164" fontId="0" fillId="6" borderId="5" xfId="0" applyFont="true" applyBorder="true" applyAlignment="true" applyProtection="true">
      <alignment horizontal="right" vertical="bottom" textRotation="0" wrapText="false" indent="0" shrinkToFit="false"/>
      <protection locked="true" hidden="false"/>
    </xf>
    <xf numFmtId="164" fontId="0" fillId="6" borderId="5" xfId="0" applyFont="true" applyBorder="true" applyAlignment="true" applyProtection="true">
      <alignment horizontal="right" vertical="bottom" textRotation="0" wrapText="false" indent="0" shrinkToFit="false"/>
      <protection locked="true" hidden="false"/>
    </xf>
    <xf numFmtId="164" fontId="0" fillId="6" borderId="9" xfId="0" applyFont="true" applyBorder="true" applyAlignment="false" applyProtection="true">
      <alignment horizontal="general" vertical="bottom" textRotation="0" wrapText="false" indent="0" shrinkToFit="false"/>
      <protection locked="true" hidden="false"/>
    </xf>
    <xf numFmtId="164" fontId="26" fillId="6" borderId="0" xfId="0" applyFont="true" applyBorder="true" applyAlignment="true" applyProtection="true">
      <alignment horizontal="right" vertical="bottom" textRotation="0" wrapText="false" indent="0" shrinkToFit="false"/>
      <protection locked="true" hidden="false"/>
    </xf>
    <xf numFmtId="164" fontId="27" fillId="6" borderId="0" xfId="0" applyFont="true" applyBorder="true" applyAlignment="false" applyProtection="true">
      <alignment horizontal="general" vertical="bottom" textRotation="0" wrapText="false" indent="0" shrinkToFit="false"/>
      <protection locked="true" hidden="false"/>
    </xf>
    <xf numFmtId="164" fontId="28" fillId="6" borderId="0" xfId="0" applyFont="true" applyBorder="true" applyAlignment="true" applyProtection="true">
      <alignment horizontal="general" vertical="bottom" textRotation="0" wrapText="false" indent="0" shrinkToFit="false"/>
      <protection locked="true" hidden="false"/>
    </xf>
    <xf numFmtId="164" fontId="22" fillId="6" borderId="0" xfId="0" applyFont="true" applyBorder="true" applyAlignment="true" applyProtection="true">
      <alignment horizontal="general" vertical="bottom" textRotation="0" wrapText="false" indent="0" shrinkToFit="false"/>
      <protection locked="true" hidden="false"/>
    </xf>
    <xf numFmtId="167" fontId="22" fillId="6" borderId="0" xfId="0" applyFont="true" applyBorder="true" applyAlignment="true" applyProtection="true">
      <alignment horizontal="general" vertical="bottom" textRotation="0" wrapText="false" indent="0" shrinkToFit="false"/>
      <protection locked="true" hidden="false"/>
    </xf>
    <xf numFmtId="165" fontId="29" fillId="6" borderId="7" xfId="15" applyFont="true" applyBorder="true" applyAlignment="true" applyProtection="true">
      <alignment horizontal="right" vertical="bottom" textRotation="0" wrapText="false" indent="0" shrinkToFit="false"/>
      <protection locked="true" hidden="false"/>
    </xf>
    <xf numFmtId="164" fontId="0" fillId="6" borderId="8" xfId="0" applyFont="true" applyBorder="true" applyAlignment="false" applyProtection="true">
      <alignment horizontal="general" vertical="bottom" textRotation="0" wrapText="false" indent="0" shrinkToFit="false"/>
      <protection locked="true" hidden="false"/>
    </xf>
    <xf numFmtId="167" fontId="0" fillId="6" borderId="0" xfId="0" applyFont="true" applyBorder="true" applyAlignment="false" applyProtection="true">
      <alignment horizontal="general" vertical="bottom" textRotation="0" wrapText="false" indent="0" shrinkToFit="false"/>
      <protection locked="true" hidden="false"/>
    </xf>
    <xf numFmtId="164" fontId="0" fillId="6" borderId="6" xfId="0" applyFont="true" applyBorder="true" applyAlignment="false" applyProtection="true">
      <alignment horizontal="general" vertical="bottom" textRotation="0" wrapText="false" indent="0" shrinkToFit="false"/>
      <protection locked="true" hidden="false"/>
    </xf>
    <xf numFmtId="166" fontId="0" fillId="6" borderId="5" xfId="0" applyFont="true" applyBorder="true" applyAlignment="false" applyProtection="true">
      <alignment horizontal="general" vertical="bottom" textRotation="0" wrapText="false" indent="0" shrinkToFit="false"/>
      <protection locked="true" hidden="false"/>
    </xf>
    <xf numFmtId="164" fontId="16" fillId="6" borderId="3" xfId="0" applyFont="true" applyBorder="true" applyAlignment="false" applyProtection="true">
      <alignment horizontal="general" vertical="bottom" textRotation="0" wrapText="false" indent="0" shrinkToFit="false"/>
      <protection locked="true" hidden="false"/>
    </xf>
    <xf numFmtId="164" fontId="28" fillId="6" borderId="0" xfId="0" applyFont="true" applyBorder="true" applyAlignment="false" applyProtection="true">
      <alignment horizontal="general" vertical="bottom" textRotation="0" wrapText="false" indent="0" shrinkToFit="false"/>
      <protection locked="true" hidden="false"/>
    </xf>
    <xf numFmtId="168" fontId="0" fillId="6" borderId="0" xfId="0" applyFont="true" applyBorder="true" applyAlignment="false" applyProtection="true">
      <alignment horizontal="general" vertical="bottom" textRotation="0" wrapText="false" indent="0" shrinkToFit="false"/>
      <protection locked="true" hidden="false"/>
    </xf>
    <xf numFmtId="167" fontId="0" fillId="6" borderId="5" xfId="0" applyFont="true" applyBorder="true" applyAlignment="false" applyProtection="true">
      <alignment horizontal="general" vertical="bottom" textRotation="0" wrapText="false" indent="0" shrinkToFit="false"/>
      <protection locked="true" hidden="false"/>
    </xf>
    <xf numFmtId="164" fontId="22" fillId="6" borderId="2" xfId="0" applyFont="true" applyBorder="true" applyAlignment="true" applyProtection="true">
      <alignment horizontal="general" vertical="bottom" textRotation="0" wrapText="false" indent="0" shrinkToFit="false"/>
      <protection locked="true" hidden="false"/>
    </xf>
    <xf numFmtId="164" fontId="22" fillId="6" borderId="7" xfId="0" applyFont="true" applyBorder="true" applyAlignment="true" applyProtection="true">
      <alignment horizontal="general" vertical="bottom" textRotation="0" wrapText="false" indent="0" shrinkToFit="false"/>
      <protection locked="true" hidden="false"/>
    </xf>
    <xf numFmtId="164" fontId="22" fillId="6" borderId="7" xfId="0" applyFont="true" applyBorder="true" applyAlignment="true" applyProtection="true">
      <alignment horizontal="right" vertical="bottom" textRotation="0" wrapText="false" indent="0" shrinkToFit="false"/>
      <protection locked="true" hidden="false"/>
    </xf>
    <xf numFmtId="166" fontId="22" fillId="5" borderId="7" xfId="0" applyFont="true" applyBorder="true" applyAlignment="false" applyProtection="true">
      <alignment horizontal="general" vertical="bottom" textRotation="0" wrapText="false" indent="0" shrinkToFit="false"/>
      <protection locked="false" hidden="false"/>
    </xf>
    <xf numFmtId="166" fontId="0" fillId="6" borderId="0" xfId="0" applyFont="true" applyBorder="true" applyAlignment="false" applyProtection="true">
      <alignment horizontal="general" vertical="bottom" textRotation="0" wrapText="false" indent="0" shrinkToFit="false"/>
      <protection locked="true" hidden="false"/>
    </xf>
    <xf numFmtId="164" fontId="22" fillId="6" borderId="0" xfId="0" applyFont="true" applyBorder="true" applyAlignment="true" applyProtection="true">
      <alignment horizontal="right" vertical="bottom" textRotation="0" wrapText="false" indent="0" shrinkToFit="false"/>
      <protection locked="true" hidden="false"/>
    </xf>
    <xf numFmtId="167" fontId="0" fillId="6" borderId="0" xfId="0" applyFont="true" applyBorder="true" applyAlignment="true" applyProtection="true">
      <alignment horizontal="right" vertical="bottom" textRotation="0" wrapText="false" indent="0" shrinkToFit="false"/>
      <protection locked="true" hidden="false"/>
    </xf>
    <xf numFmtId="168" fontId="5" fillId="6" borderId="0" xfId="0" applyFont="true" applyBorder="true" applyAlignment="false" applyProtection="true">
      <alignment horizontal="general" vertical="bottom" textRotation="0" wrapText="false" indent="0" shrinkToFit="false"/>
      <protection locked="true" hidden="false"/>
    </xf>
    <xf numFmtId="164" fontId="0" fillId="6" borderId="0" xfId="0" applyFont="true" applyBorder="false" applyAlignment="false" applyProtection="true">
      <alignment horizontal="general" vertical="bottom" textRotation="0" wrapText="false" indent="0" shrinkToFit="false"/>
      <protection locked="true" hidden="false"/>
    </xf>
    <xf numFmtId="164" fontId="22" fillId="6" borderId="0" xfId="0" applyFont="true" applyBorder="true" applyAlignment="false" applyProtection="true">
      <alignment horizontal="general" vertical="bottom" textRotation="0" wrapText="false" indent="0" shrinkToFit="false"/>
      <protection locked="true" hidden="false"/>
    </xf>
    <xf numFmtId="169" fontId="5" fillId="6" borderId="0" xfId="0" applyFont="true" applyBorder="true" applyAlignment="false" applyProtection="true">
      <alignment horizontal="general" vertical="bottom" textRotation="0" wrapText="false" indent="0" shrinkToFit="false"/>
      <protection locked="true" hidden="false"/>
    </xf>
    <xf numFmtId="164" fontId="22" fillId="6" borderId="2" xfId="0" applyFont="true" applyBorder="true" applyAlignment="false" applyProtection="true">
      <alignment horizontal="general" vertical="bottom" textRotation="0" wrapText="false" indent="0" shrinkToFit="false"/>
      <protection locked="true" hidden="false"/>
    </xf>
    <xf numFmtId="164" fontId="22" fillId="6" borderId="7" xfId="0" applyFont="true" applyBorder="true" applyAlignment="false" applyProtection="true">
      <alignment horizontal="general" vertical="bottom" textRotation="0" wrapText="false" indent="0" shrinkToFit="false"/>
      <protection locked="true" hidden="false"/>
    </xf>
    <xf numFmtId="164" fontId="22" fillId="6" borderId="8" xfId="0" applyFont="true" applyBorder="true" applyAlignment="true" applyProtection="true">
      <alignment horizontal="general" vertical="bottom" textRotation="0" wrapText="false" indent="0" shrinkToFit="false"/>
      <protection locked="true" hidden="false"/>
    </xf>
    <xf numFmtId="170" fontId="5" fillId="6" borderId="0" xfId="0" applyFont="true" applyBorder="true" applyAlignment="false" applyProtection="true">
      <alignment horizontal="general" vertical="bottom" textRotation="0" wrapText="false" indent="0" shrinkToFit="false"/>
      <protection locked="true" hidden="false"/>
    </xf>
    <xf numFmtId="164" fontId="22" fillId="6" borderId="3" xfId="0" applyFont="true" applyBorder="true" applyAlignment="false" applyProtection="true">
      <alignment horizontal="general" vertical="bottom" textRotation="0" wrapText="false" indent="0" shrinkToFit="false"/>
      <protection locked="true" hidden="false"/>
    </xf>
    <xf numFmtId="164" fontId="22" fillId="5" borderId="0" xfId="0" applyFont="true" applyBorder="true" applyAlignment="false" applyProtection="true">
      <alignment horizontal="general" vertical="bottom" textRotation="0" wrapText="false" indent="0" shrinkToFit="false"/>
      <protection locked="false" hidden="false"/>
    </xf>
    <xf numFmtId="171" fontId="5" fillId="6" borderId="0" xfId="0" applyFont="true" applyBorder="true" applyAlignment="false" applyProtection="true">
      <alignment horizontal="general" vertical="bottom" textRotation="0" wrapText="false" indent="0" shrinkToFit="false"/>
      <protection locked="true" hidden="false"/>
    </xf>
    <xf numFmtId="164" fontId="0" fillId="6" borderId="9" xfId="0" applyFont="true" applyBorder="true" applyAlignment="true" applyProtection="true">
      <alignment horizontal="general" vertical="bottom" textRotation="0" wrapText="false" indent="0" shrinkToFit="false"/>
      <protection locked="true" hidden="false"/>
    </xf>
    <xf numFmtId="164" fontId="5" fillId="6" borderId="0" xfId="0" applyFont="true" applyBorder="false" applyAlignment="false" applyProtection="true">
      <alignment horizontal="general" vertical="bottom" textRotation="0" wrapText="false" indent="0" shrinkToFit="false"/>
      <protection locked="true" hidden="false"/>
    </xf>
    <xf numFmtId="164" fontId="22" fillId="5" borderId="7" xfId="0" applyFont="true" applyBorder="true" applyAlignment="false" applyProtection="true">
      <alignment horizontal="general" vertical="bottom" textRotation="0" wrapText="false" indent="0" shrinkToFit="false"/>
      <protection locked="false" hidden="false"/>
    </xf>
    <xf numFmtId="166" fontId="0" fillId="6" borderId="0" xfId="0" applyFont="true" applyBorder="true" applyAlignment="true" applyProtection="true">
      <alignment horizontal="right" vertical="bottom" textRotation="0" wrapText="false" indent="0" shrinkToFit="false"/>
      <protection locked="true" hidden="false"/>
    </xf>
    <xf numFmtId="164" fontId="5" fillId="6" borderId="0" xfId="0" applyFont="true" applyBorder="true" applyAlignment="true" applyProtection="true">
      <alignment horizontal="right" vertical="bottom" textRotation="0" wrapText="false" indent="0" shrinkToFit="false"/>
      <protection locked="true" hidden="false"/>
    </xf>
    <xf numFmtId="164" fontId="31" fillId="6" borderId="0" xfId="0" applyFont="true" applyBorder="true" applyAlignment="true" applyProtection="true">
      <alignment horizontal="right" vertical="bottom" textRotation="0" wrapText="false" indent="0" shrinkToFit="false"/>
      <protection locked="true" hidden="false"/>
    </xf>
    <xf numFmtId="164" fontId="22" fillId="5" borderId="0" xfId="0" applyFont="true" applyBorder="true" applyAlignment="true" applyProtection="true">
      <alignment horizontal="right" vertical="bottom" textRotation="0" wrapText="false" indent="0" shrinkToFit="false"/>
      <protection locked="false" hidden="false"/>
    </xf>
    <xf numFmtId="164" fontId="0" fillId="6" borderId="0" xfId="0" applyFont="true" applyBorder="true" applyAlignment="true" applyProtection="true">
      <alignment horizontal="right" vertical="bottom" textRotation="0" wrapText="false" indent="0" shrinkToFit="false"/>
      <protection locked="true" hidden="false"/>
    </xf>
    <xf numFmtId="166" fontId="27" fillId="6" borderId="0" xfId="0" applyFont="true" applyBorder="true" applyAlignment="true" applyProtection="true">
      <alignment horizontal="right" vertical="bottom" textRotation="0" wrapText="false" indent="0" shrinkToFit="false"/>
      <protection locked="true" hidden="false"/>
    </xf>
    <xf numFmtId="164" fontId="5" fillId="6" borderId="3" xfId="0" applyFont="true" applyBorder="true" applyAlignment="false" applyProtection="true">
      <alignment horizontal="general" vertical="bottom" textRotation="0" wrapText="false" indent="0" shrinkToFit="false"/>
      <protection locked="true" hidden="false"/>
    </xf>
    <xf numFmtId="164" fontId="16" fillId="6" borderId="3" xfId="0" applyFont="true" applyBorder="true" applyAlignment="true" applyProtection="true">
      <alignment horizontal="general" vertical="center" textRotation="0" wrapText="false" indent="0" shrinkToFit="false"/>
      <protection locked="true" hidden="false"/>
    </xf>
    <xf numFmtId="164" fontId="28" fillId="6" borderId="0" xfId="0" applyFont="true" applyBorder="true" applyAlignment="true" applyProtection="true">
      <alignment horizontal="general" vertical="center" textRotation="0" wrapText="false" indent="0" shrinkToFit="false"/>
      <protection locked="true" hidden="false"/>
    </xf>
    <xf numFmtId="172" fontId="5" fillId="4" borderId="0" xfId="0" applyFont="true" applyBorder="true" applyAlignment="true" applyProtection="true">
      <alignment horizontal="center" vertical="bottom" textRotation="0" wrapText="false" indent="0" shrinkToFit="false"/>
      <protection locked="true" hidden="false"/>
    </xf>
    <xf numFmtId="172" fontId="5" fillId="2" borderId="0" xfId="0" applyFont="true" applyBorder="true" applyAlignment="true" applyProtection="true">
      <alignment horizontal="center" vertical="bottom" textRotation="0" wrapText="false" indent="0" shrinkToFit="false"/>
      <protection locked="true" hidden="false"/>
    </xf>
    <xf numFmtId="167" fontId="0" fillId="6" borderId="7" xfId="0" applyFont="true" applyBorder="true" applyAlignment="false" applyProtection="true">
      <alignment horizontal="general" vertical="bottom" textRotation="0" wrapText="false" indent="0" shrinkToFit="false"/>
      <protection locked="true" hidden="false"/>
    </xf>
    <xf numFmtId="166" fontId="20" fillId="5" borderId="0" xfId="0" applyFont="true" applyBorder="true" applyAlignment="true" applyProtection="true">
      <alignment horizontal="right" vertical="bottom" textRotation="0" wrapText="false" indent="0" shrinkToFit="false"/>
      <protection locked="false" hidden="false"/>
    </xf>
    <xf numFmtId="164" fontId="22" fillId="6" borderId="6" xfId="0" applyFont="true" applyBorder="true" applyAlignment="true" applyProtection="true">
      <alignment horizontal="left" vertical="bottom" textRotation="0" wrapText="false" indent="0" shrinkToFit="false"/>
      <protection locked="true" hidden="false"/>
    </xf>
    <xf numFmtId="164" fontId="20" fillId="5" borderId="0" xfId="0" applyFont="true" applyBorder="true" applyAlignment="false" applyProtection="true">
      <alignment horizontal="general" vertical="bottom" textRotation="0" wrapText="false" indent="0" shrinkToFit="false"/>
      <protection locked="false" hidden="false"/>
    </xf>
    <xf numFmtId="164" fontId="32" fillId="6" borderId="0" xfId="0" applyFont="true" applyBorder="true" applyAlignment="true" applyProtection="true">
      <alignment horizontal="right" vertical="bottom" textRotation="0" wrapText="false" indent="0" shrinkToFit="false"/>
      <protection locked="true" hidden="false"/>
    </xf>
    <xf numFmtId="167" fontId="32" fillId="6" borderId="0" xfId="0" applyFont="true" applyBorder="true" applyAlignment="false" applyProtection="true">
      <alignment horizontal="general" vertical="bottom" textRotation="0" wrapText="false" indent="0" shrinkToFit="false"/>
      <protection locked="true" hidden="false"/>
    </xf>
    <xf numFmtId="164" fontId="32" fillId="6" borderId="0" xfId="0" applyFont="true" applyBorder="true" applyAlignment="false" applyProtection="true">
      <alignment horizontal="general" vertical="bottom" textRotation="0" wrapText="false" indent="0" shrinkToFit="false"/>
      <protection locked="true" hidden="false"/>
    </xf>
    <xf numFmtId="164" fontId="5" fillId="6" borderId="7" xfId="0" applyFont="true" applyBorder="true" applyAlignment="false" applyProtection="true">
      <alignment horizontal="general" vertical="bottom" textRotation="0" wrapText="false" indent="0" shrinkToFit="false"/>
      <protection locked="true" hidden="false"/>
    </xf>
    <xf numFmtId="167" fontId="22" fillId="6" borderId="7" xfId="0" applyFont="true" applyBorder="true" applyAlignment="true" applyProtection="true">
      <alignment horizontal="right" vertical="center" textRotation="0" wrapText="false" indent="0" shrinkToFit="false"/>
      <protection locked="true" hidden="false"/>
    </xf>
    <xf numFmtId="167" fontId="20" fillId="5" borderId="7" xfId="0" applyFont="true" applyBorder="true" applyAlignment="true" applyProtection="true">
      <alignment horizontal="right" vertical="center" textRotation="0" wrapText="false" indent="0" shrinkToFit="false"/>
      <protection locked="false" hidden="true"/>
    </xf>
    <xf numFmtId="164" fontId="22" fillId="0" borderId="8" xfId="0" applyFont="true" applyBorder="true" applyAlignment="true" applyProtection="true">
      <alignment horizontal="left" vertical="bottom" textRotation="0" wrapText="false" indent="0" shrinkToFit="false"/>
      <protection locked="true" hidden="false"/>
    </xf>
    <xf numFmtId="164" fontId="0" fillId="6" borderId="0" xfId="0" applyFont="true" applyBorder="true" applyAlignment="true" applyProtection="true">
      <alignment horizontal="left" vertical="bottom" textRotation="0" wrapText="false" indent="0" shrinkToFit="false"/>
      <protection locked="true" hidden="false"/>
    </xf>
    <xf numFmtId="164" fontId="33" fillId="6" borderId="3" xfId="0" applyFont="true" applyBorder="true" applyAlignment="true" applyProtection="true">
      <alignment horizontal="general" vertical="center" textRotation="0" wrapText="false" indent="0" shrinkToFit="false"/>
      <protection locked="true" hidden="false"/>
    </xf>
    <xf numFmtId="167" fontId="22" fillId="6" borderId="0" xfId="0" applyFont="true" applyBorder="true" applyAlignment="true" applyProtection="true">
      <alignment horizontal="right" vertical="center" textRotation="0" wrapText="false" indent="0" shrinkToFit="false"/>
      <protection locked="true" hidden="false"/>
    </xf>
    <xf numFmtId="167" fontId="20" fillId="5" borderId="0" xfId="0" applyFont="true" applyBorder="true" applyAlignment="true" applyProtection="true">
      <alignment horizontal="right" vertical="center" textRotation="0" wrapText="false" indent="0" shrinkToFit="false"/>
      <protection locked="false" hidden="true"/>
    </xf>
    <xf numFmtId="166" fontId="22" fillId="6" borderId="0" xfId="0" applyFont="true" applyBorder="true" applyAlignment="true" applyProtection="true">
      <alignment horizontal="right" vertical="center" textRotation="0" wrapText="false" indent="0" shrinkToFit="false"/>
      <protection locked="true" hidden="false"/>
    </xf>
    <xf numFmtId="166" fontId="20" fillId="5" borderId="0" xfId="0" applyFont="true" applyBorder="true" applyAlignment="true" applyProtection="true">
      <alignment horizontal="right" vertical="center" textRotation="0" wrapText="false" indent="0" shrinkToFit="false"/>
      <protection locked="false" hidden="true"/>
    </xf>
    <xf numFmtId="164" fontId="5" fillId="6" borderId="4" xfId="0" applyFont="true" applyBorder="true" applyAlignment="false" applyProtection="true">
      <alignment horizontal="general" vertical="bottom" textRotation="0" wrapText="false" indent="0" shrinkToFit="false"/>
      <protection locked="true" hidden="false"/>
    </xf>
    <xf numFmtId="164" fontId="5" fillId="6" borderId="5" xfId="0" applyFont="true" applyBorder="true" applyAlignment="false" applyProtection="true">
      <alignment horizontal="general" vertical="bottom" textRotation="0" wrapText="false" indent="0" shrinkToFit="false"/>
      <protection locked="true" hidden="false"/>
    </xf>
    <xf numFmtId="166" fontId="22" fillId="6" borderId="5" xfId="0" applyFont="true" applyBorder="true" applyAlignment="true" applyProtection="true">
      <alignment horizontal="right" vertical="center" textRotation="0" wrapText="false" indent="0" shrinkToFit="false"/>
      <protection locked="true" hidden="false"/>
    </xf>
    <xf numFmtId="166" fontId="20" fillId="5" borderId="5" xfId="0" applyFont="true" applyBorder="true" applyAlignment="true" applyProtection="true">
      <alignment horizontal="right" vertical="center" textRotation="0" wrapText="false" indent="0" shrinkToFit="false"/>
      <protection locked="false" hidden="true"/>
    </xf>
    <xf numFmtId="164" fontId="22" fillId="6" borderId="9" xfId="0" applyFont="true" applyBorder="true" applyAlignment="true" applyProtection="true">
      <alignment horizontal="left" vertical="bottom" textRotation="0" wrapText="false" indent="0" shrinkToFit="false"/>
      <protection locked="true" hidden="false"/>
    </xf>
    <xf numFmtId="166" fontId="22" fillId="6" borderId="3" xfId="0" applyFont="true" applyBorder="true" applyAlignment="true" applyProtection="true">
      <alignment horizontal="right" vertical="center" textRotation="0" wrapText="false" indent="0" shrinkToFit="false"/>
      <protection locked="true" hidden="false"/>
    </xf>
    <xf numFmtId="166" fontId="22" fillId="6" borderId="0" xfId="0" applyFont="true" applyBorder="true" applyAlignment="true" applyProtection="true">
      <alignment horizontal="right" vertical="center" textRotation="0" wrapText="false" indent="0" shrinkToFit="false"/>
      <protection locked="false" hidden="true"/>
    </xf>
    <xf numFmtId="164" fontId="22" fillId="6" borderId="0" xfId="0" applyFont="true" applyBorder="true" applyAlignment="true" applyProtection="true">
      <alignment horizontal="left" vertical="bottom" textRotation="0" wrapText="false" indent="0" shrinkToFit="false"/>
      <protection locked="true" hidden="false"/>
    </xf>
    <xf numFmtId="164" fontId="33" fillId="6" borderId="0" xfId="0" applyFont="true" applyBorder="true" applyAlignment="false" applyProtection="true">
      <alignment horizontal="general" vertical="bottom" textRotation="0" wrapText="false" indent="0" shrinkToFit="false"/>
      <protection locked="true" hidden="false"/>
    </xf>
    <xf numFmtId="164" fontId="34" fillId="6" borderId="3" xfId="0" applyFont="true" applyBorder="true" applyAlignment="true" applyProtection="true">
      <alignment horizontal="general" vertical="center" textRotation="0" wrapText="false" indent="0" shrinkToFit="false"/>
      <protection locked="true" hidden="false"/>
    </xf>
    <xf numFmtId="164" fontId="35" fillId="6" borderId="0" xfId="0" applyFont="true" applyBorder="true" applyAlignment="true" applyProtection="true">
      <alignment horizontal="right" vertical="center" textRotation="0" wrapText="false" indent="0" shrinkToFit="false"/>
      <protection locked="true" hidden="false"/>
    </xf>
    <xf numFmtId="164" fontId="35" fillId="0" borderId="0" xfId="0" applyFont="true" applyBorder="true" applyAlignment="true" applyProtection="true">
      <alignment horizontal="left" vertical="center" textRotation="0" wrapText="false" indent="0" shrinkToFit="false"/>
      <protection locked="true" hidden="false"/>
    </xf>
    <xf numFmtId="167" fontId="35" fillId="6" borderId="5" xfId="0" applyFont="true" applyBorder="true" applyAlignment="true" applyProtection="true">
      <alignment horizontal="center" vertical="center" textRotation="0" wrapText="false" indent="0" shrinkToFit="false"/>
      <protection locked="true" hidden="false"/>
    </xf>
    <xf numFmtId="167" fontId="35" fillId="6" borderId="5" xfId="0" applyFont="true" applyBorder="true" applyAlignment="true" applyProtection="true">
      <alignment horizontal="general" vertical="center" textRotation="0" wrapText="false" indent="0" shrinkToFit="false"/>
      <protection locked="true" hidden="false"/>
    </xf>
    <xf numFmtId="164" fontId="35" fillId="6" borderId="0" xfId="0" applyFont="true" applyBorder="true" applyAlignment="true" applyProtection="true">
      <alignment horizontal="left" vertical="center" textRotation="0" wrapText="false" indent="0" shrinkToFit="false"/>
      <protection locked="true" hidden="false"/>
    </xf>
    <xf numFmtId="164" fontId="36" fillId="6" borderId="0" xfId="0" applyFont="true" applyBorder="true" applyAlignment="false" applyProtection="true">
      <alignment horizontal="general" vertical="bottom" textRotation="0" wrapText="false" indent="0" shrinkToFit="false"/>
      <protection locked="true" hidden="false"/>
    </xf>
    <xf numFmtId="164" fontId="36" fillId="6" borderId="6" xfId="0" applyFont="true" applyBorder="true" applyAlignment="false" applyProtection="true">
      <alignment horizontal="general" vertical="bottom" textRotation="0" wrapText="false" indent="0" shrinkToFit="false"/>
      <protection locked="true" hidden="false"/>
    </xf>
    <xf numFmtId="172" fontId="36" fillId="4" borderId="0" xfId="0" applyFont="true" applyBorder="true" applyAlignment="true" applyProtection="true">
      <alignment horizontal="center" vertical="bottom" textRotation="0" wrapText="false" indent="0" shrinkToFit="false"/>
      <protection locked="true" hidden="false"/>
    </xf>
    <xf numFmtId="172" fontId="36" fillId="2" borderId="0" xfId="0" applyFont="true" applyBorder="true" applyAlignment="true" applyProtection="true">
      <alignment horizontal="center" vertical="bottom" textRotation="0" wrapText="false" indent="0" shrinkToFit="false"/>
      <protection locked="true" hidden="false"/>
    </xf>
    <xf numFmtId="164" fontId="36" fillId="2" borderId="0" xfId="0" applyFont="true" applyBorder="false" applyAlignment="false" applyProtection="true">
      <alignment horizontal="general" vertical="bottom" textRotation="0" wrapText="false" indent="0" shrinkToFit="false"/>
      <protection locked="true" hidden="false"/>
    </xf>
    <xf numFmtId="164" fontId="22" fillId="6" borderId="2" xfId="0" applyFont="true" applyBorder="true" applyAlignment="true" applyProtection="true">
      <alignment horizontal="center" vertical="bottom" textRotation="0" wrapText="false" indent="0" shrinkToFit="false"/>
      <protection locked="true" hidden="false"/>
    </xf>
    <xf numFmtId="167" fontId="0" fillId="6" borderId="7" xfId="0" applyFont="true" applyBorder="true" applyAlignment="true" applyProtection="true">
      <alignment horizontal="left" vertical="center" textRotation="0" wrapText="false" indent="0" shrinkToFit="false"/>
      <protection locked="true" hidden="false"/>
    </xf>
    <xf numFmtId="164" fontId="0" fillId="6" borderId="7" xfId="0" applyFont="true" applyBorder="true" applyAlignment="true" applyProtection="true">
      <alignment horizontal="left" vertical="bottom" textRotation="0" wrapText="false" indent="0" shrinkToFit="false"/>
      <protection locked="true" hidden="false"/>
    </xf>
    <xf numFmtId="164" fontId="20" fillId="5" borderId="7" xfId="0" applyFont="true" applyBorder="true" applyAlignment="true" applyProtection="true">
      <alignment horizontal="right" vertical="bottom" textRotation="0" wrapText="false" indent="0" shrinkToFit="false"/>
      <protection locked="false" hidden="true"/>
    </xf>
    <xf numFmtId="164" fontId="20" fillId="6" borderId="8" xfId="0" applyFont="true" applyBorder="true" applyAlignment="true" applyProtection="true">
      <alignment horizontal="left" vertical="bottom" textRotation="0" wrapText="false" indent="0" shrinkToFit="false"/>
      <protection locked="true" hidden="false"/>
    </xf>
    <xf numFmtId="167" fontId="22" fillId="6" borderId="2" xfId="0" applyFont="true" applyBorder="true" applyAlignment="true" applyProtection="true">
      <alignment horizontal="right" vertical="bottom" textRotation="0" wrapText="false" indent="0" shrinkToFit="false"/>
      <protection locked="true" hidden="false"/>
    </xf>
    <xf numFmtId="164" fontId="22" fillId="6" borderId="8" xfId="0" applyFont="true" applyBorder="true" applyAlignment="true" applyProtection="true">
      <alignment horizontal="left" vertical="bottom" textRotation="0" wrapText="false" indent="0" shrinkToFit="false"/>
      <protection locked="true" hidden="false"/>
    </xf>
    <xf numFmtId="164" fontId="22" fillId="6" borderId="3" xfId="0" applyFont="true" applyBorder="true" applyAlignment="true" applyProtection="true">
      <alignment horizontal="center" vertical="bottom" textRotation="0" wrapText="false" indent="0" shrinkToFit="false"/>
      <protection locked="true" hidden="false"/>
    </xf>
    <xf numFmtId="166" fontId="0" fillId="6" borderId="0" xfId="0" applyFont="true" applyBorder="true" applyAlignment="true" applyProtection="true">
      <alignment horizontal="left" vertical="center" textRotation="0" wrapText="false" indent="0" shrinkToFit="false"/>
      <protection locked="true" hidden="false"/>
    </xf>
    <xf numFmtId="164" fontId="20" fillId="5" borderId="0" xfId="0" applyFont="true" applyBorder="true" applyAlignment="true" applyProtection="true">
      <alignment horizontal="right" vertical="bottom" textRotation="0" wrapText="false" indent="0" shrinkToFit="false"/>
      <protection locked="false" hidden="true"/>
    </xf>
    <xf numFmtId="164" fontId="20" fillId="6" borderId="6" xfId="0" applyFont="true" applyBorder="true" applyAlignment="true" applyProtection="true">
      <alignment horizontal="left" vertical="bottom" textRotation="0" wrapText="false" indent="0" shrinkToFit="false"/>
      <protection locked="true" hidden="false"/>
    </xf>
    <xf numFmtId="167" fontId="22" fillId="6" borderId="3" xfId="0" applyFont="true" applyBorder="true" applyAlignment="true" applyProtection="true">
      <alignment horizontal="right" vertical="bottom" textRotation="0" wrapText="false" indent="0" shrinkToFit="false"/>
      <protection locked="true" hidden="false"/>
    </xf>
    <xf numFmtId="164" fontId="22" fillId="6" borderId="4" xfId="0" applyFont="true" applyBorder="true" applyAlignment="true" applyProtection="true">
      <alignment horizontal="center" vertical="bottom" textRotation="0" wrapText="false" indent="0" shrinkToFit="false"/>
      <protection locked="true" hidden="false"/>
    </xf>
    <xf numFmtId="166" fontId="0" fillId="6" borderId="5" xfId="0" applyFont="true" applyBorder="true" applyAlignment="true" applyProtection="true">
      <alignment horizontal="left" vertical="center" textRotation="0" wrapText="false" indent="0" shrinkToFit="false"/>
      <protection locked="true" hidden="false"/>
    </xf>
    <xf numFmtId="164" fontId="0" fillId="6" borderId="5" xfId="0" applyFont="true" applyBorder="true" applyAlignment="true" applyProtection="true">
      <alignment horizontal="left" vertical="bottom" textRotation="0" wrapText="false" indent="0" shrinkToFit="false"/>
      <protection locked="true" hidden="false"/>
    </xf>
    <xf numFmtId="164" fontId="20" fillId="5" borderId="5" xfId="0" applyFont="true" applyBorder="true" applyAlignment="true" applyProtection="true">
      <alignment horizontal="right" vertical="bottom" textRotation="0" wrapText="false" indent="0" shrinkToFit="false"/>
      <protection locked="false" hidden="true"/>
    </xf>
    <xf numFmtId="164" fontId="20" fillId="6" borderId="9" xfId="0" applyFont="true" applyBorder="true" applyAlignment="true" applyProtection="true">
      <alignment horizontal="left" vertical="bottom" textRotation="0" wrapText="false" indent="0" shrinkToFit="false"/>
      <protection locked="true" hidden="false"/>
    </xf>
    <xf numFmtId="164" fontId="37" fillId="6" borderId="4" xfId="0" applyFont="true" applyBorder="true" applyAlignment="true" applyProtection="true">
      <alignment horizontal="left" vertical="bottom" textRotation="0" wrapText="false" indent="0" shrinkToFit="false"/>
      <protection locked="true" hidden="false"/>
    </xf>
    <xf numFmtId="164" fontId="37" fillId="6" borderId="9" xfId="0" applyFont="true" applyBorder="true" applyAlignment="false" applyProtection="true">
      <alignment horizontal="general" vertical="bottom" textRotation="0" wrapText="false" indent="0" shrinkToFit="false"/>
      <protection locked="true" hidden="false"/>
    </xf>
    <xf numFmtId="164" fontId="38" fillId="7" borderId="10" xfId="0" applyFont="true" applyBorder="true" applyAlignment="false" applyProtection="true">
      <alignment horizontal="general" vertical="bottom" textRotation="0" wrapText="false" indent="0" shrinkToFit="false"/>
      <protection locked="true" hidden="false"/>
    </xf>
    <xf numFmtId="164" fontId="38" fillId="7" borderId="11" xfId="0" applyFont="true" applyBorder="true" applyAlignment="false" applyProtection="true">
      <alignment horizontal="general" vertical="bottom" textRotation="0" wrapText="false" indent="0" shrinkToFit="false"/>
      <protection locked="true" hidden="false"/>
    </xf>
    <xf numFmtId="164" fontId="39" fillId="7" borderId="11" xfId="0" applyFont="true" applyBorder="true" applyAlignment="false" applyProtection="true">
      <alignment horizontal="general" vertical="bottom" textRotation="0" wrapText="false" indent="0" shrinkToFit="false"/>
      <protection locked="true" hidden="false"/>
    </xf>
    <xf numFmtId="164" fontId="40" fillId="7" borderId="11" xfId="0" applyFont="true" applyBorder="true" applyAlignment="false" applyProtection="true">
      <alignment horizontal="general" vertical="bottom" textRotation="0" wrapText="false" indent="0" shrinkToFit="false"/>
      <protection locked="true" hidden="false"/>
    </xf>
    <xf numFmtId="164" fontId="40" fillId="7" borderId="12" xfId="0" applyFont="true" applyBorder="true" applyAlignment="false" applyProtection="true">
      <alignment horizontal="general" vertical="bottom" textRotation="0" wrapText="false" indent="0" shrinkToFit="false"/>
      <protection locked="true" hidden="false"/>
    </xf>
    <xf numFmtId="172" fontId="40" fillId="4" borderId="0" xfId="0" applyFont="true" applyBorder="true" applyAlignment="true" applyProtection="true">
      <alignment horizontal="center" vertical="bottom" textRotation="0" wrapText="false" indent="0" shrinkToFit="false"/>
      <protection locked="true" hidden="false"/>
    </xf>
    <xf numFmtId="172" fontId="40" fillId="2" borderId="0" xfId="0" applyFont="true" applyBorder="true" applyAlignment="true" applyProtection="true">
      <alignment horizontal="center" vertical="bottom" textRotation="0" wrapText="false" indent="0" shrinkToFit="false"/>
      <protection locked="true" hidden="false"/>
    </xf>
    <xf numFmtId="164" fontId="40" fillId="2" borderId="0" xfId="0" applyFont="true" applyBorder="false" applyAlignment="false" applyProtection="tru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5" fillId="6" borderId="7" xfId="0" applyFont="true" applyBorder="true" applyAlignment="true" applyProtection="true">
      <alignment horizontal="right" vertical="bottom" textRotation="0" wrapText="false" indent="0" shrinkToFit="false"/>
      <protection locked="true" hidden="false"/>
    </xf>
    <xf numFmtId="164" fontId="33" fillId="6" borderId="7" xfId="0" applyFont="true" applyBorder="true" applyAlignment="true" applyProtection="true">
      <alignment horizontal="general" vertical="bottom" textRotation="0" wrapText="false" indent="0" shrinkToFit="false"/>
      <protection locked="false" hidden="false"/>
    </xf>
    <xf numFmtId="167" fontId="22" fillId="5" borderId="0" xfId="0" applyFont="true" applyBorder="true" applyAlignment="false" applyProtection="true">
      <alignment horizontal="general" vertical="bottom" textRotation="0" wrapText="false" indent="0" shrinkToFit="false"/>
      <protection locked="false" hidden="false"/>
    </xf>
    <xf numFmtId="164" fontId="22" fillId="6" borderId="5" xfId="0" applyFont="true" applyBorder="true" applyAlignment="false" applyProtection="true">
      <alignment horizontal="general" vertical="bottom" textRotation="0" wrapText="false" indent="0" shrinkToFit="false"/>
      <protection locked="true" hidden="false"/>
    </xf>
    <xf numFmtId="164" fontId="22" fillId="6" borderId="5" xfId="0" applyFont="true" applyBorder="true" applyAlignment="true" applyProtection="true">
      <alignment horizontal="right" vertical="bottom" textRotation="0" wrapText="false" indent="0" shrinkToFit="false"/>
      <protection locked="true" hidden="false"/>
    </xf>
    <xf numFmtId="164" fontId="22" fillId="5" borderId="5" xfId="0" applyFont="true" applyBorder="true" applyAlignment="false" applyProtection="true">
      <alignment horizontal="general" vertical="bottom" textRotation="0" wrapText="false" indent="0" shrinkToFit="false"/>
      <protection locked="false" hidden="false"/>
    </xf>
    <xf numFmtId="164" fontId="0" fillId="6" borderId="0" xfId="0" applyFont="true" applyBorder="true" applyAlignment="false" applyProtection="true">
      <alignment horizontal="general" vertical="bottom" textRotation="0" wrapText="false" indent="0" shrinkToFit="false"/>
      <protection locked="false" hidden="false"/>
    </xf>
    <xf numFmtId="164" fontId="0" fillId="6" borderId="11" xfId="0" applyFont="true" applyBorder="true" applyAlignment="false" applyProtection="true">
      <alignment horizontal="general" vertical="bottom" textRotation="0" wrapText="false" indent="0" shrinkToFit="false"/>
      <protection locked="true" hidden="false"/>
    </xf>
    <xf numFmtId="164" fontId="0" fillId="6" borderId="7" xfId="0" applyFont="true" applyBorder="true" applyAlignment="true" applyProtection="true">
      <alignment horizontal="general" vertical="center" textRotation="0" wrapText="false" indent="0" shrinkToFit="false"/>
      <protection locked="true" hidden="false"/>
    </xf>
    <xf numFmtId="164" fontId="35" fillId="6" borderId="0" xfId="0" applyFont="true" applyBorder="true" applyAlignment="true" applyProtection="true">
      <alignment horizontal="right" vertical="bottom" textRotation="0" wrapText="false" indent="0" shrinkToFit="false"/>
      <protection locked="true" hidden="false"/>
    </xf>
    <xf numFmtId="164" fontId="22" fillId="5" borderId="0" xfId="0" applyFont="true" applyBorder="true" applyAlignment="true" applyProtection="true">
      <alignment horizontal="right" vertical="bottom" textRotation="0" wrapText="false" indent="0" shrinkToFit="false"/>
      <protection locked="false" hidden="false"/>
    </xf>
    <xf numFmtId="164" fontId="5" fillId="6" borderId="0" xfId="0" applyFont="true" applyBorder="true" applyAlignment="true" applyProtection="true">
      <alignment horizontal="center" vertical="bottom" textRotation="0" wrapText="false" indent="0" shrinkToFit="false"/>
      <protection locked="true" hidden="false"/>
    </xf>
    <xf numFmtId="164" fontId="5" fillId="6" borderId="0" xfId="0" applyFont="true" applyBorder="true" applyAlignment="true" applyProtection="true">
      <alignment horizontal="left" vertical="bottom" textRotation="0" wrapText="false" indent="0" shrinkToFit="false"/>
      <protection locked="true" hidden="false"/>
    </xf>
    <xf numFmtId="164" fontId="22" fillId="5" borderId="5" xfId="0" applyFont="true" applyBorder="true" applyAlignment="true" applyProtection="true">
      <alignment horizontal="right" vertical="bottom" textRotation="0" wrapText="false" indent="0" shrinkToFit="false"/>
      <protection locked="false" hidden="false"/>
    </xf>
    <xf numFmtId="164" fontId="0" fillId="6" borderId="0" xfId="0" applyFont="true" applyBorder="true" applyAlignment="true" applyProtection="true">
      <alignment horizontal="right" vertical="bottom" textRotation="0" wrapText="false" indent="0" shrinkToFit="false"/>
      <protection locked="false" hidden="false"/>
    </xf>
    <xf numFmtId="164" fontId="5" fillId="6" borderId="9" xfId="0" applyFont="true" applyBorder="true" applyAlignment="false" applyProtection="true">
      <alignment horizontal="general" vertical="bottom" textRotation="0" wrapText="false" indent="0" shrinkToFit="false"/>
      <protection locked="true" hidden="false"/>
    </xf>
    <xf numFmtId="164" fontId="12" fillId="4" borderId="10" xfId="0" applyFont="true" applyBorder="true" applyAlignment="false" applyProtection="true">
      <alignment horizontal="general" vertical="bottom" textRotation="0" wrapText="false" indent="0" shrinkToFit="false"/>
      <protection locked="true" hidden="false"/>
    </xf>
    <xf numFmtId="164" fontId="12" fillId="4" borderId="11" xfId="0" applyFont="true" applyBorder="true" applyAlignment="false" applyProtection="true">
      <alignment horizontal="general" vertical="bottom" textRotation="0" wrapText="false" indent="0" shrinkToFit="false"/>
      <protection locked="true" hidden="false"/>
    </xf>
    <xf numFmtId="164" fontId="5" fillId="4" borderId="11" xfId="0" applyFont="true" applyBorder="true" applyAlignment="false" applyProtection="true">
      <alignment horizontal="general" vertical="bottom" textRotation="0" wrapText="false" indent="0" shrinkToFit="false"/>
      <protection locked="true" hidden="false"/>
    </xf>
    <xf numFmtId="172" fontId="5" fillId="4" borderId="5" xfId="0" applyFont="true" applyBorder="true" applyAlignment="true" applyProtection="true">
      <alignment horizontal="center" vertical="bottom" textRotation="0" wrapText="false" indent="0" shrinkToFit="false"/>
      <protection locked="true" hidden="false"/>
    </xf>
    <xf numFmtId="164" fontId="0" fillId="6" borderId="0" xfId="22" applyFont="false" applyBorder="false" applyAlignment="false" applyProtection="false">
      <alignment horizontal="general" vertical="bottom" textRotation="0" wrapText="false" indent="0" shrinkToFit="false"/>
      <protection locked="true" hidden="false"/>
    </xf>
    <xf numFmtId="174" fontId="0" fillId="6" borderId="0" xfId="22" applyFont="false" applyBorder="false" applyAlignment="false" applyProtection="false">
      <alignment horizontal="general" vertical="bottom" textRotation="0" wrapText="false" indent="0" shrinkToFit="false"/>
      <protection locked="true" hidden="false"/>
    </xf>
    <xf numFmtId="164" fontId="0" fillId="6" borderId="0" xfId="22" applyFont="true" applyBorder="false" applyAlignment="false" applyProtection="false">
      <alignment horizontal="general" vertical="bottom" textRotation="0" wrapText="false" indent="0" shrinkToFit="false"/>
      <protection locked="true" hidden="false"/>
    </xf>
    <xf numFmtId="164" fontId="16" fillId="6" borderId="0" xfId="0" applyFont="true" applyBorder="false" applyAlignment="false" applyProtection="false">
      <alignment horizontal="general" vertical="bottom" textRotation="0" wrapText="false" indent="0" shrinkToFit="false"/>
      <protection locked="true" hidden="false"/>
    </xf>
    <xf numFmtId="164" fontId="86" fillId="6" borderId="0" xfId="22" applyFont="true" applyBorder="false" applyAlignment="true" applyProtection="false">
      <alignment horizontal="general" vertical="center" textRotation="0" wrapText="false" indent="0" shrinkToFit="false"/>
      <protection locked="true" hidden="false"/>
    </xf>
    <xf numFmtId="164" fontId="87" fillId="2" borderId="13" xfId="22" applyFont="true" applyBorder="true" applyAlignment="true" applyProtection="false">
      <alignment horizontal="center" vertical="bottom" textRotation="0" wrapText="false" indent="0" shrinkToFit="false"/>
      <protection locked="true" hidden="false"/>
    </xf>
    <xf numFmtId="164" fontId="87" fillId="2" borderId="14" xfId="22" applyFont="true" applyBorder="true" applyAlignment="true" applyProtection="false">
      <alignment horizontal="center" vertical="bottom" textRotation="0" wrapText="false" indent="0" shrinkToFit="false"/>
      <protection locked="true" hidden="false"/>
    </xf>
    <xf numFmtId="164" fontId="87" fillId="2" borderId="14" xfId="22" applyFont="true" applyBorder="true" applyAlignment="true" applyProtection="false">
      <alignment horizontal="left" vertical="bottom" textRotation="0" wrapText="false" indent="0" shrinkToFit="false"/>
      <protection locked="true" hidden="false"/>
    </xf>
    <xf numFmtId="164" fontId="0" fillId="6" borderId="15" xfId="22" applyFont="false" applyBorder="true" applyAlignment="true" applyProtection="false">
      <alignment horizontal="center" vertical="center" textRotation="0" wrapText="false" indent="0" shrinkToFit="false"/>
      <protection locked="true" hidden="false"/>
    </xf>
    <xf numFmtId="164" fontId="0" fillId="6" borderId="16" xfId="22" applyFont="true" applyBorder="true" applyAlignment="true" applyProtection="false">
      <alignment horizontal="general" vertical="center" textRotation="0" wrapText="true" indent="0" shrinkToFit="false"/>
      <protection locked="true" hidden="false"/>
    </xf>
    <xf numFmtId="175" fontId="0" fillId="6" borderId="16" xfId="22" applyFont="false" applyBorder="true" applyAlignment="true" applyProtection="false">
      <alignment horizontal="center" vertical="center" textRotation="0" wrapText="false" indent="0" shrinkToFit="false"/>
      <protection locked="true" hidden="false"/>
    </xf>
    <xf numFmtId="176" fontId="0" fillId="6" borderId="17" xfId="22" applyFont="false" applyBorder="true" applyAlignment="true" applyProtection="false">
      <alignment horizontal="left" vertical="center" textRotation="0" wrapText="false" indent="0" shrinkToFit="false"/>
      <protection locked="true" hidden="false"/>
    </xf>
    <xf numFmtId="164" fontId="0" fillId="6" borderId="18" xfId="22" applyFont="false" applyBorder="true" applyAlignment="true" applyProtection="false">
      <alignment horizontal="left" vertical="center" textRotation="0" wrapText="false" indent="0" shrinkToFit="false"/>
      <protection locked="true" hidden="false"/>
    </xf>
    <xf numFmtId="174" fontId="0" fillId="6" borderId="16" xfId="22" applyFont="true" applyBorder="true" applyAlignment="true" applyProtection="false">
      <alignment horizontal="left" vertical="center" textRotation="0" wrapText="false" indent="0" shrinkToFit="false"/>
      <protection locked="true" hidden="false"/>
    </xf>
    <xf numFmtId="164" fontId="0" fillId="6" borderId="16" xfId="22" applyFont="true" applyBorder="true" applyAlignment="true" applyProtection="false">
      <alignment horizontal="left" vertical="center" textRotation="0" wrapText="false" indent="0" shrinkToFit="false"/>
      <protection locked="true" hidden="false"/>
    </xf>
    <xf numFmtId="164" fontId="0" fillId="6" borderId="0" xfId="22" applyFont="false" applyBorder="false" applyAlignment="true" applyProtection="false">
      <alignment horizontal="general" vertical="center" textRotation="0" wrapText="false" indent="0" shrinkToFit="false"/>
      <protection locked="true" hidden="false"/>
    </xf>
    <xf numFmtId="174" fontId="0" fillId="6" borderId="0" xfId="22" applyFont="false" applyBorder="false" applyAlignment="true" applyProtection="false">
      <alignment horizontal="general" vertical="center" textRotation="0" wrapText="false" indent="0" shrinkToFit="false"/>
      <protection locked="true" hidden="false"/>
    </xf>
    <xf numFmtId="164" fontId="0" fillId="8" borderId="15" xfId="22" applyFont="false" applyBorder="true" applyAlignment="true" applyProtection="false">
      <alignment horizontal="center" vertical="center" textRotation="0" wrapText="false" indent="0" shrinkToFit="false"/>
      <protection locked="true" hidden="false"/>
    </xf>
    <xf numFmtId="164" fontId="0" fillId="8" borderId="16" xfId="22" applyFont="true" applyBorder="true" applyAlignment="true" applyProtection="false">
      <alignment horizontal="general" vertical="center" textRotation="0" wrapText="true" indent="0" shrinkToFit="false"/>
      <protection locked="true" hidden="false"/>
    </xf>
    <xf numFmtId="177" fontId="0" fillId="8" borderId="16" xfId="22" applyFont="false" applyBorder="true" applyAlignment="true" applyProtection="false">
      <alignment horizontal="center" vertical="center" textRotation="0" wrapText="false" indent="0" shrinkToFit="false"/>
      <protection locked="true" hidden="false"/>
    </xf>
    <xf numFmtId="178" fontId="0" fillId="8" borderId="17" xfId="22" applyFont="false" applyBorder="true" applyAlignment="true" applyProtection="false">
      <alignment horizontal="left" vertical="center" textRotation="0" wrapText="false" indent="0" shrinkToFit="false"/>
      <protection locked="true" hidden="false"/>
    </xf>
    <xf numFmtId="164" fontId="0" fillId="8" borderId="18" xfId="22" applyFont="false" applyBorder="true" applyAlignment="true" applyProtection="false">
      <alignment horizontal="left" vertical="center" textRotation="0" wrapText="false" indent="0" shrinkToFit="false"/>
      <protection locked="true" hidden="false"/>
    </xf>
    <xf numFmtId="164" fontId="0" fillId="8" borderId="16" xfId="22" applyFont="true" applyBorder="true" applyAlignment="true" applyProtection="false">
      <alignment horizontal="left" vertical="center" textRotation="0" wrapText="false" indent="0" shrinkToFit="false"/>
      <protection locked="true" hidden="false"/>
    </xf>
    <xf numFmtId="179" fontId="0" fillId="8" borderId="17" xfId="22" applyFont="false" applyBorder="true" applyAlignment="true" applyProtection="false">
      <alignment horizontal="left" vertical="center" textRotation="0" wrapText="false" indent="0" shrinkToFit="false"/>
      <protection locked="true" hidden="false"/>
    </xf>
    <xf numFmtId="177" fontId="0" fillId="6" borderId="16" xfId="22" applyFont="false" applyBorder="true" applyAlignment="true" applyProtection="false">
      <alignment horizontal="center" vertical="center" textRotation="0" wrapText="false" indent="0" shrinkToFit="false"/>
      <protection locked="true" hidden="false"/>
    </xf>
    <xf numFmtId="178" fontId="0" fillId="6" borderId="17" xfId="22" applyFont="false" applyBorder="true" applyAlignment="true" applyProtection="false">
      <alignment horizontal="left" vertical="center" textRotation="0" wrapText="false" indent="0" shrinkToFit="false"/>
      <protection locked="true" hidden="false"/>
    </xf>
    <xf numFmtId="180" fontId="0" fillId="6" borderId="16" xfId="22" applyFont="false" applyBorder="true" applyAlignment="true" applyProtection="false">
      <alignment horizontal="center" vertical="center" textRotation="0" wrapText="false" indent="0" shrinkToFit="false"/>
      <protection locked="true" hidden="false"/>
    </xf>
    <xf numFmtId="181" fontId="0" fillId="6" borderId="17" xfId="22" applyFont="false" applyBorder="true" applyAlignment="true" applyProtection="false">
      <alignment horizontal="left" vertical="center" textRotation="0" wrapText="false" indent="0" shrinkToFit="false"/>
      <protection locked="true" hidden="false"/>
    </xf>
    <xf numFmtId="175" fontId="0" fillId="8" borderId="16" xfId="22" applyFont="false" applyBorder="true" applyAlignment="true" applyProtection="false">
      <alignment horizontal="center" vertical="center" textRotation="0" wrapText="false" indent="0" shrinkToFit="false"/>
      <protection locked="true" hidden="false"/>
    </xf>
    <xf numFmtId="182" fontId="0" fillId="8" borderId="17" xfId="22" applyFont="false" applyBorder="true" applyAlignment="true" applyProtection="false">
      <alignment horizontal="left" vertical="center" textRotation="0" wrapText="false" indent="0" shrinkToFit="false"/>
      <protection locked="true" hidden="false"/>
    </xf>
    <xf numFmtId="183" fontId="0" fillId="8" borderId="17" xfId="22" applyFont="false" applyBorder="true" applyAlignment="true" applyProtection="false">
      <alignment horizontal="left" vertical="center" textRotation="0" wrapText="false" indent="0" shrinkToFit="false"/>
      <protection locked="true" hidden="false"/>
    </xf>
    <xf numFmtId="180" fontId="0" fillId="8" borderId="16" xfId="22" applyFont="false" applyBorder="true" applyAlignment="true" applyProtection="false">
      <alignment horizontal="center" vertical="center" textRotation="0" wrapText="false" indent="0" shrinkToFit="false"/>
      <protection locked="true" hidden="false"/>
    </xf>
    <xf numFmtId="181" fontId="0" fillId="8" borderId="17" xfId="22" applyFont="false" applyBorder="true" applyAlignment="true" applyProtection="false">
      <alignment horizontal="left" vertical="center" textRotation="0" wrapText="false" indent="0" shrinkToFit="false"/>
      <protection locked="true" hidden="false"/>
    </xf>
    <xf numFmtId="184" fontId="0" fillId="6" borderId="17" xfId="22" applyFont="false" applyBorder="true" applyAlignment="true" applyProtection="false">
      <alignment horizontal="left" vertical="center" textRotation="0" wrapText="false" indent="0" shrinkToFit="false"/>
      <protection locked="true" hidden="false"/>
    </xf>
    <xf numFmtId="185" fontId="0" fillId="6" borderId="17" xfId="22" applyFont="false" applyBorder="true" applyAlignment="true" applyProtection="false">
      <alignment horizontal="left" vertical="center" textRotation="0" wrapText="false" indent="0" shrinkToFit="false"/>
      <protection locked="true" hidden="false"/>
    </xf>
    <xf numFmtId="164" fontId="0" fillId="6" borderId="16" xfId="22" applyFont="true" applyBorder="true" applyAlignment="true" applyProtection="false">
      <alignment horizontal="center" vertical="center" textRotation="0" wrapText="false" indent="0" shrinkToFit="false"/>
      <protection locked="true" hidden="false"/>
    </xf>
    <xf numFmtId="182" fontId="0" fillId="6" borderId="17" xfId="22" applyFont="true" applyBorder="true" applyAlignment="true" applyProtection="false">
      <alignment horizontal="left" vertical="center" textRotation="0" wrapText="false" indent="0" shrinkToFit="false"/>
      <protection locked="true" hidden="false"/>
    </xf>
    <xf numFmtId="186" fontId="0" fillId="8" borderId="16" xfId="22" applyFont="false" applyBorder="true" applyAlignment="true" applyProtection="false">
      <alignment horizontal="center" vertical="center" textRotation="0" wrapText="false" indent="0" shrinkToFit="false"/>
      <protection locked="true" hidden="false"/>
    </xf>
    <xf numFmtId="187" fontId="0" fillId="8" borderId="16" xfId="22" applyFont="false" applyBorder="true" applyAlignment="true" applyProtection="false">
      <alignment horizontal="left" vertical="center" textRotation="0" wrapText="false" indent="0" shrinkToFit="false"/>
      <protection locked="true" hidden="false"/>
    </xf>
    <xf numFmtId="188" fontId="0" fillId="6" borderId="16" xfId="22" applyFont="false" applyBorder="true" applyAlignment="true" applyProtection="false">
      <alignment horizontal="left" vertical="center" textRotation="0" wrapText="false" indent="0" shrinkToFit="false"/>
      <protection locked="true" hidden="false"/>
    </xf>
    <xf numFmtId="164" fontId="0" fillId="6" borderId="16" xfId="0" applyFont="true" applyBorder="true" applyAlignment="true" applyProtection="false">
      <alignment horizontal="general" vertical="center" textRotation="0" wrapText="true" indent="0" shrinkToFit="false"/>
      <protection locked="true" hidden="false"/>
    </xf>
    <xf numFmtId="164" fontId="0" fillId="6" borderId="16" xfId="0" applyFont="true" applyBorder="true" applyAlignment="true" applyProtection="false">
      <alignment horizontal="left" vertical="center" textRotation="0" wrapText="false" indent="0" shrinkToFit="false"/>
      <protection locked="true" hidden="false"/>
    </xf>
    <xf numFmtId="174" fontId="0" fillId="6" borderId="16" xfId="0" applyFont="true" applyBorder="true" applyAlignment="true" applyProtection="false">
      <alignment horizontal="left" vertical="center" textRotation="0" wrapText="false" indent="0" shrinkToFit="false"/>
      <protection locked="true" hidden="false"/>
    </xf>
    <xf numFmtId="189" fontId="0" fillId="8" borderId="16" xfId="22" applyFont="false" applyBorder="true" applyAlignment="true" applyProtection="false">
      <alignment horizontal="center" vertical="center" textRotation="0" wrapText="false" indent="0" shrinkToFit="false"/>
      <protection locked="true" hidden="false"/>
    </xf>
    <xf numFmtId="190" fontId="0" fillId="8" borderId="16" xfId="22" applyFont="false" applyBorder="true" applyAlignment="true" applyProtection="false">
      <alignment horizontal="left" vertical="center" textRotation="0" wrapText="false" indent="0" shrinkToFit="false"/>
      <protection locked="true" hidden="false"/>
    </xf>
    <xf numFmtId="164" fontId="0" fillId="8" borderId="16" xfId="22" applyFont="false" applyBorder="true" applyAlignment="true" applyProtection="false">
      <alignment horizontal="center" vertical="center" textRotation="0" wrapText="false" indent="0" shrinkToFit="false"/>
      <protection locked="true" hidden="false"/>
    </xf>
    <xf numFmtId="191" fontId="0" fillId="8" borderId="16" xfId="22" applyFont="false" applyBorder="true" applyAlignment="true" applyProtection="false">
      <alignment horizontal="left" vertical="center" textRotation="0" wrapText="false" indent="0" shrinkToFit="false"/>
      <protection locked="true" hidden="false"/>
    </xf>
    <xf numFmtId="189" fontId="0" fillId="6" borderId="16" xfId="22" applyFont="false" applyBorder="true" applyAlignment="true" applyProtection="false">
      <alignment horizontal="center" vertical="center" textRotation="0" wrapText="false" indent="0" shrinkToFit="false"/>
      <protection locked="true" hidden="false"/>
    </xf>
    <xf numFmtId="190" fontId="0" fillId="6" borderId="16" xfId="22" applyFont="false" applyBorder="true" applyAlignment="true" applyProtection="false">
      <alignment horizontal="left" vertical="center" textRotation="0" wrapText="false" indent="0" shrinkToFit="false"/>
      <protection locked="true" hidden="false"/>
    </xf>
    <xf numFmtId="164" fontId="0" fillId="6" borderId="16" xfId="22" applyFont="false" applyBorder="true" applyAlignment="true" applyProtection="false">
      <alignment horizontal="center" vertical="center" textRotation="0" wrapText="false" indent="0" shrinkToFit="false"/>
      <protection locked="true" hidden="false"/>
    </xf>
    <xf numFmtId="191" fontId="0" fillId="6" borderId="16" xfId="22" applyFont="false" applyBorder="true" applyAlignment="true" applyProtection="false">
      <alignment horizontal="left" vertical="center" textRotation="0" wrapText="false" indent="0" shrinkToFit="false"/>
      <protection locked="true" hidden="false"/>
    </xf>
    <xf numFmtId="164" fontId="22" fillId="6" borderId="15" xfId="22" applyFont="true" applyBorder="true" applyAlignment="true" applyProtection="false">
      <alignment horizontal="center" vertical="center" textRotation="0" wrapText="false" indent="0" shrinkToFit="false"/>
      <protection locked="true" hidden="false"/>
    </xf>
    <xf numFmtId="164" fontId="22" fillId="6" borderId="16" xfId="22" applyFont="true" applyBorder="true" applyAlignment="true" applyProtection="false">
      <alignment horizontal="general" vertical="center" textRotation="0" wrapText="true" indent="0" shrinkToFit="false"/>
      <protection locked="true" hidden="false"/>
    </xf>
    <xf numFmtId="164" fontId="33" fillId="6" borderId="16" xfId="22" applyFont="true" applyBorder="true" applyAlignment="true" applyProtection="false">
      <alignment horizontal="center" vertical="center" textRotation="0" wrapText="false" indent="0" shrinkToFit="false"/>
      <protection locked="true" hidden="false"/>
    </xf>
    <xf numFmtId="164" fontId="22" fillId="6" borderId="16" xfId="22" applyFont="true" applyBorder="true" applyAlignment="true" applyProtection="false">
      <alignment horizontal="left" vertical="center" textRotation="0" wrapText="false" indent="0" shrinkToFit="false"/>
      <protection locked="true" hidden="false"/>
    </xf>
    <xf numFmtId="164" fontId="88" fillId="6" borderId="0" xfId="22" applyFont="true" applyBorder="false" applyAlignment="false" applyProtection="false">
      <alignment horizontal="general" vertical="bottom" textRotation="0" wrapText="false" indent="0" shrinkToFit="false"/>
      <protection locked="true" hidden="false"/>
    </xf>
    <xf numFmtId="164" fontId="89" fillId="6" borderId="3" xfId="0" applyFont="true" applyBorder="true" applyAlignment="true" applyProtection="true">
      <alignment horizontal="left" vertical="center" textRotation="0" wrapText="false" indent="0" shrinkToFit="false"/>
      <protection locked="true" hidden="false"/>
    </xf>
    <xf numFmtId="164" fontId="90" fillId="2" borderId="0" xfId="0" applyFont="true" applyBorder="false" applyAlignment="false" applyProtection="false">
      <alignment horizontal="general" vertical="bottom" textRotation="0" wrapText="false" indent="0" shrinkToFit="false"/>
      <protection locked="true" hidden="false"/>
    </xf>
    <xf numFmtId="164" fontId="91" fillId="2" borderId="0" xfId="0" applyFont="true" applyBorder="true" applyAlignment="true" applyProtection="false">
      <alignment horizontal="center" vertical="bottom" textRotation="0" wrapText="false" indent="0" shrinkToFit="false"/>
      <protection locked="true" hidden="false"/>
    </xf>
    <xf numFmtId="164" fontId="22" fillId="0" borderId="0" xfId="0" applyFont="true" applyBorder="false" applyAlignment="true" applyProtection="false">
      <alignment horizontal="center" vertical="bottom" textRotation="0" wrapText="false" indent="0" shrinkToFit="false"/>
      <protection locked="true" hidden="false"/>
    </xf>
    <xf numFmtId="164" fontId="22" fillId="9" borderId="0" xfId="0" applyFont="true" applyBorder="false" applyAlignment="true" applyProtection="false">
      <alignment horizontal="center" vertical="bottom" textRotation="0" wrapText="false" indent="0" shrinkToFit="false"/>
      <protection locked="true" hidden="false"/>
    </xf>
    <xf numFmtId="164" fontId="22" fillId="10" borderId="0" xfId="0" applyFont="true" applyBorder="false" applyAlignment="true" applyProtection="false">
      <alignment horizontal="center" vertical="bottom" textRotation="0" wrapText="false" indent="0" shrinkToFit="false"/>
      <protection locked="true" hidden="false"/>
    </xf>
    <xf numFmtId="164" fontId="22" fillId="11" borderId="0" xfId="0" applyFont="true" applyBorder="false" applyAlignment="true" applyProtection="false">
      <alignment horizontal="center" vertical="bottom" textRotation="0" wrapText="fals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true" applyAlignment="true" applyProtection="false">
      <alignment horizontal="center" vertical="bottom" textRotation="0" wrapText="false" indent="0" shrinkToFit="false"/>
      <protection locked="true" hidden="false"/>
    </xf>
    <xf numFmtId="164" fontId="92" fillId="0" borderId="0" xfId="0" applyFont="true" applyBorder="true" applyAlignment="false" applyProtection="false">
      <alignment horizontal="general" vertical="bottom" textRotation="0" wrapText="false" indent="0" shrinkToFit="false"/>
      <protection locked="true" hidden="false"/>
    </xf>
    <xf numFmtId="164" fontId="22" fillId="0" borderId="0" xfId="0" applyFont="true" applyBorder="true" applyAlignment="false" applyProtection="false">
      <alignment horizontal="general" vertical="bottom" textRotation="0" wrapText="false" indent="0" shrinkToFit="false"/>
      <protection locked="true" hidden="false"/>
    </xf>
    <xf numFmtId="164" fontId="0" fillId="0" borderId="2" xfId="0" applyFont="true" applyBorder="true" applyAlignment="false" applyProtection="false">
      <alignment horizontal="general" vertical="bottom" textRotation="0" wrapText="false" indent="0" shrinkToFit="false"/>
      <protection locked="true" hidden="false"/>
    </xf>
    <xf numFmtId="164" fontId="0" fillId="9" borderId="7" xfId="0" applyFont="false" applyBorder="true" applyAlignment="false" applyProtection="false">
      <alignment horizontal="general" vertical="bottom" textRotation="0" wrapText="false" indent="0" shrinkToFit="false"/>
      <protection locked="true" hidden="false"/>
    </xf>
    <xf numFmtId="164" fontId="0" fillId="0" borderId="7" xfId="0" applyFont="true" applyBorder="true" applyAlignment="false" applyProtection="false">
      <alignment horizontal="general" vertical="bottom"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0" fillId="0" borderId="3" xfId="0" applyFont="true" applyBorder="true" applyAlignment="false" applyProtection="false">
      <alignment horizontal="general" vertical="bottom" textRotation="0" wrapText="false" indent="0" shrinkToFit="false"/>
      <protection locked="true" hidden="false"/>
    </xf>
    <xf numFmtId="164" fontId="0" fillId="9" borderId="0" xfId="0" applyFont="fals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6" fontId="0" fillId="9" borderId="0" xfId="0" applyFont="false" applyBorder="true" applyAlignment="false" applyProtection="false">
      <alignment horizontal="general" vertical="bottom" textRotation="0" wrapText="false" indent="0" shrinkToFit="false"/>
      <protection locked="true" hidden="false"/>
    </xf>
    <xf numFmtId="164" fontId="0" fillId="11" borderId="0" xfId="0" applyFont="false" applyBorder="true" applyAlignment="false" applyProtection="false">
      <alignment horizontal="general" vertical="bottom" textRotation="0" wrapText="false" indent="0" shrinkToFit="false"/>
      <protection locked="true" hidden="false"/>
    </xf>
    <xf numFmtId="164" fontId="0" fillId="10" borderId="0" xfId="0" applyFont="false" applyBorder="true" applyAlignment="false" applyProtection="false">
      <alignment horizontal="general" vertical="bottom" textRotation="0" wrapText="false" indent="0" shrinkToFit="false"/>
      <protection locked="true" hidden="false"/>
    </xf>
    <xf numFmtId="164" fontId="93" fillId="0" borderId="0" xfId="0" applyFont="true" applyBorder="true" applyAlignment="false" applyProtection="false">
      <alignment horizontal="general" vertical="bottom" textRotation="0" wrapText="false" indent="0" shrinkToFit="false"/>
      <protection locked="true" hidden="false"/>
    </xf>
    <xf numFmtId="164" fontId="0" fillId="10" borderId="0" xfId="0" applyFont="true" applyBorder="true" applyAlignment="false" applyProtection="false">
      <alignment horizontal="general" vertical="bottom" textRotation="0" wrapText="false" indent="0" shrinkToFit="false"/>
      <protection locked="true" hidden="false"/>
    </xf>
    <xf numFmtId="164" fontId="0" fillId="0" borderId="4" xfId="0" applyFont="false" applyBorder="true" applyAlignment="false" applyProtection="false">
      <alignment horizontal="general" vertical="bottom" textRotation="0" wrapText="false" indent="0" shrinkToFit="false"/>
      <protection locked="true" hidden="false"/>
    </xf>
    <xf numFmtId="164" fontId="0" fillId="10" borderId="5" xfId="0" applyFont="true" applyBorder="true" applyAlignment="false" applyProtection="false">
      <alignment horizontal="general"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4" fontId="32" fillId="0" borderId="2" xfId="0" applyFont="true" applyBorder="true" applyAlignment="false" applyProtection="false">
      <alignment horizontal="general" vertical="bottom" textRotation="0" wrapText="false" indent="0" shrinkToFit="false"/>
      <protection locked="true" hidden="false"/>
    </xf>
    <xf numFmtId="164" fontId="32" fillId="10" borderId="7" xfId="0" applyFont="true" applyBorder="true" applyAlignment="false" applyProtection="false">
      <alignment horizontal="general" vertical="bottom" textRotation="0" wrapText="false" indent="0" shrinkToFit="false"/>
      <protection locked="true" hidden="false"/>
    </xf>
    <xf numFmtId="164" fontId="32" fillId="0" borderId="3" xfId="0" applyFont="true" applyBorder="true" applyAlignment="false" applyProtection="false">
      <alignment horizontal="general" vertical="bottom" textRotation="0" wrapText="false" indent="0" shrinkToFit="false"/>
      <protection locked="true" hidden="false"/>
    </xf>
    <xf numFmtId="164" fontId="32" fillId="10" borderId="0" xfId="0" applyFont="true" applyBorder="true" applyAlignment="false" applyProtection="false">
      <alignment horizontal="general" vertical="bottom" textRotation="0" wrapText="false" indent="0" shrinkToFit="false"/>
      <protection locked="true" hidden="false"/>
    </xf>
    <xf numFmtId="164" fontId="22" fillId="0" borderId="3"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64" fontId="22" fillId="0" borderId="4" xfId="0" applyFont="true" applyBorder="true" applyAlignment="false" applyProtection="false">
      <alignment horizontal="general" vertical="bottom" textRotation="0" wrapText="false" indent="0" shrinkToFit="false"/>
      <protection locked="true" hidden="false"/>
    </xf>
    <xf numFmtId="164" fontId="32" fillId="10" borderId="5" xfId="0" applyFont="true" applyBorder="true" applyAlignment="false" applyProtection="false">
      <alignment horizontal="general" vertical="bottom" textRotation="0" wrapText="false" indent="0" shrinkToFit="false"/>
      <protection locked="true" hidden="false"/>
    </xf>
    <xf numFmtId="164" fontId="32" fillId="0" borderId="0" xfId="0" applyFont="true" applyBorder="true" applyAlignment="false" applyProtection="false">
      <alignment horizontal="general" vertical="bottom" textRotation="0" wrapText="false" indent="0" shrinkToFit="false"/>
      <protection locked="true" hidden="false"/>
    </xf>
    <xf numFmtId="164" fontId="22" fillId="0" borderId="2" xfId="0" applyFont="true" applyBorder="true" applyAlignment="false" applyProtection="false">
      <alignment horizontal="general" vertical="bottom" textRotation="0" wrapText="false" indent="0" shrinkToFit="false"/>
      <protection locked="true" hidden="false"/>
    </xf>
    <xf numFmtId="168" fontId="32" fillId="9" borderId="7" xfId="0" applyFont="true" applyBorder="true" applyAlignment="false" applyProtection="false">
      <alignment horizontal="general" vertical="bottom" textRotation="0" wrapText="false" indent="0" shrinkToFit="false"/>
      <protection locked="true" hidden="false"/>
    </xf>
    <xf numFmtId="168" fontId="32" fillId="9" borderId="0" xfId="0" applyFont="true" applyBorder="true" applyAlignment="false" applyProtection="false">
      <alignment horizontal="general" vertical="bottom" textRotation="0" wrapText="false" indent="0" shrinkToFit="false"/>
      <protection locked="true" hidden="false"/>
    </xf>
    <xf numFmtId="192" fontId="0" fillId="11" borderId="0" xfId="0" applyFont="false" applyBorder="true" applyAlignment="false" applyProtection="false">
      <alignment horizontal="general" vertical="bottom" textRotation="0" wrapText="false" indent="0" shrinkToFit="false"/>
      <protection locked="true" hidden="false"/>
    </xf>
    <xf numFmtId="166" fontId="22" fillId="10" borderId="0" xfId="0" applyFont="true" applyBorder="true" applyAlignment="true" applyProtection="false">
      <alignment horizontal="right" vertical="bottom" textRotation="0" wrapText="false" indent="0" shrinkToFit="false"/>
      <protection locked="true" hidden="false"/>
    </xf>
    <xf numFmtId="192" fontId="0" fillId="10" borderId="0" xfId="0" applyFont="false" applyBorder="true" applyAlignment="false" applyProtection="false">
      <alignment horizontal="general" vertical="bottom" textRotation="0" wrapText="false" indent="0" shrinkToFit="false"/>
      <protection locked="true" hidden="false"/>
    </xf>
    <xf numFmtId="164" fontId="22" fillId="10" borderId="0" xfId="0" applyFont="true" applyBorder="true" applyAlignment="false" applyProtection="false">
      <alignment horizontal="general" vertical="bottom" textRotation="0" wrapText="false" indent="0" shrinkToFit="false"/>
      <protection locked="true" hidden="false"/>
    </xf>
    <xf numFmtId="167" fontId="0" fillId="10" borderId="5" xfId="0" applyFont="false" applyBorder="true" applyAlignment="false" applyProtection="false">
      <alignment horizontal="general" vertical="bottom" textRotation="0" wrapText="false" indent="0" shrinkToFit="false"/>
      <protection locked="true" hidden="false"/>
    </xf>
    <xf numFmtId="164" fontId="0" fillId="0" borderId="5" xfId="0" applyFont="true" applyBorder="true" applyAlignment="false" applyProtection="false">
      <alignment horizontal="general" vertical="bottom" textRotation="0" wrapText="false" indent="0" shrinkToFit="false"/>
      <protection locked="true" hidden="false"/>
    </xf>
    <xf numFmtId="164" fontId="0" fillId="10" borderId="7" xfId="0" applyFont="false" applyBorder="true" applyAlignment="false" applyProtection="false">
      <alignment horizontal="general" vertical="bottom" textRotation="0" wrapText="false" indent="0" shrinkToFit="false"/>
      <protection locked="true" hidden="false"/>
    </xf>
    <xf numFmtId="164" fontId="32" fillId="0" borderId="4" xfId="0" applyFont="true" applyBorder="true" applyAlignment="false" applyProtection="false">
      <alignment horizontal="general" vertical="bottom" textRotation="0" wrapText="false" indent="0" shrinkToFit="false"/>
      <protection locked="true" hidden="false"/>
    </xf>
    <xf numFmtId="164" fontId="0" fillId="9" borderId="5" xfId="0" applyFont="false" applyBorder="true" applyAlignment="false" applyProtection="false">
      <alignment horizontal="general" vertical="bottom" textRotation="0" wrapText="false" indent="0" shrinkToFit="false"/>
      <protection locked="true" hidden="false"/>
    </xf>
    <xf numFmtId="164" fontId="92" fillId="0" borderId="19" xfId="0" applyFont="true" applyBorder="true" applyAlignment="false" applyProtection="false">
      <alignment horizontal="general" vertical="bottom" textRotation="0" wrapText="false" indent="0" shrinkToFit="false"/>
      <protection locked="true" hidden="false"/>
    </xf>
    <xf numFmtId="164" fontId="0" fillId="0" borderId="20" xfId="0" applyFont="false" applyBorder="true" applyAlignment="false" applyProtection="false">
      <alignment horizontal="general" vertical="bottom" textRotation="0" wrapText="false" indent="0" shrinkToFit="false"/>
      <protection locked="true" hidden="false"/>
    </xf>
    <xf numFmtId="164" fontId="0" fillId="0" borderId="21" xfId="0" applyFont="false" applyBorder="true" applyAlignment="false" applyProtection="false">
      <alignment horizontal="general" vertical="bottom" textRotation="0" wrapText="false" indent="0" shrinkToFit="false"/>
      <protection locked="true" hidden="false"/>
    </xf>
    <xf numFmtId="164" fontId="0" fillId="0" borderId="22" xfId="0" applyFont="true" applyBorder="true" applyAlignment="false" applyProtection="false">
      <alignment horizontal="general" vertical="bottom" textRotation="0" wrapText="false" indent="0" shrinkToFit="false"/>
      <protection locked="true" hidden="false"/>
    </xf>
    <xf numFmtId="164" fontId="0" fillId="12" borderId="0" xfId="0" applyFont="false" applyBorder="true" applyAlignment="false" applyProtection="false">
      <alignment horizontal="general" vertical="bottom" textRotation="0" wrapText="false" indent="0" shrinkToFit="false"/>
      <protection locked="true" hidden="false"/>
    </xf>
    <xf numFmtId="164" fontId="0" fillId="0" borderId="23" xfId="0" applyFont="false" applyBorder="true" applyAlignment="false" applyProtection="false">
      <alignment horizontal="general" vertical="bottom" textRotation="0" wrapText="false" indent="0" shrinkToFit="false"/>
      <protection locked="true" hidden="false"/>
    </xf>
    <xf numFmtId="164" fontId="29" fillId="0" borderId="22" xfId="0" applyFont="true" applyBorder="true" applyAlignment="false" applyProtection="false">
      <alignment horizontal="general" vertical="bottom" textRotation="0" wrapText="false" indent="0" shrinkToFit="false"/>
      <protection locked="true" hidden="false"/>
    </xf>
    <xf numFmtId="168" fontId="29" fillId="10" borderId="0" xfId="0" applyFont="true" applyBorder="true" applyAlignment="false" applyProtection="false">
      <alignment horizontal="general" vertical="bottom" textRotation="0" wrapText="false" indent="0" shrinkToFit="false"/>
      <protection locked="true" hidden="false"/>
    </xf>
    <xf numFmtId="164" fontId="29" fillId="0" borderId="0" xfId="0" applyFont="true" applyBorder="true" applyAlignment="false" applyProtection="false">
      <alignment horizontal="general" vertical="bottom" textRotation="0" wrapText="false" indent="0" shrinkToFit="false"/>
      <protection locked="true" hidden="false"/>
    </xf>
    <xf numFmtId="164" fontId="29" fillId="13" borderId="0" xfId="0" applyFont="true" applyBorder="true" applyAlignment="false" applyProtection="false">
      <alignment horizontal="general" vertical="bottom" textRotation="0" wrapText="false" indent="0" shrinkToFit="false"/>
      <protection locked="true" hidden="false"/>
    </xf>
    <xf numFmtId="164" fontId="29" fillId="9" borderId="0" xfId="0" applyFont="true" applyBorder="true" applyAlignment="false" applyProtection="false">
      <alignment horizontal="general" vertical="bottom" textRotation="0" wrapText="false" indent="0" shrinkToFit="false"/>
      <protection locked="true" hidden="false"/>
    </xf>
    <xf numFmtId="164" fontId="29" fillId="0" borderId="22" xfId="0" applyFont="true" applyBorder="true" applyAlignment="false" applyProtection="false">
      <alignment horizontal="general" vertical="bottom" textRotation="0" wrapText="false" indent="0" shrinkToFit="false"/>
      <protection locked="true" hidden="false"/>
    </xf>
    <xf numFmtId="164" fontId="0" fillId="13" borderId="0" xfId="0" applyFont="false" applyBorder="true" applyAlignment="false" applyProtection="false">
      <alignment horizontal="general" vertical="bottom" textRotation="0" wrapText="false" indent="0" shrinkToFit="false"/>
      <protection locked="true" hidden="false"/>
    </xf>
    <xf numFmtId="169" fontId="29" fillId="13" borderId="0" xfId="0" applyFont="true" applyBorder="true" applyAlignment="false" applyProtection="false">
      <alignment horizontal="general" vertical="bottom" textRotation="0" wrapText="false" indent="0" shrinkToFit="false"/>
      <protection locked="true" hidden="false"/>
    </xf>
    <xf numFmtId="164" fontId="29" fillId="0" borderId="24" xfId="0" applyFont="true" applyBorder="true" applyAlignment="false" applyProtection="false">
      <alignment horizontal="general" vertical="bottom" textRotation="0" wrapText="false" indent="0" shrinkToFit="false"/>
      <protection locked="true" hidden="false"/>
    </xf>
    <xf numFmtId="164" fontId="29" fillId="13" borderId="25" xfId="0" applyFont="true" applyBorder="true" applyAlignment="false" applyProtection="false">
      <alignment horizontal="general" vertical="bottom" textRotation="0" wrapText="false" indent="0" shrinkToFit="false"/>
      <protection locked="true" hidden="false"/>
    </xf>
    <xf numFmtId="164" fontId="29" fillId="0" borderId="25" xfId="0" applyFont="true" applyBorder="true" applyAlignment="false" applyProtection="false">
      <alignment horizontal="general" vertical="bottom" textRotation="0" wrapText="false" indent="0" shrinkToFit="false"/>
      <protection locked="true" hidden="false"/>
    </xf>
    <xf numFmtId="164" fontId="0" fillId="0" borderId="25" xfId="0" applyFont="false" applyBorder="true" applyAlignment="false" applyProtection="false">
      <alignment horizontal="general" vertical="bottom" textRotation="0" wrapText="false" indent="0" shrinkToFit="false"/>
      <protection locked="true" hidden="false"/>
    </xf>
    <xf numFmtId="164" fontId="0" fillId="0" borderId="26" xfId="0" applyFont="false" applyBorder="true" applyAlignment="false" applyProtection="false">
      <alignment horizontal="general" vertical="bottom" textRotation="0" wrapText="false" indent="0" shrinkToFit="false"/>
      <protection locked="true" hidden="false"/>
    </xf>
    <xf numFmtId="193" fontId="0" fillId="10" borderId="0" xfId="0" applyFont="false" applyBorder="true" applyAlignment="false" applyProtection="false">
      <alignment horizontal="general" vertical="bottom" textRotation="0" wrapText="false" indent="0" shrinkToFit="false"/>
      <protection locked="true" hidden="false"/>
    </xf>
    <xf numFmtId="164" fontId="0" fillId="0" borderId="7" xfId="0" applyFont="false" applyBorder="true" applyAlignment="true" applyProtection="false">
      <alignment horizontal="right"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8" fontId="0" fillId="0" borderId="0" xfId="0" applyFont="fals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8" fontId="0" fillId="0" borderId="0" xfId="0" applyFont="false" applyBorder="true" applyAlignment="true" applyProtection="false">
      <alignment horizontal="right" vertical="bottom" textRotation="0" wrapText="false" indent="0" shrinkToFit="false"/>
      <protection locked="true" hidden="false"/>
    </xf>
    <xf numFmtId="164" fontId="0" fillId="0" borderId="5" xfId="0" applyFont="fals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true" applyProtection="false">
      <alignment horizontal="right" vertical="bottom" textRotation="0" wrapText="false" indent="0" shrinkToFit="false"/>
      <protection locked="true" hidden="false"/>
    </xf>
    <xf numFmtId="164" fontId="0" fillId="11" borderId="7" xfId="0" applyFont="false" applyBorder="true" applyAlignment="false" applyProtection="false">
      <alignment horizontal="general" vertical="bottom" textRotation="0" wrapText="false" indent="0" shrinkToFit="false"/>
      <protection locked="true" hidden="false"/>
    </xf>
    <xf numFmtId="164" fontId="0" fillId="4" borderId="0" xfId="0" applyFont="false" applyBorder="true" applyAlignment="false" applyProtection="false">
      <alignment horizontal="general" vertical="bottom" textRotation="0" wrapText="false" indent="0" shrinkToFit="false"/>
      <protection locked="true" hidden="false"/>
    </xf>
    <xf numFmtId="168" fontId="0" fillId="13" borderId="0" xfId="0" applyFont="false" applyBorder="true" applyAlignment="false" applyProtection="false">
      <alignment horizontal="general" vertical="bottom" textRotation="0" wrapText="false" indent="0" shrinkToFit="false"/>
      <protection locked="true" hidden="false"/>
    </xf>
    <xf numFmtId="167" fontId="32" fillId="10" borderId="0" xfId="0" applyFont="true" applyBorder="true" applyAlignment="false" applyProtection="false">
      <alignment horizontal="general" vertical="bottom" textRotation="0" wrapText="false" indent="0" shrinkToFit="false"/>
      <protection locked="true" hidden="false"/>
    </xf>
    <xf numFmtId="194" fontId="32" fillId="10" borderId="0" xfId="0" applyFont="true" applyBorder="true" applyAlignment="false" applyProtection="false">
      <alignment horizontal="general" vertical="bottom" textRotation="0" wrapText="false" indent="0" shrinkToFit="false"/>
      <protection locked="true" hidden="false"/>
    </xf>
    <xf numFmtId="168" fontId="32" fillId="10" borderId="0" xfId="0" applyFont="true" applyBorder="true" applyAlignment="false" applyProtection="false">
      <alignment horizontal="general" vertical="bottom" textRotation="0" wrapText="false" indent="0" shrinkToFit="false"/>
      <protection locked="true" hidden="false"/>
    </xf>
    <xf numFmtId="192" fontId="32" fillId="10" borderId="0" xfId="0" applyFont="true" applyBorder="true" applyAlignment="false" applyProtection="false">
      <alignment horizontal="general" vertical="bottom" textRotation="0" wrapText="false" indent="0" shrinkToFit="false"/>
      <protection locked="true" hidden="false"/>
    </xf>
    <xf numFmtId="167" fontId="0" fillId="10" borderId="0" xfId="0" applyFont="false" applyBorder="true" applyAlignment="false" applyProtection="false">
      <alignment horizontal="general" vertical="bottom" textRotation="0" wrapText="false" indent="0" shrinkToFit="false"/>
      <protection locked="true" hidden="false"/>
    </xf>
    <xf numFmtId="192" fontId="32" fillId="0" borderId="5" xfId="0" applyFont="true" applyBorder="true" applyAlignment="false" applyProtection="false">
      <alignment horizontal="general" vertical="bottom" textRotation="0" wrapText="false" indent="0" shrinkToFit="false"/>
      <protection locked="true" hidden="false"/>
    </xf>
    <xf numFmtId="164" fontId="32" fillId="0" borderId="0" xfId="0" applyFont="true" applyBorder="false" applyAlignment="false" applyProtection="false">
      <alignment horizontal="general" vertical="bottom" textRotation="0" wrapText="false" indent="0" shrinkToFit="false"/>
      <protection locked="true" hidden="false"/>
    </xf>
    <xf numFmtId="192" fontId="32" fillId="0" borderId="0" xfId="0" applyFont="true" applyBorder="false" applyAlignment="false" applyProtection="false">
      <alignment horizontal="general" vertical="bottom" textRotation="0" wrapText="false" indent="0" shrinkToFit="false"/>
      <protection locked="true" hidden="false"/>
    </xf>
    <xf numFmtId="164" fontId="16" fillId="0" borderId="0" xfId="0" applyFont="true" applyBorder="true" applyAlignment="false" applyProtection="false">
      <alignment horizontal="general" vertical="bottom" textRotation="0" wrapText="false" indent="0" shrinkToFit="false"/>
      <protection locked="true" hidden="false"/>
    </xf>
    <xf numFmtId="164" fontId="0" fillId="11" borderId="0" xfId="0" applyFont="true" applyBorder="true" applyAlignment="false" applyProtection="false">
      <alignment horizontal="general" vertical="bottom" textRotation="0" wrapText="false" indent="0" shrinkToFit="false"/>
      <protection locked="true" hidden="false"/>
    </xf>
    <xf numFmtId="192" fontId="0" fillId="9" borderId="0" xfId="0" applyFont="false" applyBorder="true" applyAlignment="false" applyProtection="false">
      <alignment horizontal="general" vertical="bottom" textRotation="0" wrapText="false" indent="0" shrinkToFit="false"/>
      <protection locked="true" hidden="false"/>
    </xf>
    <xf numFmtId="164" fontId="22" fillId="0" borderId="3" xfId="0" applyFont="true" applyBorder="true" applyAlignment="false" applyProtection="false">
      <alignment horizontal="general" vertical="bottom" textRotation="0" wrapText="false" indent="0" shrinkToFit="false"/>
      <protection locked="true" hidden="false"/>
    </xf>
    <xf numFmtId="164" fontId="22" fillId="0" borderId="0" xfId="0" applyFont="true" applyBorder="true" applyAlignment="true" applyProtection="false">
      <alignment horizontal="general" vertical="bottom" textRotation="0" wrapText="false" indent="0" shrinkToFit="false"/>
      <protection locked="true" hidden="false"/>
    </xf>
    <xf numFmtId="164" fontId="22" fillId="0" borderId="0" xfId="0" applyFont="true" applyBorder="true" applyAlignment="false" applyProtection="false">
      <alignment horizontal="general" vertical="bottom" textRotation="0" wrapText="false" indent="0" shrinkToFit="false"/>
      <protection locked="true" hidden="false"/>
    </xf>
    <xf numFmtId="164" fontId="0" fillId="0" borderId="3"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general" vertical="bottom" textRotation="0" wrapText="false" indent="0" shrinkToFit="false"/>
      <protection locked="true" hidden="false"/>
    </xf>
    <xf numFmtId="164" fontId="29" fillId="0" borderId="0" xfId="0" applyFont="true" applyBorder="true" applyAlignment="false" applyProtection="false">
      <alignment horizontal="general" vertical="bottom" textRotation="0" wrapText="false" indent="0" shrinkToFit="false"/>
      <protection locked="true" hidden="false"/>
    </xf>
    <xf numFmtId="164" fontId="0" fillId="0" borderId="7" xfId="0" applyFont="false" applyBorder="true" applyAlignment="tru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left" vertical="bottom" textRotation="0" wrapText="false" indent="0" shrinkToFit="false"/>
      <protection locked="true" hidden="false"/>
    </xf>
    <xf numFmtId="168" fontId="0" fillId="0" borderId="0" xfId="0" applyFont="true" applyBorder="true" applyAlignment="false" applyProtection="false">
      <alignment horizontal="general" vertical="bottom" textRotation="0" wrapText="false" indent="0" shrinkToFit="false"/>
      <protection locked="true" hidden="false"/>
    </xf>
    <xf numFmtId="164" fontId="0" fillId="0" borderId="4" xfId="0" applyFont="true" applyBorder="true" applyAlignment="false" applyProtection="false">
      <alignment horizontal="general" vertical="bottom" textRotation="0" wrapText="false" indent="0" shrinkToFit="false"/>
      <protection locked="true" hidden="false"/>
    </xf>
    <xf numFmtId="164" fontId="9" fillId="0" borderId="0" xfId="20" applyFont="false" applyBorder="true" applyAlignment="true" applyProtection="true">
      <alignment horizontal="general" vertical="bottom" textRotation="0" wrapText="false" indent="0" shrinkToFit="false"/>
      <protection locked="true" hidden="false"/>
    </xf>
    <xf numFmtId="164" fontId="22" fillId="14"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5" borderId="0" xfId="0" applyFont="false" applyBorder="false" applyAlignment="false" applyProtection="false">
      <alignment horizontal="general" vertical="bottom" textRotation="0" wrapText="false" indent="0" shrinkToFit="false"/>
      <protection locked="true" hidden="false"/>
    </xf>
    <xf numFmtId="164" fontId="95" fillId="2" borderId="0" xfId="0" applyFont="true" applyBorder="true" applyAlignment="true" applyProtection="false">
      <alignment horizontal="center" vertical="bottom" textRotation="0" wrapText="false" indent="0" shrinkToFit="false"/>
      <protection locked="true" hidden="false"/>
    </xf>
    <xf numFmtId="164" fontId="86" fillId="14" borderId="0" xfId="0" applyFont="true" applyBorder="false" applyAlignment="false" applyProtection="false">
      <alignment horizontal="general" vertical="bottom" textRotation="0" wrapText="false" indent="0" shrinkToFit="false"/>
      <protection locked="true" hidden="false"/>
    </xf>
    <xf numFmtId="164" fontId="0" fillId="14" borderId="0" xfId="0" applyFont="false" applyBorder="false" applyAlignment="false" applyProtection="false">
      <alignment horizontal="general" vertical="bottom" textRotation="0" wrapText="false" indent="0" shrinkToFit="false"/>
      <protection locked="true" hidden="false"/>
    </xf>
    <xf numFmtId="164" fontId="22" fillId="14" borderId="0" xfId="0" applyFont="true" applyBorder="true" applyAlignment="true" applyProtection="false">
      <alignment horizontal="center" vertical="bottom" textRotation="0" wrapText="false" indent="0" shrinkToFit="false"/>
      <protection locked="true" hidden="false"/>
    </xf>
    <xf numFmtId="164" fontId="0" fillId="15"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22" fillId="0" borderId="0" xfId="0" applyFont="true" applyBorder="true" applyAlignment="true" applyProtection="true">
      <alignment horizontal="center" vertical="bottom" textRotation="0" wrapText="false" indent="0" shrinkToFit="false"/>
      <protection locked="true" hidden="false"/>
    </xf>
    <xf numFmtId="172" fontId="29" fillId="0" borderId="0" xfId="0" applyFont="true" applyBorder="true" applyAlignment="true" applyProtection="true">
      <alignment horizontal="center" vertical="bottom" textRotation="0" wrapText="false" indent="0" shrinkToFit="false"/>
      <protection locked="true" hidden="false"/>
    </xf>
    <xf numFmtId="172" fontId="0" fillId="0" borderId="0" xfId="0" applyFont="false" applyBorder="false" applyAlignment="false" applyProtection="false">
      <alignment horizontal="general" vertical="bottom" textRotation="0" wrapText="false" indent="0" shrinkToFit="false"/>
      <protection locked="true" hidden="false"/>
    </xf>
    <xf numFmtId="172" fontId="0" fillId="0" borderId="0" xfId="0" applyFont="true" applyBorder="true" applyAlignment="true" applyProtection="true">
      <alignment horizontal="center" vertical="bottom" textRotation="0" wrapText="false" indent="0" shrinkToFit="false"/>
      <protection locked="true" hidden="false"/>
    </xf>
    <xf numFmtId="172" fontId="0" fillId="0" borderId="0" xfId="0" applyFont="true" applyBorder="true" applyAlignment="true" applyProtection="true">
      <alignment horizontal="center" vertical="bottom" textRotation="0" wrapText="false" indent="0" shrinkToFit="false"/>
      <protection locked="false" hidden="false"/>
    </xf>
    <xf numFmtId="172" fontId="0" fillId="0" borderId="0" xfId="0" applyFont="true" applyBorder="true" applyAlignment="true" applyProtection="true">
      <alignment horizontal="center" vertical="bottom" textRotation="0" wrapText="false" indent="0" shrinkToFit="false"/>
      <protection locked="false" hidden="false"/>
    </xf>
    <xf numFmtId="172" fontId="0" fillId="0" borderId="0" xfId="0" applyFont="true" applyBorder="false" applyAlignment="true" applyProtection="true">
      <alignment horizontal="center" vertical="bottom" textRotation="0" wrapText="false" indent="0" shrinkToFit="false"/>
      <protection locked="false" hidden="false"/>
    </xf>
    <xf numFmtId="172" fontId="0" fillId="0" borderId="0" xfId="0" applyFont="true" applyBorder="true" applyAlignment="true" applyProtection="true">
      <alignment horizontal="center" vertical="bottom" textRotation="0" wrapText="false" indent="0" shrinkToFit="false"/>
      <protection locked="true" hidden="false"/>
    </xf>
    <xf numFmtId="172" fontId="0" fillId="0" borderId="0" xfId="0" applyFont="true" applyBorder="false" applyAlignment="true" applyProtection="true">
      <alignment horizontal="center" vertical="bottom" textRotation="0" wrapText="false" indent="0" shrinkToFit="false"/>
      <protection locked="false" hidden="false"/>
    </xf>
    <xf numFmtId="192" fontId="0" fillId="0" borderId="0" xfId="0" applyFont="false" applyBorder="false" applyAlignment="false" applyProtection="false">
      <alignment horizontal="general" vertical="bottom" textRotation="0" wrapText="false" indent="0" shrinkToFit="false"/>
      <protection locked="true" hidden="false"/>
    </xf>
    <xf numFmtId="19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95" fontId="0" fillId="0" borderId="0" xfId="0" applyFont="false" applyBorder="false" applyAlignment="false" applyProtection="false">
      <alignment horizontal="general" vertical="bottom" textRotation="0" wrapText="false" indent="0" shrinkToFit="false"/>
      <protection locked="true" hidden="false"/>
    </xf>
    <xf numFmtId="164" fontId="101" fillId="2" borderId="0" xfId="0" applyFont="true" applyBorder="true" applyAlignment="true" applyProtection="false">
      <alignment horizontal="left" vertical="bottom" textRotation="0" wrapText="false" indent="0" shrinkToFit="false"/>
      <protection locked="true" hidden="false"/>
    </xf>
    <xf numFmtId="164" fontId="102" fillId="2" borderId="0" xfId="0" applyFont="true" applyBorder="false" applyAlignment="true" applyProtection="false">
      <alignment horizontal="right" vertical="bottom" textRotation="0" wrapText="false" indent="0" shrinkToFit="false"/>
      <protection locked="true" hidden="false"/>
    </xf>
    <xf numFmtId="164" fontId="102" fillId="2"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true" applyAlignment="true" applyProtection="false">
      <alignment horizontal="left" vertical="bottom" textRotation="0" wrapText="true" indent="0" shrinkToFit="false"/>
      <protection locked="true" hidden="false"/>
    </xf>
    <xf numFmtId="168" fontId="0" fillId="0" borderId="0" xfId="0" applyFont="false" applyBorder="true" applyAlignment="false" applyProtection="false">
      <alignment horizontal="general" vertical="bottom" textRotation="0" wrapText="false" indent="0" shrinkToFit="false"/>
      <protection locked="true" hidden="false"/>
    </xf>
    <xf numFmtId="164" fontId="32" fillId="9" borderId="2" xfId="0" applyFont="true" applyBorder="true" applyAlignment="true" applyProtection="false">
      <alignment horizontal="general" vertical="bottom" textRotation="0" wrapText="false" indent="0" shrinkToFit="false"/>
      <protection locked="true" hidden="false"/>
    </xf>
    <xf numFmtId="164" fontId="32" fillId="9" borderId="7" xfId="0" applyFont="true" applyBorder="true" applyAlignment="true" applyProtection="false">
      <alignment horizontal="general" vertical="bottom" textRotation="0" wrapText="false" indent="0" shrinkToFit="false"/>
      <protection locked="true" hidden="false"/>
    </xf>
    <xf numFmtId="164" fontId="0" fillId="9" borderId="8" xfId="0" applyFont="false" applyBorder="true" applyAlignment="false" applyProtection="false">
      <alignment horizontal="general" vertical="bottom" textRotation="0" wrapText="false" indent="0" shrinkToFit="false"/>
      <protection locked="true" hidden="false"/>
    </xf>
    <xf numFmtId="164" fontId="29" fillId="9" borderId="8" xfId="0" applyFont="true" applyBorder="true" applyAlignment="false" applyProtection="false">
      <alignment horizontal="general" vertical="bottom" textRotation="0" wrapText="false" indent="0" shrinkToFit="false"/>
      <protection locked="true" hidden="false"/>
    </xf>
    <xf numFmtId="194" fontId="32" fillId="9" borderId="2" xfId="0" applyFont="true" applyBorder="true" applyAlignment="true" applyProtection="false">
      <alignment horizontal="center" vertical="bottom" textRotation="0" wrapText="false" indent="0" shrinkToFit="false"/>
      <protection locked="true" hidden="false"/>
    </xf>
    <xf numFmtId="194" fontId="32" fillId="9" borderId="7" xfId="0" applyFont="true" applyBorder="true" applyAlignment="true" applyProtection="false">
      <alignment horizontal="center" vertical="bottom" textRotation="0" wrapText="false" indent="0" shrinkToFit="false"/>
      <protection locked="true" hidden="false"/>
    </xf>
    <xf numFmtId="164" fontId="32" fillId="9" borderId="2" xfId="0" applyFont="true" applyBorder="true" applyAlignment="false" applyProtection="false">
      <alignment horizontal="general" vertical="bottom" textRotation="0" wrapText="false" indent="0" shrinkToFit="false"/>
      <protection locked="true" hidden="false"/>
    </xf>
    <xf numFmtId="164" fontId="0" fillId="9" borderId="27" xfId="0" applyFont="false" applyBorder="true" applyAlignment="false" applyProtection="false">
      <alignment horizontal="general" vertical="bottom" textRotation="0" wrapText="false" indent="0" shrinkToFit="false"/>
      <protection locked="true" hidden="false"/>
    </xf>
    <xf numFmtId="164" fontId="32" fillId="9" borderId="8" xfId="0" applyFont="true" applyBorder="true" applyAlignment="false" applyProtection="false">
      <alignment horizontal="general" vertical="bottom" textRotation="0" wrapText="false" indent="0" shrinkToFit="false"/>
      <protection locked="true" hidden="false"/>
    </xf>
    <xf numFmtId="164" fontId="32" fillId="9" borderId="10" xfId="0" applyFont="true" applyBorder="true" applyAlignment="true" applyProtection="false">
      <alignment horizontal="left" vertical="bottom" textRotation="0" wrapText="false" indent="0" shrinkToFit="false"/>
      <protection locked="true" hidden="false"/>
    </xf>
    <xf numFmtId="164" fontId="32" fillId="9" borderId="11" xfId="0" applyFont="true" applyBorder="true" applyAlignment="true" applyProtection="false">
      <alignment horizontal="left" vertical="bottom" textRotation="0" wrapText="false" indent="0" shrinkToFit="false"/>
      <protection locked="true" hidden="false"/>
    </xf>
    <xf numFmtId="164" fontId="0" fillId="9" borderId="11" xfId="0" applyFont="false" applyBorder="true" applyAlignment="false" applyProtection="false">
      <alignment horizontal="general" vertical="bottom" textRotation="0" wrapText="false" indent="0" shrinkToFit="false"/>
      <protection locked="true" hidden="false"/>
    </xf>
    <xf numFmtId="164" fontId="0" fillId="9" borderId="12" xfId="0" applyFont="false" applyBorder="true" applyAlignment="false" applyProtection="false">
      <alignment horizontal="general" vertical="bottom" textRotation="0" wrapText="false" indent="0" shrinkToFit="false"/>
      <protection locked="true" hidden="false"/>
    </xf>
    <xf numFmtId="164" fontId="32" fillId="9" borderId="7" xfId="0" applyFont="true" applyBorder="true" applyAlignment="true" applyProtection="false">
      <alignment horizontal="general" vertical="bottom" textRotation="0" wrapText="false" indent="0" shrinkToFit="false"/>
      <protection locked="true" hidden="false"/>
    </xf>
    <xf numFmtId="164" fontId="103" fillId="2" borderId="28" xfId="0" applyFont="true" applyBorder="true" applyAlignment="true" applyProtection="false">
      <alignment horizontal="general" vertical="bottom" textRotation="0" wrapText="false" indent="0" shrinkToFit="false"/>
      <protection locked="true" hidden="false"/>
    </xf>
    <xf numFmtId="164" fontId="22" fillId="14" borderId="29" xfId="0" applyFont="true" applyBorder="true" applyAlignment="true" applyProtection="false">
      <alignment horizontal="center" vertical="top" textRotation="0" wrapText="true" indent="0" shrinkToFit="false"/>
      <protection locked="true" hidden="false"/>
    </xf>
    <xf numFmtId="164" fontId="22" fillId="14" borderId="30" xfId="0" applyFont="true" applyBorder="true" applyAlignment="true" applyProtection="false">
      <alignment horizontal="center" vertical="top" textRotation="0" wrapText="true" indent="0" shrinkToFit="false"/>
      <protection locked="true" hidden="false"/>
    </xf>
    <xf numFmtId="164" fontId="22" fillId="14" borderId="31" xfId="0" applyFont="true" applyBorder="true" applyAlignment="true" applyProtection="false">
      <alignment horizontal="center" vertical="top" textRotation="0" wrapText="true" indent="0" shrinkToFit="false"/>
      <protection locked="true" hidden="false"/>
    </xf>
    <xf numFmtId="164" fontId="22" fillId="16" borderId="31" xfId="0" applyFont="true" applyBorder="true" applyAlignment="true" applyProtection="false">
      <alignment horizontal="center" vertical="top" textRotation="0" wrapText="true" indent="0" shrinkToFit="false"/>
      <protection locked="true" hidden="false"/>
    </xf>
    <xf numFmtId="194" fontId="22" fillId="14" borderId="29" xfId="0" applyFont="true" applyBorder="true" applyAlignment="true" applyProtection="false">
      <alignment horizontal="center" vertical="top" textRotation="0" wrapText="true" indent="0" shrinkToFit="false"/>
      <protection locked="true" hidden="false"/>
    </xf>
    <xf numFmtId="194" fontId="22" fillId="14" borderId="30" xfId="0" applyFont="true" applyBorder="true" applyAlignment="true" applyProtection="false">
      <alignment horizontal="center" vertical="top" textRotation="0" wrapText="true" indent="0" shrinkToFit="false"/>
      <protection locked="true" hidden="false"/>
    </xf>
    <xf numFmtId="164" fontId="22" fillId="14" borderId="32" xfId="0" applyFont="true" applyBorder="true" applyAlignment="true" applyProtection="false">
      <alignment horizontal="center" vertical="top" textRotation="0" wrapText="true" indent="0" shrinkToFit="false"/>
      <protection locked="true" hidden="false"/>
    </xf>
    <xf numFmtId="164" fontId="22" fillId="16" borderId="33" xfId="0" applyFont="true" applyBorder="true" applyAlignment="true" applyProtection="false">
      <alignment horizontal="center" vertical="top" textRotation="0" wrapText="true" indent="0" shrinkToFit="false"/>
      <protection locked="true" hidden="false"/>
    </xf>
    <xf numFmtId="164" fontId="22" fillId="16" borderId="34" xfId="0" applyFont="true" applyBorder="true" applyAlignment="true" applyProtection="false">
      <alignment horizontal="center" vertical="top" textRotation="0" wrapText="true" indent="0" shrinkToFit="false"/>
      <protection locked="true" hidden="false"/>
    </xf>
    <xf numFmtId="164" fontId="22" fillId="14" borderId="35" xfId="0" applyFont="true" applyBorder="true" applyAlignment="true" applyProtection="false">
      <alignment horizontal="center" vertical="top" textRotation="0" wrapText="true" indent="0" shrinkToFit="false"/>
      <protection locked="true" hidden="false"/>
    </xf>
    <xf numFmtId="164" fontId="22" fillId="14" borderId="36" xfId="0" applyFont="true" applyBorder="true" applyAlignment="true" applyProtection="false">
      <alignment horizontal="center" vertical="top" textRotation="0" wrapText="true" indent="0" shrinkToFit="false"/>
      <protection locked="true" hidden="false"/>
    </xf>
    <xf numFmtId="164" fontId="22" fillId="14" borderId="37" xfId="0" applyFont="true" applyBorder="true" applyAlignment="true" applyProtection="false">
      <alignment horizontal="center" vertical="top" textRotation="0" wrapText="true" indent="0" shrinkToFit="false"/>
      <protection locked="true" hidden="false"/>
    </xf>
    <xf numFmtId="164" fontId="22" fillId="16" borderId="38" xfId="0" applyFont="true" applyBorder="true" applyAlignment="true" applyProtection="false">
      <alignment horizontal="center" vertical="top" textRotation="0" wrapText="true" indent="0" shrinkToFit="false"/>
      <protection locked="true" hidden="false"/>
    </xf>
    <xf numFmtId="164" fontId="22" fillId="17" borderId="29" xfId="0" applyFont="true" applyBorder="true" applyAlignment="true" applyProtection="false">
      <alignment horizontal="center" vertical="top" textRotation="0" wrapText="true" indent="0" shrinkToFit="false"/>
      <protection locked="true" hidden="false"/>
    </xf>
    <xf numFmtId="164" fontId="22" fillId="14" borderId="30" xfId="0" applyFont="true" applyBorder="true" applyAlignment="true" applyProtection="false">
      <alignment horizontal="center" vertical="top" textRotation="0" wrapText="true" indent="0" shrinkToFit="false"/>
      <protection locked="true" hidden="false"/>
    </xf>
    <xf numFmtId="168" fontId="22" fillId="17" borderId="30" xfId="0" applyFont="true" applyBorder="true" applyAlignment="true" applyProtection="false">
      <alignment horizontal="center" vertical="top" textRotation="0" wrapText="true" indent="0" shrinkToFit="false"/>
      <protection locked="true" hidden="false"/>
    </xf>
    <xf numFmtId="164" fontId="22" fillId="12" borderId="17" xfId="0" applyFont="true" applyBorder="true" applyAlignment="true" applyProtection="false">
      <alignment horizontal="general" vertical="bottom" textRotation="0" wrapText="false" indent="0" shrinkToFit="false"/>
      <protection locked="true" hidden="false"/>
    </xf>
    <xf numFmtId="164" fontId="22" fillId="12" borderId="39" xfId="0" applyFont="true" applyBorder="true" applyAlignment="true" applyProtection="false">
      <alignment horizontal="general" vertical="bottom" textRotation="0" wrapText="false" indent="0" shrinkToFit="false"/>
      <protection locked="true" hidden="false"/>
    </xf>
    <xf numFmtId="164" fontId="22" fillId="12" borderId="40" xfId="0" applyFont="true" applyBorder="true" applyAlignment="true" applyProtection="false">
      <alignment horizontal="general" vertical="bottom" textRotation="0" wrapText="false" indent="0" shrinkToFit="false"/>
      <protection locked="true" hidden="false"/>
    </xf>
    <xf numFmtId="164" fontId="22" fillId="12" borderId="16" xfId="0" applyFont="true" applyBorder="true" applyAlignment="false" applyProtection="false">
      <alignment horizontal="general" vertical="bottom" textRotation="0" wrapText="false" indent="0" shrinkToFit="false"/>
      <protection locked="true" hidden="false"/>
    </xf>
    <xf numFmtId="196" fontId="0" fillId="0" borderId="0" xfId="0" applyFont="false" applyBorder="false" applyAlignment="true" applyProtection="false">
      <alignment horizontal="left" vertical="bottom" textRotation="0" wrapText="false" indent="1" shrinkToFit="false"/>
      <protection locked="true" hidden="false"/>
    </xf>
    <xf numFmtId="197" fontId="0" fillId="0" borderId="0" xfId="0" applyFont="false" applyBorder="false" applyAlignment="false" applyProtection="false">
      <alignment horizontal="general" vertical="bottom" textRotation="0" wrapText="false" indent="0" shrinkToFit="false"/>
      <protection locked="true" hidden="false"/>
    </xf>
    <xf numFmtId="198"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true">
      <alignment horizontal="general" vertical="bottom" textRotation="0" wrapText="false" indent="0" shrinkToFit="false"/>
      <protection locked="false" hidden="false"/>
    </xf>
    <xf numFmtId="164" fontId="0" fillId="0" borderId="0" xfId="0" applyFont="false" applyBorder="false" applyAlignment="false" applyProtection="true">
      <alignment horizontal="general" vertical="bottom" textRotation="0" wrapText="false" indent="0" shrinkToFit="false"/>
      <protection locked="false" hidden="false"/>
    </xf>
    <xf numFmtId="164" fontId="22" fillId="12" borderId="41" xfId="0" applyFont="true" applyBorder="true" applyAlignment="true" applyProtection="false">
      <alignment horizontal="general" vertical="bottom" textRotation="0" wrapText="false" indent="0" shrinkToFit="false"/>
      <protection locked="true" hidden="false"/>
    </xf>
    <xf numFmtId="164" fontId="22" fillId="12" borderId="0" xfId="0" applyFont="true" applyBorder="true" applyAlignment="true" applyProtection="false">
      <alignment horizontal="general" vertical="bottom" textRotation="0" wrapText="false" indent="0" shrinkToFit="false"/>
      <protection locked="true" hidden="false"/>
    </xf>
    <xf numFmtId="164" fontId="0" fillId="18" borderId="42" xfId="0" applyFont="true" applyBorder="true" applyAlignment="false" applyProtection="false">
      <alignment horizontal="general" vertical="bottom" textRotation="0" wrapText="false" indent="0" shrinkToFit="false"/>
      <protection locked="true" hidden="false"/>
    </xf>
    <xf numFmtId="164" fontId="26" fillId="0" borderId="16" xfId="0" applyFont="true" applyBorder="true" applyAlignment="false" applyProtection="false">
      <alignment horizontal="general" vertical="bottom" textRotation="0" wrapText="false" indent="0" shrinkToFit="false"/>
      <protection locked="true" hidden="false"/>
    </xf>
    <xf numFmtId="164" fontId="0" fillId="0" borderId="16" xfId="0" applyFont="true" applyBorder="true" applyAlignment="false" applyProtection="false">
      <alignment horizontal="general" vertical="bottom" textRotation="0" wrapText="false" indent="0" shrinkToFit="false"/>
      <protection locked="true" hidden="false"/>
    </xf>
    <xf numFmtId="164" fontId="0" fillId="18" borderId="16" xfId="0" applyFont="true" applyBorder="true" applyAlignment="false" applyProtection="false">
      <alignment horizontal="general" vertical="bottom" textRotation="0" wrapText="false" indent="0" shrinkToFit="false"/>
      <protection locked="true" hidden="false"/>
    </xf>
    <xf numFmtId="164" fontId="0" fillId="9" borderId="16" xfId="0" applyFont="true" applyBorder="true" applyAlignment="false" applyProtection="false">
      <alignment horizontal="general" vertical="bottom" textRotation="0" wrapText="false" indent="0" shrinkToFit="false"/>
      <protection locked="true" hidden="false"/>
    </xf>
    <xf numFmtId="164" fontId="22" fillId="12" borderId="0" xfId="0" applyFont="true" applyBorder="false" applyAlignment="false" applyProtection="false">
      <alignment horizontal="general" vertical="bottom" textRotation="0" wrapText="false" indent="0" shrinkToFit="false"/>
      <protection locked="true" hidden="false"/>
    </xf>
    <xf numFmtId="164" fontId="0" fillId="18" borderId="17" xfId="0" applyFont="true" applyBorder="true" applyAlignment="false" applyProtection="false">
      <alignment horizontal="general" vertical="bottom" textRotation="0" wrapText="false" indent="0" shrinkToFit="false"/>
      <protection locked="true" hidden="false"/>
    </xf>
    <xf numFmtId="164" fontId="0" fillId="14" borderId="43" xfId="0" applyFont="false" applyBorder="true" applyAlignment="false" applyProtection="false">
      <alignment horizontal="general" vertical="bottom" textRotation="0" wrapText="false" indent="0" shrinkToFit="false"/>
      <protection locked="true" hidden="false"/>
    </xf>
    <xf numFmtId="164" fontId="26" fillId="0" borderId="18" xfId="0" applyFont="true" applyBorder="true" applyAlignment="false" applyProtection="false">
      <alignment horizontal="general" vertical="bottom" textRotation="0" wrapText="false" indent="0" shrinkToFit="false"/>
      <protection locked="true" hidden="false"/>
    </xf>
    <xf numFmtId="164" fontId="0" fillId="14" borderId="44" xfId="0" applyFont="false" applyBorder="true" applyAlignment="false" applyProtection="false">
      <alignment horizontal="general" vertical="bottom" textRotation="0" wrapText="false" indent="0" shrinkToFit="false"/>
      <protection locked="true" hidden="false"/>
    </xf>
    <xf numFmtId="164" fontId="26" fillId="0" borderId="45" xfId="0" applyFont="true" applyBorder="true" applyAlignment="false" applyProtection="false">
      <alignment horizontal="general" vertical="bottom" textRotation="0" wrapText="false" indent="0" shrinkToFit="false"/>
      <protection locked="true" hidden="false"/>
    </xf>
    <xf numFmtId="164" fontId="0" fillId="18" borderId="0" xfId="0" applyFont="true" applyBorder="true" applyAlignment="false" applyProtection="false">
      <alignment horizontal="general" vertical="bottom" textRotation="0" wrapText="false" indent="0" shrinkToFit="false"/>
      <protection locked="true" hidden="false"/>
    </xf>
    <xf numFmtId="164" fontId="26" fillId="0" borderId="18" xfId="0" applyFont="true" applyBorder="true" applyAlignment="false" applyProtection="false">
      <alignment horizontal="general" vertical="bottom" textRotation="0" wrapText="false" indent="0" shrinkToFit="false"/>
      <protection locked="true" hidden="false"/>
    </xf>
    <xf numFmtId="164" fontId="0" fillId="0" borderId="44" xfId="0" applyFont="true" applyBorder="true" applyAlignment="false" applyProtection="false">
      <alignment horizontal="general" vertical="bottom" textRotation="0" wrapText="false" indent="0" shrinkToFit="false"/>
      <protection locked="true" hidden="false"/>
    </xf>
    <xf numFmtId="164" fontId="0" fillId="9" borderId="17" xfId="0" applyFont="true" applyBorder="true" applyAlignment="false" applyProtection="false">
      <alignment horizontal="general" vertical="bottom" textRotation="0" wrapText="false" indent="0" shrinkToFit="false"/>
      <protection locked="true" hidden="false"/>
    </xf>
    <xf numFmtId="164" fontId="26" fillId="0" borderId="46" xfId="0" applyFont="true" applyBorder="true" applyAlignment="false" applyProtection="false">
      <alignment horizontal="general" vertical="bottom" textRotation="0" wrapText="false" indent="0" shrinkToFit="false"/>
      <protection locked="true" hidden="false"/>
    </xf>
    <xf numFmtId="164" fontId="0" fillId="14" borderId="42" xfId="0" applyFont="false" applyBorder="true" applyAlignment="false" applyProtection="false">
      <alignment horizontal="general" vertical="bottom" textRotation="0" wrapText="false" indent="0" shrinkToFit="false"/>
      <protection locked="true" hidden="false"/>
    </xf>
    <xf numFmtId="164" fontId="22" fillId="12" borderId="28" xfId="0" applyFont="true" applyBorder="true" applyAlignment="true" applyProtection="false">
      <alignment horizontal="general" vertical="bottom" textRotation="0" wrapText="false" indent="0" shrinkToFit="false"/>
      <protection locked="true" hidden="false"/>
    </xf>
    <xf numFmtId="164" fontId="0" fillId="14" borderId="0" xfId="0" applyFont="true" applyBorder="false" applyAlignment="false" applyProtection="false">
      <alignment horizontal="general" vertical="bottom" textRotation="0" wrapText="false" indent="0" shrinkToFit="false"/>
      <protection locked="true" hidden="false"/>
    </xf>
    <xf numFmtId="164" fontId="0" fillId="0" borderId="16" xfId="0" applyFont="true" applyBorder="true" applyAlignment="false" applyProtection="false">
      <alignment horizontal="general" vertical="bottom" textRotation="0" wrapText="false" indent="0" shrinkToFit="false"/>
      <protection locked="true" hidden="false"/>
    </xf>
    <xf numFmtId="164" fontId="0" fillId="14" borderId="0" xfId="0" applyFont="false" applyBorder="true" applyAlignment="false" applyProtection="false">
      <alignment horizontal="general" vertical="bottom" textRotation="0" wrapText="false" indent="0" shrinkToFit="false"/>
      <protection locked="true" hidden="false"/>
    </xf>
    <xf numFmtId="164" fontId="26" fillId="0" borderId="16" xfId="0" applyFont="true" applyBorder="true" applyAlignment="false" applyProtection="false">
      <alignment horizontal="general" vertical="bottom" textRotation="0" wrapText="false" indent="0" shrinkToFit="false"/>
      <protection locked="true" hidden="false"/>
    </xf>
    <xf numFmtId="164" fontId="0" fillId="18" borderId="44" xfId="0" applyFont="true" applyBorder="true" applyAlignment="false" applyProtection="false">
      <alignment horizontal="general" vertical="bottom" textRotation="0" wrapText="false" indent="0" shrinkToFit="false"/>
      <protection locked="true" hidden="false"/>
    </xf>
    <xf numFmtId="164" fontId="26" fillId="0" borderId="44" xfId="0" applyFont="true" applyBorder="true" applyAlignment="false" applyProtection="false">
      <alignment horizontal="general" vertical="bottom" textRotation="0" wrapText="false" indent="0" shrinkToFit="false"/>
      <protection locked="true" hidden="false"/>
    </xf>
    <xf numFmtId="164" fontId="0" fillId="9" borderId="44" xfId="0" applyFont="true" applyBorder="true" applyAlignment="false" applyProtection="false">
      <alignment horizontal="general" vertical="bottom" textRotation="0" wrapText="false" indent="0" shrinkToFit="false"/>
      <protection locked="true" hidden="false"/>
    </xf>
    <xf numFmtId="164" fontId="0" fillId="0" borderId="17" xfId="0" applyFont="true" applyBorder="true" applyAlignment="false" applyProtection="false">
      <alignment horizontal="general" vertical="bottom" textRotation="0" wrapText="false" indent="0" shrinkToFit="false"/>
      <protection locked="true" hidden="false"/>
    </xf>
    <xf numFmtId="164" fontId="22" fillId="12" borderId="0" xfId="0" applyFont="true" applyBorder="true" applyAlignment="false" applyProtection="false">
      <alignment horizontal="general" vertical="bottom" textRotation="0" wrapText="false" indent="0" shrinkToFit="false"/>
      <protection locked="true" hidden="false"/>
    </xf>
    <xf numFmtId="164" fontId="0" fillId="14" borderId="0" xfId="0" applyFont="false" applyBorder="false" applyAlignment="false" applyProtection="true">
      <alignment horizontal="general" vertical="bottom" textRotation="0" wrapText="false" indent="0" shrinkToFit="false"/>
      <protection locked="false" hidden="false"/>
    </xf>
    <xf numFmtId="164" fontId="0" fillId="14" borderId="16" xfId="0" applyFont="fals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false">
      <alignment horizontal="general" vertical="bottom" textRotation="0" wrapText="false" indent="0" shrinkToFit="false"/>
      <protection locked="true" hidden="false"/>
    </xf>
    <xf numFmtId="164" fontId="104" fillId="2" borderId="0" xfId="0" applyFont="true" applyBorder="false" applyAlignment="false" applyProtection="false">
      <alignment horizontal="general" vertical="bottom" textRotation="0" wrapText="false" indent="0" shrinkToFit="false"/>
      <protection locked="true" hidden="false"/>
    </xf>
    <xf numFmtId="164" fontId="22" fillId="12" borderId="17" xfId="0" applyFont="true" applyBorder="true" applyAlignment="false" applyProtection="false">
      <alignment horizontal="general" vertical="bottom" textRotation="0" wrapText="false" indent="0" shrinkToFit="false"/>
      <protection locked="true" hidden="false"/>
    </xf>
    <xf numFmtId="164" fontId="22" fillId="12" borderId="39" xfId="0" applyFont="true" applyBorder="true" applyAlignment="false" applyProtection="false">
      <alignment horizontal="general" vertical="bottom" textRotation="0" wrapText="false" indent="0" shrinkToFit="false"/>
      <protection locked="true" hidden="false"/>
    </xf>
    <xf numFmtId="164" fontId="0" fillId="9" borderId="42" xfId="0" applyFont="true" applyBorder="true" applyAlignment="false" applyProtection="false">
      <alignment horizontal="general" vertical="bottom" textRotation="0" wrapText="false" indent="0" shrinkToFit="false"/>
      <protection locked="true" hidden="false"/>
    </xf>
    <xf numFmtId="164" fontId="29" fillId="16" borderId="0" xfId="0" applyFont="true" applyBorder="false" applyAlignment="false" applyProtection="false">
      <alignment horizontal="general" vertical="bottom" textRotation="0" wrapText="false" indent="0" shrinkToFit="false"/>
      <protection locked="true" hidden="false"/>
    </xf>
    <xf numFmtId="164" fontId="0" fillId="9" borderId="43" xfId="0" applyFont="true" applyBorder="true" applyAlignment="false" applyProtection="false">
      <alignment horizontal="general" vertical="bottom" textRotation="0" wrapText="false" indent="0" shrinkToFit="false"/>
      <protection locked="true" hidden="false"/>
    </xf>
    <xf numFmtId="164" fontId="22" fillId="9" borderId="16" xfId="0" applyFont="true" applyBorder="true" applyAlignment="false" applyProtection="false">
      <alignment horizontal="general" vertical="bottom" textRotation="0" wrapText="false" indent="0" shrinkToFit="false"/>
      <protection locked="true" hidden="false"/>
    </xf>
    <xf numFmtId="164" fontId="0" fillId="16" borderId="16" xfId="0" applyFont="true" applyBorder="true" applyAlignment="true" applyProtection="false">
      <alignment horizontal="general" vertical="bottom" textRotation="0" wrapText="false" indent="0" shrinkToFit="false"/>
      <protection locked="true" hidden="false"/>
    </xf>
    <xf numFmtId="164" fontId="0" fillId="6" borderId="16" xfId="0" applyFont="true" applyBorder="true" applyAlignment="false" applyProtection="false">
      <alignment horizontal="general" vertical="bottom" textRotation="0" wrapText="false" indent="0" shrinkToFit="false"/>
      <protection locked="true" hidden="false"/>
    </xf>
    <xf numFmtId="164" fontId="29" fillId="16" borderId="16" xfId="0" applyFont="true" applyBorder="true" applyAlignment="false" applyProtection="false">
      <alignment horizontal="general" vertical="bottom" textRotation="0" wrapText="false" indent="0" shrinkToFit="false"/>
      <protection locked="true" hidden="false"/>
    </xf>
    <xf numFmtId="164" fontId="0" fillId="16" borderId="16" xfId="0" applyFont="false" applyBorder="true" applyAlignment="false" applyProtection="false">
      <alignment horizontal="general" vertical="bottom" textRotation="0" wrapText="false" indent="0" shrinkToFit="false"/>
      <protection locked="true" hidden="false"/>
    </xf>
    <xf numFmtId="196" fontId="0" fillId="0" borderId="0" xfId="0" applyFont="false" applyBorder="false" applyAlignment="false" applyProtection="false">
      <alignment horizontal="general" vertical="bottom" textRotation="0" wrapText="false" indent="0" shrinkToFit="false"/>
      <protection locked="true" hidden="false"/>
    </xf>
    <xf numFmtId="164" fontId="0" fillId="19" borderId="0" xfId="0" applyFont="false" applyBorder="false" applyAlignment="false" applyProtection="false">
      <alignment horizontal="general" vertical="bottom" textRotation="0" wrapText="false" indent="0" shrinkToFit="false"/>
      <protection locked="true" hidden="false"/>
    </xf>
    <xf numFmtId="167" fontId="0" fillId="0" borderId="0" xfId="0" applyFont="false" applyBorder="false" applyAlignment="false" applyProtection="false">
      <alignment horizontal="general" vertical="bottom" textRotation="0" wrapText="false" indent="0" shrinkToFit="false"/>
      <protection locked="true" hidden="false"/>
    </xf>
    <xf numFmtId="164" fontId="0" fillId="20" borderId="0" xfId="0" applyFont="false" applyBorder="false" applyAlignment="false" applyProtection="false">
      <alignment horizontal="general" vertical="bottom" textRotation="0" wrapText="false" indent="0" shrinkToFit="false"/>
      <protection locked="true" hidden="false"/>
    </xf>
  </cellXfs>
  <cellStyles count="10">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omma 2" xfId="21" builtinId="54" customBuiltin="true"/>
    <cellStyle name="Normal 2" xfId="22" builtinId="54" customBuiltin="true"/>
    <cellStyle name="Normal 3" xfId="23" builtinId="54" customBuiltin="true"/>
    <cellStyle name="*unknown*" xfId="20" builtinId="8" customBuiltin="false"/>
  </cellStyles>
  <dxfs count="18">
    <dxf>
      <font>
        <b val="true"/>
        <sz val="10"/>
        <color rgb="FFFF0000"/>
        <name val="Arial"/>
        <family val="2"/>
        <charset val="1"/>
      </font>
    </dxf>
    <dxf>
      <font>
        <b val="true"/>
        <sz val="10"/>
        <color rgb="FFFF0000"/>
        <name val="Arial"/>
        <family val="2"/>
        <charset val="1"/>
      </font>
    </dxf>
    <dxf>
      <font>
        <b val="true"/>
        <sz val="10"/>
        <color rgb="FFFF0000"/>
        <name val="Arial"/>
        <family val="2"/>
        <charset val="1"/>
      </font>
    </dxf>
    <dxf>
      <font>
        <b val="true"/>
        <sz val="10"/>
        <color rgb="FFFF0000"/>
        <name val="Arial"/>
        <family val="2"/>
        <charset val="1"/>
      </font>
    </dxf>
    <dxf>
      <font>
        <b val="true"/>
        <sz val="10"/>
        <color rgb="FFFF0000"/>
        <name val="Arial"/>
        <family val="2"/>
        <charset val="1"/>
      </font>
    </dxf>
    <dxf>
      <font>
        <b val="true"/>
        <sz val="10"/>
        <color rgb="FF0000FF"/>
        <name val="Arial"/>
        <family val="2"/>
        <charset val="1"/>
      </font>
    </dxf>
    <dxf>
      <font>
        <b val="true"/>
        <sz val="10"/>
        <color rgb="FFFF0000"/>
        <name val="Arial"/>
        <family val="2"/>
        <charset val="1"/>
      </font>
    </dxf>
    <dxf>
      <font>
        <sz val="10"/>
        <color rgb="FFFF0000"/>
        <name val="Arial"/>
        <family val="2"/>
        <charset val="1"/>
      </font>
    </dxf>
    <dxf>
      <font>
        <sz val="10"/>
        <color rgb="FFFF0000"/>
        <name val="Arial"/>
        <family val="2"/>
        <charset val="1"/>
      </font>
    </dxf>
    <dxf>
      <font>
        <sz val="10"/>
        <color rgb="FFFF0000"/>
        <name val="Arial"/>
        <family val="2"/>
        <charset val="1"/>
      </font>
    </dxf>
    <dxf>
      <font>
        <sz val="10"/>
        <color rgb="FFFF0000"/>
        <name val="Arial"/>
        <family val="2"/>
        <charset val="1"/>
      </font>
    </dxf>
    <dxf>
      <font>
        <sz val="10"/>
        <color rgb="FFFF0000"/>
        <name val="Arial"/>
        <family val="2"/>
        <charset val="1"/>
      </font>
    </dxf>
    <dxf>
      <font>
        <sz val="10"/>
        <color rgb="FFFF0000"/>
        <name val="Arial"/>
        <family val="2"/>
        <charset val="1"/>
      </font>
    </dxf>
    <dxf>
      <font>
        <sz val="10"/>
        <color rgb="FFFF0000"/>
        <name val="Arial"/>
        <family val="2"/>
        <charset val="1"/>
      </font>
    </dxf>
    <dxf>
      <font>
        <sz val="10"/>
        <color rgb="FFFF0000"/>
        <name val="Arial"/>
        <family val="2"/>
        <charset val="1"/>
      </font>
    </dxf>
    <dxf>
      <font>
        <sz val="10"/>
        <color rgb="FFFF0000"/>
        <name val="Arial"/>
        <family val="2"/>
        <charset val="1"/>
      </font>
    </dxf>
    <dxf>
      <font>
        <sz val="10"/>
        <color rgb="FFFF0000"/>
        <name val="Arial"/>
        <family val="2"/>
        <charset val="1"/>
      </font>
    </dxf>
    <dxf>
      <font>
        <sz val="10"/>
        <color rgb="FFFF0000"/>
        <name val="Arial"/>
        <family val="2"/>
        <charset val="1"/>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B7B7B7"/>
      <rgbColor rgb="FF00206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878787"/>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b="1">
                <a:solidFill>
                  <a:srgbClr val="000000"/>
                </a:solidFill>
                <a:latin typeface="Arial"/>
                <a:ea typeface="Calibri"/>
              </a:rPr>
              <a:t>Bode Plot </a:t>
            </a:r>
          </a:p>
        </c:rich>
      </c:tx>
      <c:layout/>
    </c:title>
    <c:plotArea>
      <c:layout/>
      <c:scatterChart>
        <c:scatterStyle val="lineMarker"/>
        <c:varyColors val="0"/>
        <c:ser>
          <c:idx val="0"/>
          <c:order val="0"/>
          <c:tx>
            <c:strRef>
              <c:f>"Loop Gain"</c:f>
              <c:strCache>
                <c:ptCount val="1"/>
                <c:pt idx="0">
                  <c:v>Loop Gain</c:v>
                </c:pt>
              </c:strCache>
            </c:strRef>
          </c:tx>
          <c:spPr>
            <a:solidFill>
              <a:srgbClr val="ff0000"/>
            </a:solidFill>
            <a:ln w="31680">
              <a:solidFill>
                <a:srgbClr val="ff0000"/>
              </a:solidFill>
              <a:round/>
            </a:ln>
          </c:spPr>
          <c:marker>
            <c:size val="7"/>
          </c:marker>
          <c:xVal>
            <c:numRef>
              <c:f>'Bode Plots Calculations'!$B$9:$B$676</c:f>
              <c:numCache>
                <c:formatCode>General</c:formatCode>
                <c:ptCount val="668"/>
                <c:pt idx="0">
                  <c:v>0.001</c:v>
                </c:pt>
                <c:pt idx="1">
                  <c:v>0.002</c:v>
                </c:pt>
                <c:pt idx="2">
                  <c:v>0.003</c:v>
                </c:pt>
                <c:pt idx="3">
                  <c:v>0.004</c:v>
                </c:pt>
                <c:pt idx="4">
                  <c:v>0.005</c:v>
                </c:pt>
                <c:pt idx="5">
                  <c:v>0.006</c:v>
                </c:pt>
                <c:pt idx="6">
                  <c:v>0.007</c:v>
                </c:pt>
                <c:pt idx="7">
                  <c:v>0.008</c:v>
                </c:pt>
                <c:pt idx="8">
                  <c:v>0.009</c:v>
                </c:pt>
                <c:pt idx="9">
                  <c:v>0.01</c:v>
                </c:pt>
                <c:pt idx="10">
                  <c:v>0.02</c:v>
                </c:pt>
                <c:pt idx="11">
                  <c:v>0.03</c:v>
                </c:pt>
                <c:pt idx="12">
                  <c:v>0.04</c:v>
                </c:pt>
                <c:pt idx="13">
                  <c:v>0.05</c:v>
                </c:pt>
                <c:pt idx="14">
                  <c:v>0.06</c:v>
                </c:pt>
                <c:pt idx="15">
                  <c:v>0.07</c:v>
                </c:pt>
                <c:pt idx="16">
                  <c:v>0.08</c:v>
                </c:pt>
                <c:pt idx="17">
                  <c:v>0.09</c:v>
                </c:pt>
                <c:pt idx="18">
                  <c:v>0.1</c:v>
                </c:pt>
                <c:pt idx="19">
                  <c:v>0.2</c:v>
                </c:pt>
                <c:pt idx="20">
                  <c:v>0.3</c:v>
                </c:pt>
                <c:pt idx="21">
                  <c:v>0.4</c:v>
                </c:pt>
                <c:pt idx="22">
                  <c:v>0.5</c:v>
                </c:pt>
                <c:pt idx="23">
                  <c:v>0.6</c:v>
                </c:pt>
                <c:pt idx="24">
                  <c:v>0.7</c:v>
                </c:pt>
                <c:pt idx="25">
                  <c:v>0.8</c:v>
                </c:pt>
                <c:pt idx="26">
                  <c:v>0.9</c:v>
                </c:pt>
                <c:pt idx="27">
                  <c:v>1</c:v>
                </c:pt>
                <c:pt idx="28">
                  <c:v>1.5</c:v>
                </c:pt>
                <c:pt idx="29">
                  <c:v>2</c:v>
                </c:pt>
                <c:pt idx="30">
                  <c:v>2.5</c:v>
                </c:pt>
                <c:pt idx="31">
                  <c:v>3</c:v>
                </c:pt>
                <c:pt idx="32">
                  <c:v>3.5</c:v>
                </c:pt>
                <c:pt idx="33">
                  <c:v>4</c:v>
                </c:pt>
                <c:pt idx="34">
                  <c:v>4.5</c:v>
                </c:pt>
                <c:pt idx="35">
                  <c:v>5</c:v>
                </c:pt>
                <c:pt idx="36">
                  <c:v>5.5</c:v>
                </c:pt>
                <c:pt idx="37">
                  <c:v>6</c:v>
                </c:pt>
                <c:pt idx="38">
                  <c:v>6.5</c:v>
                </c:pt>
                <c:pt idx="39">
                  <c:v>7</c:v>
                </c:pt>
                <c:pt idx="40">
                  <c:v>7.5</c:v>
                </c:pt>
                <c:pt idx="41">
                  <c:v>8</c:v>
                </c:pt>
                <c:pt idx="42">
                  <c:v>8.5</c:v>
                </c:pt>
                <c:pt idx="43">
                  <c:v>9</c:v>
                </c:pt>
                <c:pt idx="44">
                  <c:v>9.5</c:v>
                </c:pt>
                <c:pt idx="45">
                  <c:v>10</c:v>
                </c:pt>
                <c:pt idx="46">
                  <c:v>10.5</c:v>
                </c:pt>
                <c:pt idx="47">
                  <c:v>11</c:v>
                </c:pt>
                <c:pt idx="48">
                  <c:v>11.5</c:v>
                </c:pt>
                <c:pt idx="49">
                  <c:v>12</c:v>
                </c:pt>
                <c:pt idx="50">
                  <c:v>12.5</c:v>
                </c:pt>
                <c:pt idx="51">
                  <c:v>13</c:v>
                </c:pt>
                <c:pt idx="52">
                  <c:v>13.5</c:v>
                </c:pt>
                <c:pt idx="53">
                  <c:v>14</c:v>
                </c:pt>
                <c:pt idx="54">
                  <c:v>14.5</c:v>
                </c:pt>
                <c:pt idx="55">
                  <c:v>15</c:v>
                </c:pt>
                <c:pt idx="56">
                  <c:v>15.5</c:v>
                </c:pt>
                <c:pt idx="57">
                  <c:v>16</c:v>
                </c:pt>
                <c:pt idx="58">
                  <c:v>16.5</c:v>
                </c:pt>
                <c:pt idx="59">
                  <c:v>17</c:v>
                </c:pt>
                <c:pt idx="60">
                  <c:v>17.5</c:v>
                </c:pt>
                <c:pt idx="61">
                  <c:v>18</c:v>
                </c:pt>
                <c:pt idx="62">
                  <c:v>18.5</c:v>
                </c:pt>
                <c:pt idx="63">
                  <c:v>19</c:v>
                </c:pt>
                <c:pt idx="64">
                  <c:v>19.5</c:v>
                </c:pt>
                <c:pt idx="65">
                  <c:v>20</c:v>
                </c:pt>
                <c:pt idx="66">
                  <c:v>20.5</c:v>
                </c:pt>
                <c:pt idx="67">
                  <c:v>21</c:v>
                </c:pt>
                <c:pt idx="68">
                  <c:v>21.5</c:v>
                </c:pt>
                <c:pt idx="69">
                  <c:v>22</c:v>
                </c:pt>
                <c:pt idx="70">
                  <c:v>22.5</c:v>
                </c:pt>
                <c:pt idx="71">
                  <c:v>23</c:v>
                </c:pt>
                <c:pt idx="72">
                  <c:v>23.5</c:v>
                </c:pt>
                <c:pt idx="73">
                  <c:v>24</c:v>
                </c:pt>
                <c:pt idx="74">
                  <c:v>24.5</c:v>
                </c:pt>
                <c:pt idx="75">
                  <c:v>25</c:v>
                </c:pt>
                <c:pt idx="76">
                  <c:v>25.5</c:v>
                </c:pt>
                <c:pt idx="77">
                  <c:v>26</c:v>
                </c:pt>
                <c:pt idx="78">
                  <c:v>26.5</c:v>
                </c:pt>
                <c:pt idx="79">
                  <c:v>27</c:v>
                </c:pt>
                <c:pt idx="80">
                  <c:v>27.5</c:v>
                </c:pt>
                <c:pt idx="81">
                  <c:v>28</c:v>
                </c:pt>
                <c:pt idx="82">
                  <c:v>28.5</c:v>
                </c:pt>
                <c:pt idx="83">
                  <c:v>29</c:v>
                </c:pt>
                <c:pt idx="84">
                  <c:v>29.5</c:v>
                </c:pt>
                <c:pt idx="85">
                  <c:v>30</c:v>
                </c:pt>
                <c:pt idx="86">
                  <c:v>30.5</c:v>
                </c:pt>
                <c:pt idx="87">
                  <c:v>31</c:v>
                </c:pt>
                <c:pt idx="88">
                  <c:v>31.5</c:v>
                </c:pt>
                <c:pt idx="89">
                  <c:v>32</c:v>
                </c:pt>
                <c:pt idx="90">
                  <c:v>32.5</c:v>
                </c:pt>
                <c:pt idx="91">
                  <c:v>33</c:v>
                </c:pt>
                <c:pt idx="92">
                  <c:v>33.5</c:v>
                </c:pt>
                <c:pt idx="93">
                  <c:v>34</c:v>
                </c:pt>
                <c:pt idx="94">
                  <c:v>34.5</c:v>
                </c:pt>
                <c:pt idx="95">
                  <c:v>35</c:v>
                </c:pt>
                <c:pt idx="96">
                  <c:v>35.5</c:v>
                </c:pt>
                <c:pt idx="97">
                  <c:v>36</c:v>
                </c:pt>
                <c:pt idx="98">
                  <c:v>36.5</c:v>
                </c:pt>
                <c:pt idx="99">
                  <c:v>37</c:v>
                </c:pt>
                <c:pt idx="100">
                  <c:v>37.5</c:v>
                </c:pt>
                <c:pt idx="101">
                  <c:v>38</c:v>
                </c:pt>
                <c:pt idx="102">
                  <c:v>38.5</c:v>
                </c:pt>
                <c:pt idx="103">
                  <c:v>39</c:v>
                </c:pt>
                <c:pt idx="104">
                  <c:v>39.5</c:v>
                </c:pt>
                <c:pt idx="105">
                  <c:v>40</c:v>
                </c:pt>
                <c:pt idx="106">
                  <c:v>40.5</c:v>
                </c:pt>
                <c:pt idx="107">
                  <c:v>41</c:v>
                </c:pt>
                <c:pt idx="108">
                  <c:v>41.5</c:v>
                </c:pt>
                <c:pt idx="109">
                  <c:v>42</c:v>
                </c:pt>
                <c:pt idx="110">
                  <c:v>42.5</c:v>
                </c:pt>
                <c:pt idx="111">
                  <c:v>43</c:v>
                </c:pt>
                <c:pt idx="112">
                  <c:v>43.5</c:v>
                </c:pt>
                <c:pt idx="113">
                  <c:v>44</c:v>
                </c:pt>
                <c:pt idx="114">
                  <c:v>44.5</c:v>
                </c:pt>
                <c:pt idx="115">
                  <c:v>45</c:v>
                </c:pt>
                <c:pt idx="116">
                  <c:v>45.5</c:v>
                </c:pt>
                <c:pt idx="117">
                  <c:v>46</c:v>
                </c:pt>
                <c:pt idx="118">
                  <c:v>46.5</c:v>
                </c:pt>
                <c:pt idx="119">
                  <c:v>47</c:v>
                </c:pt>
                <c:pt idx="120">
                  <c:v>47.5</c:v>
                </c:pt>
                <c:pt idx="121">
                  <c:v>48</c:v>
                </c:pt>
                <c:pt idx="122">
                  <c:v>48.5</c:v>
                </c:pt>
                <c:pt idx="123">
                  <c:v>49</c:v>
                </c:pt>
                <c:pt idx="124">
                  <c:v>49.5</c:v>
                </c:pt>
                <c:pt idx="125">
                  <c:v>50</c:v>
                </c:pt>
                <c:pt idx="126">
                  <c:v>50.5</c:v>
                </c:pt>
                <c:pt idx="127">
                  <c:v>51</c:v>
                </c:pt>
                <c:pt idx="128">
                  <c:v>51.5</c:v>
                </c:pt>
                <c:pt idx="129">
                  <c:v>52</c:v>
                </c:pt>
                <c:pt idx="130">
                  <c:v>52.5</c:v>
                </c:pt>
                <c:pt idx="131">
                  <c:v>53</c:v>
                </c:pt>
                <c:pt idx="132">
                  <c:v>53.5</c:v>
                </c:pt>
                <c:pt idx="133">
                  <c:v>54</c:v>
                </c:pt>
                <c:pt idx="134">
                  <c:v>54.5</c:v>
                </c:pt>
                <c:pt idx="135">
                  <c:v>55</c:v>
                </c:pt>
                <c:pt idx="136">
                  <c:v>55.5</c:v>
                </c:pt>
                <c:pt idx="137">
                  <c:v>56</c:v>
                </c:pt>
                <c:pt idx="138">
                  <c:v>56.5</c:v>
                </c:pt>
                <c:pt idx="139">
                  <c:v>57</c:v>
                </c:pt>
                <c:pt idx="140">
                  <c:v>57.5</c:v>
                </c:pt>
                <c:pt idx="141">
                  <c:v>58</c:v>
                </c:pt>
                <c:pt idx="142">
                  <c:v>58.5</c:v>
                </c:pt>
                <c:pt idx="143">
                  <c:v>59</c:v>
                </c:pt>
                <c:pt idx="144">
                  <c:v>59.5</c:v>
                </c:pt>
                <c:pt idx="145">
                  <c:v>60</c:v>
                </c:pt>
                <c:pt idx="146">
                  <c:v>60.5</c:v>
                </c:pt>
                <c:pt idx="147">
                  <c:v>61</c:v>
                </c:pt>
                <c:pt idx="148">
                  <c:v>61.5</c:v>
                </c:pt>
                <c:pt idx="149">
                  <c:v>62</c:v>
                </c:pt>
                <c:pt idx="150">
                  <c:v>62.5</c:v>
                </c:pt>
                <c:pt idx="151">
                  <c:v>63</c:v>
                </c:pt>
                <c:pt idx="152">
                  <c:v>63.5</c:v>
                </c:pt>
                <c:pt idx="153">
                  <c:v>64</c:v>
                </c:pt>
                <c:pt idx="154">
                  <c:v>64.5</c:v>
                </c:pt>
                <c:pt idx="155">
                  <c:v>65</c:v>
                </c:pt>
                <c:pt idx="156">
                  <c:v>65.5</c:v>
                </c:pt>
                <c:pt idx="157">
                  <c:v>66</c:v>
                </c:pt>
                <c:pt idx="158">
                  <c:v>66.5</c:v>
                </c:pt>
                <c:pt idx="159">
                  <c:v>67</c:v>
                </c:pt>
                <c:pt idx="160">
                  <c:v>67.5</c:v>
                </c:pt>
                <c:pt idx="161">
                  <c:v>68</c:v>
                </c:pt>
                <c:pt idx="162">
                  <c:v>68.5</c:v>
                </c:pt>
                <c:pt idx="163">
                  <c:v>69</c:v>
                </c:pt>
                <c:pt idx="164">
                  <c:v>69.5</c:v>
                </c:pt>
                <c:pt idx="165">
                  <c:v>70</c:v>
                </c:pt>
                <c:pt idx="166">
                  <c:v>70.5</c:v>
                </c:pt>
                <c:pt idx="167">
                  <c:v>71</c:v>
                </c:pt>
                <c:pt idx="168">
                  <c:v>71.5</c:v>
                </c:pt>
                <c:pt idx="169">
                  <c:v>72</c:v>
                </c:pt>
                <c:pt idx="170">
                  <c:v>72.5</c:v>
                </c:pt>
                <c:pt idx="171">
                  <c:v>73</c:v>
                </c:pt>
                <c:pt idx="172">
                  <c:v>73.5</c:v>
                </c:pt>
                <c:pt idx="173">
                  <c:v>74</c:v>
                </c:pt>
                <c:pt idx="174">
                  <c:v>74.5</c:v>
                </c:pt>
                <c:pt idx="175">
                  <c:v>75</c:v>
                </c:pt>
                <c:pt idx="176">
                  <c:v>75.5</c:v>
                </c:pt>
                <c:pt idx="177">
                  <c:v>76</c:v>
                </c:pt>
                <c:pt idx="178">
                  <c:v>76.5</c:v>
                </c:pt>
                <c:pt idx="179">
                  <c:v>77</c:v>
                </c:pt>
                <c:pt idx="180">
                  <c:v>77.5</c:v>
                </c:pt>
                <c:pt idx="181">
                  <c:v>78</c:v>
                </c:pt>
                <c:pt idx="182">
                  <c:v>78.5</c:v>
                </c:pt>
                <c:pt idx="183">
                  <c:v>79</c:v>
                </c:pt>
                <c:pt idx="184">
                  <c:v>79.5</c:v>
                </c:pt>
                <c:pt idx="185">
                  <c:v>80</c:v>
                </c:pt>
                <c:pt idx="186">
                  <c:v>80.5</c:v>
                </c:pt>
                <c:pt idx="187">
                  <c:v>81</c:v>
                </c:pt>
                <c:pt idx="188">
                  <c:v>81.5</c:v>
                </c:pt>
                <c:pt idx="189">
                  <c:v>82</c:v>
                </c:pt>
                <c:pt idx="190">
                  <c:v>82.5</c:v>
                </c:pt>
                <c:pt idx="191">
                  <c:v>83</c:v>
                </c:pt>
                <c:pt idx="192">
                  <c:v>83.5</c:v>
                </c:pt>
                <c:pt idx="193">
                  <c:v>84</c:v>
                </c:pt>
                <c:pt idx="194">
                  <c:v>84.5</c:v>
                </c:pt>
                <c:pt idx="195">
                  <c:v>85</c:v>
                </c:pt>
                <c:pt idx="196">
                  <c:v>85.5</c:v>
                </c:pt>
                <c:pt idx="197">
                  <c:v>86</c:v>
                </c:pt>
                <c:pt idx="198">
                  <c:v>86.5</c:v>
                </c:pt>
                <c:pt idx="199">
                  <c:v>87</c:v>
                </c:pt>
                <c:pt idx="200">
                  <c:v>87.5</c:v>
                </c:pt>
                <c:pt idx="201">
                  <c:v>88</c:v>
                </c:pt>
                <c:pt idx="202">
                  <c:v>88.5</c:v>
                </c:pt>
                <c:pt idx="203">
                  <c:v>89</c:v>
                </c:pt>
                <c:pt idx="204">
                  <c:v>89.5</c:v>
                </c:pt>
                <c:pt idx="205">
                  <c:v>90</c:v>
                </c:pt>
                <c:pt idx="206">
                  <c:v>90.5</c:v>
                </c:pt>
                <c:pt idx="207">
                  <c:v>91</c:v>
                </c:pt>
                <c:pt idx="208">
                  <c:v>91.5</c:v>
                </c:pt>
                <c:pt idx="209">
                  <c:v>92</c:v>
                </c:pt>
                <c:pt idx="210">
                  <c:v>92.5</c:v>
                </c:pt>
                <c:pt idx="211">
                  <c:v>93</c:v>
                </c:pt>
                <c:pt idx="212">
                  <c:v>93.5</c:v>
                </c:pt>
                <c:pt idx="213">
                  <c:v>94</c:v>
                </c:pt>
                <c:pt idx="214">
                  <c:v>94.5</c:v>
                </c:pt>
                <c:pt idx="215">
                  <c:v>95</c:v>
                </c:pt>
                <c:pt idx="216">
                  <c:v>95.5</c:v>
                </c:pt>
                <c:pt idx="217">
                  <c:v>96</c:v>
                </c:pt>
                <c:pt idx="218">
                  <c:v>96.5</c:v>
                </c:pt>
                <c:pt idx="219">
                  <c:v>97</c:v>
                </c:pt>
                <c:pt idx="220">
                  <c:v>97.5</c:v>
                </c:pt>
                <c:pt idx="221">
                  <c:v>98</c:v>
                </c:pt>
                <c:pt idx="222">
                  <c:v>98.5</c:v>
                </c:pt>
                <c:pt idx="223">
                  <c:v>99</c:v>
                </c:pt>
                <c:pt idx="224">
                  <c:v>99.5</c:v>
                </c:pt>
                <c:pt idx="225">
                  <c:v>100</c:v>
                </c:pt>
                <c:pt idx="226">
                  <c:v>105</c:v>
                </c:pt>
                <c:pt idx="227">
                  <c:v>110</c:v>
                </c:pt>
                <c:pt idx="228">
                  <c:v>115</c:v>
                </c:pt>
                <c:pt idx="229">
                  <c:v>120</c:v>
                </c:pt>
                <c:pt idx="230">
                  <c:v>125</c:v>
                </c:pt>
                <c:pt idx="231">
                  <c:v>130</c:v>
                </c:pt>
                <c:pt idx="232">
                  <c:v>135</c:v>
                </c:pt>
                <c:pt idx="233">
                  <c:v>140</c:v>
                </c:pt>
                <c:pt idx="234">
                  <c:v>145</c:v>
                </c:pt>
                <c:pt idx="235">
                  <c:v>150</c:v>
                </c:pt>
                <c:pt idx="236">
                  <c:v>155</c:v>
                </c:pt>
                <c:pt idx="237">
                  <c:v>160</c:v>
                </c:pt>
                <c:pt idx="238">
                  <c:v>165</c:v>
                </c:pt>
                <c:pt idx="239">
                  <c:v>170</c:v>
                </c:pt>
                <c:pt idx="240">
                  <c:v>175</c:v>
                </c:pt>
                <c:pt idx="241">
                  <c:v>180</c:v>
                </c:pt>
                <c:pt idx="242">
                  <c:v>185</c:v>
                </c:pt>
                <c:pt idx="243">
                  <c:v>190</c:v>
                </c:pt>
                <c:pt idx="244">
                  <c:v>195</c:v>
                </c:pt>
                <c:pt idx="245">
                  <c:v>200</c:v>
                </c:pt>
                <c:pt idx="246">
                  <c:v>205</c:v>
                </c:pt>
                <c:pt idx="247">
                  <c:v>210</c:v>
                </c:pt>
                <c:pt idx="248">
                  <c:v>215</c:v>
                </c:pt>
                <c:pt idx="249">
                  <c:v>220</c:v>
                </c:pt>
                <c:pt idx="250">
                  <c:v>225</c:v>
                </c:pt>
                <c:pt idx="251">
                  <c:v>230</c:v>
                </c:pt>
                <c:pt idx="252">
                  <c:v>235</c:v>
                </c:pt>
                <c:pt idx="253">
                  <c:v>240</c:v>
                </c:pt>
                <c:pt idx="254">
                  <c:v>245</c:v>
                </c:pt>
                <c:pt idx="255">
                  <c:v>250</c:v>
                </c:pt>
                <c:pt idx="256">
                  <c:v>255</c:v>
                </c:pt>
                <c:pt idx="257">
                  <c:v>260</c:v>
                </c:pt>
                <c:pt idx="258">
                  <c:v>265</c:v>
                </c:pt>
                <c:pt idx="259">
                  <c:v>270</c:v>
                </c:pt>
                <c:pt idx="260">
                  <c:v>275</c:v>
                </c:pt>
                <c:pt idx="261">
                  <c:v>280</c:v>
                </c:pt>
                <c:pt idx="262">
                  <c:v>285</c:v>
                </c:pt>
                <c:pt idx="263">
                  <c:v>290</c:v>
                </c:pt>
                <c:pt idx="264">
                  <c:v>295</c:v>
                </c:pt>
                <c:pt idx="265">
                  <c:v>300</c:v>
                </c:pt>
                <c:pt idx="266">
                  <c:v>305</c:v>
                </c:pt>
                <c:pt idx="267">
                  <c:v>310</c:v>
                </c:pt>
                <c:pt idx="268">
                  <c:v>315</c:v>
                </c:pt>
                <c:pt idx="269">
                  <c:v>320</c:v>
                </c:pt>
                <c:pt idx="270">
                  <c:v>325</c:v>
                </c:pt>
                <c:pt idx="271">
                  <c:v>330</c:v>
                </c:pt>
                <c:pt idx="272">
                  <c:v>335</c:v>
                </c:pt>
                <c:pt idx="273">
                  <c:v>340</c:v>
                </c:pt>
                <c:pt idx="274">
                  <c:v>345</c:v>
                </c:pt>
                <c:pt idx="275">
                  <c:v>350</c:v>
                </c:pt>
                <c:pt idx="276">
                  <c:v>355</c:v>
                </c:pt>
                <c:pt idx="277">
                  <c:v>360</c:v>
                </c:pt>
                <c:pt idx="278">
                  <c:v>365</c:v>
                </c:pt>
                <c:pt idx="279">
                  <c:v>370</c:v>
                </c:pt>
                <c:pt idx="280">
                  <c:v>375</c:v>
                </c:pt>
                <c:pt idx="281">
                  <c:v>380</c:v>
                </c:pt>
                <c:pt idx="282">
                  <c:v>385</c:v>
                </c:pt>
                <c:pt idx="283">
                  <c:v>390</c:v>
                </c:pt>
                <c:pt idx="284">
                  <c:v>395</c:v>
                </c:pt>
                <c:pt idx="285">
                  <c:v>400</c:v>
                </c:pt>
                <c:pt idx="286">
                  <c:v>405</c:v>
                </c:pt>
                <c:pt idx="287">
                  <c:v>410</c:v>
                </c:pt>
                <c:pt idx="288">
                  <c:v>415</c:v>
                </c:pt>
                <c:pt idx="289">
                  <c:v>420</c:v>
                </c:pt>
                <c:pt idx="290">
                  <c:v>425</c:v>
                </c:pt>
                <c:pt idx="291">
                  <c:v>430</c:v>
                </c:pt>
                <c:pt idx="292">
                  <c:v>435</c:v>
                </c:pt>
                <c:pt idx="293">
                  <c:v>440</c:v>
                </c:pt>
                <c:pt idx="294">
                  <c:v>445</c:v>
                </c:pt>
                <c:pt idx="295">
                  <c:v>450</c:v>
                </c:pt>
                <c:pt idx="296">
                  <c:v>455</c:v>
                </c:pt>
                <c:pt idx="297">
                  <c:v>460</c:v>
                </c:pt>
                <c:pt idx="298">
                  <c:v>465</c:v>
                </c:pt>
                <c:pt idx="299">
                  <c:v>470</c:v>
                </c:pt>
                <c:pt idx="300">
                  <c:v>475</c:v>
                </c:pt>
                <c:pt idx="301">
                  <c:v>480</c:v>
                </c:pt>
                <c:pt idx="302">
                  <c:v>485</c:v>
                </c:pt>
                <c:pt idx="303">
                  <c:v>490</c:v>
                </c:pt>
                <c:pt idx="304">
                  <c:v>495</c:v>
                </c:pt>
                <c:pt idx="305">
                  <c:v>500</c:v>
                </c:pt>
                <c:pt idx="306">
                  <c:v>505</c:v>
                </c:pt>
                <c:pt idx="307">
                  <c:v>510</c:v>
                </c:pt>
                <c:pt idx="308">
                  <c:v>515</c:v>
                </c:pt>
                <c:pt idx="309">
                  <c:v>520</c:v>
                </c:pt>
                <c:pt idx="310">
                  <c:v>525</c:v>
                </c:pt>
                <c:pt idx="311">
                  <c:v>530</c:v>
                </c:pt>
                <c:pt idx="312">
                  <c:v>535</c:v>
                </c:pt>
                <c:pt idx="313">
                  <c:v>540</c:v>
                </c:pt>
                <c:pt idx="314">
                  <c:v>545</c:v>
                </c:pt>
                <c:pt idx="315">
                  <c:v>550</c:v>
                </c:pt>
                <c:pt idx="316">
                  <c:v>555</c:v>
                </c:pt>
                <c:pt idx="317">
                  <c:v>560</c:v>
                </c:pt>
                <c:pt idx="318">
                  <c:v>565</c:v>
                </c:pt>
                <c:pt idx="319">
                  <c:v>570</c:v>
                </c:pt>
                <c:pt idx="320">
                  <c:v>575</c:v>
                </c:pt>
                <c:pt idx="321">
                  <c:v>580</c:v>
                </c:pt>
                <c:pt idx="322">
                  <c:v>585</c:v>
                </c:pt>
                <c:pt idx="323">
                  <c:v>590</c:v>
                </c:pt>
                <c:pt idx="324">
                  <c:v>595</c:v>
                </c:pt>
                <c:pt idx="325">
                  <c:v>600</c:v>
                </c:pt>
                <c:pt idx="326">
                  <c:v>605</c:v>
                </c:pt>
                <c:pt idx="327">
                  <c:v>610</c:v>
                </c:pt>
                <c:pt idx="328">
                  <c:v>615</c:v>
                </c:pt>
                <c:pt idx="329">
                  <c:v>620</c:v>
                </c:pt>
                <c:pt idx="330">
                  <c:v>625</c:v>
                </c:pt>
                <c:pt idx="331">
                  <c:v>630</c:v>
                </c:pt>
                <c:pt idx="332">
                  <c:v>635</c:v>
                </c:pt>
                <c:pt idx="333">
                  <c:v>640</c:v>
                </c:pt>
                <c:pt idx="334">
                  <c:v>645</c:v>
                </c:pt>
                <c:pt idx="335">
                  <c:v>650</c:v>
                </c:pt>
                <c:pt idx="336">
                  <c:v>655</c:v>
                </c:pt>
                <c:pt idx="337">
                  <c:v>660</c:v>
                </c:pt>
                <c:pt idx="338">
                  <c:v>665</c:v>
                </c:pt>
                <c:pt idx="339">
                  <c:v>670</c:v>
                </c:pt>
                <c:pt idx="340">
                  <c:v>675</c:v>
                </c:pt>
                <c:pt idx="341">
                  <c:v>680</c:v>
                </c:pt>
                <c:pt idx="342">
                  <c:v>685</c:v>
                </c:pt>
                <c:pt idx="343">
                  <c:v>690</c:v>
                </c:pt>
                <c:pt idx="344">
                  <c:v>695</c:v>
                </c:pt>
                <c:pt idx="345">
                  <c:v>700</c:v>
                </c:pt>
                <c:pt idx="346">
                  <c:v>705</c:v>
                </c:pt>
                <c:pt idx="347">
                  <c:v>710</c:v>
                </c:pt>
                <c:pt idx="348">
                  <c:v>715</c:v>
                </c:pt>
                <c:pt idx="349">
                  <c:v>720</c:v>
                </c:pt>
                <c:pt idx="350">
                  <c:v>725</c:v>
                </c:pt>
                <c:pt idx="351">
                  <c:v>730</c:v>
                </c:pt>
                <c:pt idx="352">
                  <c:v>735</c:v>
                </c:pt>
                <c:pt idx="353">
                  <c:v>740</c:v>
                </c:pt>
                <c:pt idx="354">
                  <c:v>745</c:v>
                </c:pt>
                <c:pt idx="355">
                  <c:v>750</c:v>
                </c:pt>
                <c:pt idx="356">
                  <c:v>755</c:v>
                </c:pt>
                <c:pt idx="357">
                  <c:v>760</c:v>
                </c:pt>
                <c:pt idx="358">
                  <c:v>765</c:v>
                </c:pt>
                <c:pt idx="359">
                  <c:v>770</c:v>
                </c:pt>
                <c:pt idx="360">
                  <c:v>775</c:v>
                </c:pt>
                <c:pt idx="361">
                  <c:v>780</c:v>
                </c:pt>
                <c:pt idx="362">
                  <c:v>785</c:v>
                </c:pt>
                <c:pt idx="363">
                  <c:v>790</c:v>
                </c:pt>
                <c:pt idx="364">
                  <c:v>795</c:v>
                </c:pt>
                <c:pt idx="365">
                  <c:v>800</c:v>
                </c:pt>
                <c:pt idx="366">
                  <c:v>805</c:v>
                </c:pt>
                <c:pt idx="367">
                  <c:v>810</c:v>
                </c:pt>
                <c:pt idx="368">
                  <c:v>815</c:v>
                </c:pt>
                <c:pt idx="369">
                  <c:v>820</c:v>
                </c:pt>
                <c:pt idx="370">
                  <c:v>825</c:v>
                </c:pt>
                <c:pt idx="371">
                  <c:v>830</c:v>
                </c:pt>
                <c:pt idx="372">
                  <c:v>835</c:v>
                </c:pt>
                <c:pt idx="373">
                  <c:v>840</c:v>
                </c:pt>
                <c:pt idx="374">
                  <c:v>845</c:v>
                </c:pt>
                <c:pt idx="375">
                  <c:v>850</c:v>
                </c:pt>
                <c:pt idx="376">
                  <c:v>855</c:v>
                </c:pt>
                <c:pt idx="377">
                  <c:v>860</c:v>
                </c:pt>
                <c:pt idx="378">
                  <c:v>865</c:v>
                </c:pt>
                <c:pt idx="379">
                  <c:v>870</c:v>
                </c:pt>
                <c:pt idx="380">
                  <c:v>875</c:v>
                </c:pt>
                <c:pt idx="381">
                  <c:v>880</c:v>
                </c:pt>
                <c:pt idx="382">
                  <c:v>885</c:v>
                </c:pt>
                <c:pt idx="383">
                  <c:v>890</c:v>
                </c:pt>
                <c:pt idx="384">
                  <c:v>895</c:v>
                </c:pt>
                <c:pt idx="385">
                  <c:v>900</c:v>
                </c:pt>
                <c:pt idx="386">
                  <c:v>905</c:v>
                </c:pt>
                <c:pt idx="387">
                  <c:v>910</c:v>
                </c:pt>
                <c:pt idx="388">
                  <c:v>915</c:v>
                </c:pt>
                <c:pt idx="389">
                  <c:v>920</c:v>
                </c:pt>
                <c:pt idx="390">
                  <c:v>925</c:v>
                </c:pt>
                <c:pt idx="391">
                  <c:v>930</c:v>
                </c:pt>
                <c:pt idx="392">
                  <c:v>935</c:v>
                </c:pt>
                <c:pt idx="393">
                  <c:v>940</c:v>
                </c:pt>
                <c:pt idx="394">
                  <c:v>945</c:v>
                </c:pt>
                <c:pt idx="395">
                  <c:v>950</c:v>
                </c:pt>
                <c:pt idx="396">
                  <c:v>955</c:v>
                </c:pt>
                <c:pt idx="397">
                  <c:v>960</c:v>
                </c:pt>
                <c:pt idx="398">
                  <c:v>965</c:v>
                </c:pt>
                <c:pt idx="399">
                  <c:v>970</c:v>
                </c:pt>
                <c:pt idx="400">
                  <c:v>975</c:v>
                </c:pt>
                <c:pt idx="401">
                  <c:v>980</c:v>
                </c:pt>
                <c:pt idx="402">
                  <c:v>985</c:v>
                </c:pt>
                <c:pt idx="403">
                  <c:v>990</c:v>
                </c:pt>
                <c:pt idx="404">
                  <c:v>995</c:v>
                </c:pt>
                <c:pt idx="405">
                  <c:v>1000</c:v>
                </c:pt>
                <c:pt idx="406">
                  <c:v>1005</c:v>
                </c:pt>
                <c:pt idx="407">
                  <c:v>1010</c:v>
                </c:pt>
                <c:pt idx="408">
                  <c:v>1015</c:v>
                </c:pt>
                <c:pt idx="409">
                  <c:v>1020</c:v>
                </c:pt>
                <c:pt idx="410">
                  <c:v>1025</c:v>
                </c:pt>
                <c:pt idx="411">
                  <c:v>1030</c:v>
                </c:pt>
                <c:pt idx="412">
                  <c:v>1035</c:v>
                </c:pt>
                <c:pt idx="413">
                  <c:v>1040</c:v>
                </c:pt>
                <c:pt idx="414">
                  <c:v>1045</c:v>
                </c:pt>
                <c:pt idx="415">
                  <c:v>1050</c:v>
                </c:pt>
                <c:pt idx="416">
                  <c:v>1055</c:v>
                </c:pt>
                <c:pt idx="417">
                  <c:v>1060</c:v>
                </c:pt>
                <c:pt idx="418">
                  <c:v>1065</c:v>
                </c:pt>
                <c:pt idx="419">
                  <c:v>1070</c:v>
                </c:pt>
                <c:pt idx="420">
                  <c:v>1075</c:v>
                </c:pt>
                <c:pt idx="421">
                  <c:v>1080</c:v>
                </c:pt>
                <c:pt idx="422">
                  <c:v>1085</c:v>
                </c:pt>
                <c:pt idx="423">
                  <c:v>1090</c:v>
                </c:pt>
                <c:pt idx="424">
                  <c:v>1095</c:v>
                </c:pt>
                <c:pt idx="425">
                  <c:v>1100</c:v>
                </c:pt>
                <c:pt idx="426">
                  <c:v>1105</c:v>
                </c:pt>
                <c:pt idx="427">
                  <c:v>1110</c:v>
                </c:pt>
                <c:pt idx="428">
                  <c:v>1115</c:v>
                </c:pt>
                <c:pt idx="429">
                  <c:v>1120</c:v>
                </c:pt>
                <c:pt idx="430">
                  <c:v>1125</c:v>
                </c:pt>
                <c:pt idx="431">
                  <c:v>1130</c:v>
                </c:pt>
                <c:pt idx="432">
                  <c:v>1135</c:v>
                </c:pt>
                <c:pt idx="433">
                  <c:v>1140</c:v>
                </c:pt>
                <c:pt idx="434">
                  <c:v>1145</c:v>
                </c:pt>
                <c:pt idx="435">
                  <c:v>1150</c:v>
                </c:pt>
                <c:pt idx="436">
                  <c:v>1155</c:v>
                </c:pt>
                <c:pt idx="437">
                  <c:v>1160</c:v>
                </c:pt>
                <c:pt idx="438">
                  <c:v>1165</c:v>
                </c:pt>
                <c:pt idx="439">
                  <c:v>1170</c:v>
                </c:pt>
                <c:pt idx="440">
                  <c:v>1175</c:v>
                </c:pt>
                <c:pt idx="441">
                  <c:v>1180</c:v>
                </c:pt>
                <c:pt idx="442">
                  <c:v>1185</c:v>
                </c:pt>
                <c:pt idx="443">
                  <c:v>1190</c:v>
                </c:pt>
                <c:pt idx="444">
                  <c:v>1195</c:v>
                </c:pt>
                <c:pt idx="445">
                  <c:v>1200</c:v>
                </c:pt>
                <c:pt idx="446">
                  <c:v>1205</c:v>
                </c:pt>
                <c:pt idx="447">
                  <c:v>1210</c:v>
                </c:pt>
                <c:pt idx="448">
                  <c:v>1215</c:v>
                </c:pt>
                <c:pt idx="449">
                  <c:v>1220</c:v>
                </c:pt>
                <c:pt idx="450">
                  <c:v>1225</c:v>
                </c:pt>
                <c:pt idx="451">
                  <c:v>1230</c:v>
                </c:pt>
                <c:pt idx="452">
                  <c:v>1235</c:v>
                </c:pt>
                <c:pt idx="453">
                  <c:v>1240</c:v>
                </c:pt>
                <c:pt idx="454">
                  <c:v>1245</c:v>
                </c:pt>
                <c:pt idx="455">
                  <c:v>1250</c:v>
                </c:pt>
                <c:pt idx="456">
                  <c:v>1255</c:v>
                </c:pt>
                <c:pt idx="457">
                  <c:v>1260</c:v>
                </c:pt>
                <c:pt idx="458">
                  <c:v>1265</c:v>
                </c:pt>
                <c:pt idx="459">
                  <c:v>1270</c:v>
                </c:pt>
                <c:pt idx="460">
                  <c:v>1275</c:v>
                </c:pt>
                <c:pt idx="461">
                  <c:v>1280</c:v>
                </c:pt>
                <c:pt idx="462">
                  <c:v>1285</c:v>
                </c:pt>
                <c:pt idx="463">
                  <c:v>1290</c:v>
                </c:pt>
                <c:pt idx="464">
                  <c:v>1295</c:v>
                </c:pt>
                <c:pt idx="465">
                  <c:v>1300</c:v>
                </c:pt>
                <c:pt idx="466">
                  <c:v>1305</c:v>
                </c:pt>
                <c:pt idx="467">
                  <c:v>1310</c:v>
                </c:pt>
                <c:pt idx="468">
                  <c:v>1315</c:v>
                </c:pt>
                <c:pt idx="469">
                  <c:v>1320</c:v>
                </c:pt>
                <c:pt idx="470">
                  <c:v>1325</c:v>
                </c:pt>
                <c:pt idx="471">
                  <c:v>1330</c:v>
                </c:pt>
                <c:pt idx="472">
                  <c:v>1335</c:v>
                </c:pt>
                <c:pt idx="473">
                  <c:v>1340</c:v>
                </c:pt>
                <c:pt idx="474">
                  <c:v>1345</c:v>
                </c:pt>
                <c:pt idx="475">
                  <c:v>1350</c:v>
                </c:pt>
                <c:pt idx="476">
                  <c:v>1355</c:v>
                </c:pt>
                <c:pt idx="477">
                  <c:v>1360</c:v>
                </c:pt>
                <c:pt idx="478">
                  <c:v>1365</c:v>
                </c:pt>
                <c:pt idx="479">
                  <c:v>1370</c:v>
                </c:pt>
                <c:pt idx="480">
                  <c:v>1375</c:v>
                </c:pt>
                <c:pt idx="481">
                  <c:v>1380</c:v>
                </c:pt>
                <c:pt idx="482">
                  <c:v>1385</c:v>
                </c:pt>
                <c:pt idx="483">
                  <c:v>1390</c:v>
                </c:pt>
                <c:pt idx="484">
                  <c:v>1395</c:v>
                </c:pt>
                <c:pt idx="485">
                  <c:v>1400</c:v>
                </c:pt>
                <c:pt idx="486">
                  <c:v>1405</c:v>
                </c:pt>
                <c:pt idx="487">
                  <c:v>1410</c:v>
                </c:pt>
                <c:pt idx="488">
                  <c:v>1415</c:v>
                </c:pt>
                <c:pt idx="489">
                  <c:v>1420</c:v>
                </c:pt>
                <c:pt idx="490">
                  <c:v>1425</c:v>
                </c:pt>
                <c:pt idx="491">
                  <c:v>1430</c:v>
                </c:pt>
                <c:pt idx="492">
                  <c:v>1435</c:v>
                </c:pt>
                <c:pt idx="493">
                  <c:v>1440</c:v>
                </c:pt>
                <c:pt idx="494">
                  <c:v>1445</c:v>
                </c:pt>
                <c:pt idx="495">
                  <c:v>1450</c:v>
                </c:pt>
                <c:pt idx="496">
                  <c:v>1455</c:v>
                </c:pt>
                <c:pt idx="497">
                  <c:v>1460</c:v>
                </c:pt>
                <c:pt idx="498">
                  <c:v>1465</c:v>
                </c:pt>
                <c:pt idx="499">
                  <c:v>1470</c:v>
                </c:pt>
                <c:pt idx="500">
                  <c:v>1475</c:v>
                </c:pt>
                <c:pt idx="501">
                  <c:v>1480</c:v>
                </c:pt>
                <c:pt idx="502">
                  <c:v>1485</c:v>
                </c:pt>
                <c:pt idx="503">
                  <c:v>1490</c:v>
                </c:pt>
                <c:pt idx="504">
                  <c:v>1495</c:v>
                </c:pt>
                <c:pt idx="505">
                  <c:v>1500</c:v>
                </c:pt>
                <c:pt idx="506">
                  <c:v>1505</c:v>
                </c:pt>
                <c:pt idx="507">
                  <c:v>1510</c:v>
                </c:pt>
                <c:pt idx="508">
                  <c:v>1515</c:v>
                </c:pt>
                <c:pt idx="509">
                  <c:v>1520</c:v>
                </c:pt>
                <c:pt idx="510">
                  <c:v>1525</c:v>
                </c:pt>
                <c:pt idx="511">
                  <c:v>1530</c:v>
                </c:pt>
                <c:pt idx="512">
                  <c:v>1535</c:v>
                </c:pt>
                <c:pt idx="513">
                  <c:v>1540</c:v>
                </c:pt>
                <c:pt idx="514">
                  <c:v>1545</c:v>
                </c:pt>
                <c:pt idx="515">
                  <c:v>1550</c:v>
                </c:pt>
                <c:pt idx="516">
                  <c:v>1555</c:v>
                </c:pt>
                <c:pt idx="517">
                  <c:v>1560</c:v>
                </c:pt>
                <c:pt idx="518">
                  <c:v>1565</c:v>
                </c:pt>
                <c:pt idx="519">
                  <c:v>1570</c:v>
                </c:pt>
                <c:pt idx="520">
                  <c:v>1575</c:v>
                </c:pt>
                <c:pt idx="521">
                  <c:v>1580</c:v>
                </c:pt>
                <c:pt idx="522">
                  <c:v>1585</c:v>
                </c:pt>
                <c:pt idx="523">
                  <c:v>1590</c:v>
                </c:pt>
                <c:pt idx="524">
                  <c:v>1595</c:v>
                </c:pt>
                <c:pt idx="525">
                  <c:v>1600</c:v>
                </c:pt>
                <c:pt idx="526">
                  <c:v>1605</c:v>
                </c:pt>
                <c:pt idx="527">
                  <c:v>1610</c:v>
                </c:pt>
                <c:pt idx="528">
                  <c:v>1615</c:v>
                </c:pt>
                <c:pt idx="529">
                  <c:v>1620</c:v>
                </c:pt>
                <c:pt idx="530">
                  <c:v>1625</c:v>
                </c:pt>
                <c:pt idx="531">
                  <c:v>1630</c:v>
                </c:pt>
                <c:pt idx="532">
                  <c:v>1635</c:v>
                </c:pt>
                <c:pt idx="533">
                  <c:v>1640</c:v>
                </c:pt>
                <c:pt idx="534">
                  <c:v>1645</c:v>
                </c:pt>
                <c:pt idx="535">
                  <c:v>1650</c:v>
                </c:pt>
                <c:pt idx="536">
                  <c:v>1655</c:v>
                </c:pt>
                <c:pt idx="537">
                  <c:v>1660</c:v>
                </c:pt>
                <c:pt idx="538">
                  <c:v>1665</c:v>
                </c:pt>
                <c:pt idx="539">
                  <c:v>1670</c:v>
                </c:pt>
                <c:pt idx="540">
                  <c:v>1675</c:v>
                </c:pt>
                <c:pt idx="541">
                  <c:v>1680</c:v>
                </c:pt>
                <c:pt idx="542">
                  <c:v>1685</c:v>
                </c:pt>
                <c:pt idx="543">
                  <c:v>1690</c:v>
                </c:pt>
                <c:pt idx="544">
                  <c:v>1695</c:v>
                </c:pt>
                <c:pt idx="545">
                  <c:v>1700</c:v>
                </c:pt>
                <c:pt idx="546">
                  <c:v>1705</c:v>
                </c:pt>
                <c:pt idx="547">
                  <c:v>1710</c:v>
                </c:pt>
                <c:pt idx="548">
                  <c:v>1715</c:v>
                </c:pt>
                <c:pt idx="549">
                  <c:v>1720</c:v>
                </c:pt>
                <c:pt idx="550">
                  <c:v>1725</c:v>
                </c:pt>
                <c:pt idx="551">
                  <c:v>1730</c:v>
                </c:pt>
                <c:pt idx="552">
                  <c:v>1735</c:v>
                </c:pt>
                <c:pt idx="553">
                  <c:v>1740</c:v>
                </c:pt>
                <c:pt idx="554">
                  <c:v>1745</c:v>
                </c:pt>
                <c:pt idx="555">
                  <c:v>1750</c:v>
                </c:pt>
                <c:pt idx="556">
                  <c:v>1755</c:v>
                </c:pt>
                <c:pt idx="557">
                  <c:v>1760</c:v>
                </c:pt>
                <c:pt idx="558">
                  <c:v>1765</c:v>
                </c:pt>
                <c:pt idx="559">
                  <c:v>1770</c:v>
                </c:pt>
                <c:pt idx="560">
                  <c:v>1775</c:v>
                </c:pt>
                <c:pt idx="561">
                  <c:v>1780</c:v>
                </c:pt>
                <c:pt idx="562">
                  <c:v>1785</c:v>
                </c:pt>
                <c:pt idx="563">
                  <c:v>1790</c:v>
                </c:pt>
                <c:pt idx="564">
                  <c:v>1795</c:v>
                </c:pt>
                <c:pt idx="565">
                  <c:v>1800</c:v>
                </c:pt>
                <c:pt idx="566">
                  <c:v>1805</c:v>
                </c:pt>
                <c:pt idx="567">
                  <c:v>1810</c:v>
                </c:pt>
                <c:pt idx="568">
                  <c:v>1815</c:v>
                </c:pt>
                <c:pt idx="569">
                  <c:v>1820</c:v>
                </c:pt>
                <c:pt idx="570">
                  <c:v>1825</c:v>
                </c:pt>
                <c:pt idx="571">
                  <c:v>1830</c:v>
                </c:pt>
                <c:pt idx="572">
                  <c:v>1835</c:v>
                </c:pt>
                <c:pt idx="573">
                  <c:v>1840</c:v>
                </c:pt>
                <c:pt idx="574">
                  <c:v>1845</c:v>
                </c:pt>
                <c:pt idx="575">
                  <c:v>1850</c:v>
                </c:pt>
                <c:pt idx="576">
                  <c:v>1855</c:v>
                </c:pt>
                <c:pt idx="577">
                  <c:v>1860</c:v>
                </c:pt>
                <c:pt idx="578">
                  <c:v>1865</c:v>
                </c:pt>
                <c:pt idx="579">
                  <c:v>1870</c:v>
                </c:pt>
                <c:pt idx="580">
                  <c:v>1875</c:v>
                </c:pt>
                <c:pt idx="581">
                  <c:v>1880</c:v>
                </c:pt>
                <c:pt idx="582">
                  <c:v>1885</c:v>
                </c:pt>
                <c:pt idx="583">
                  <c:v>1890</c:v>
                </c:pt>
                <c:pt idx="584">
                  <c:v>1895</c:v>
                </c:pt>
                <c:pt idx="585">
                  <c:v>1900</c:v>
                </c:pt>
                <c:pt idx="586">
                  <c:v>1905</c:v>
                </c:pt>
                <c:pt idx="587">
                  <c:v>1910</c:v>
                </c:pt>
                <c:pt idx="588">
                  <c:v>1915</c:v>
                </c:pt>
                <c:pt idx="589">
                  <c:v>1920</c:v>
                </c:pt>
                <c:pt idx="590">
                  <c:v>1925</c:v>
                </c:pt>
                <c:pt idx="591">
                  <c:v>1930</c:v>
                </c:pt>
                <c:pt idx="592">
                  <c:v>1935</c:v>
                </c:pt>
                <c:pt idx="593">
                  <c:v>1940</c:v>
                </c:pt>
                <c:pt idx="594">
                  <c:v>1945</c:v>
                </c:pt>
                <c:pt idx="595">
                  <c:v>1950</c:v>
                </c:pt>
                <c:pt idx="596">
                  <c:v>1955</c:v>
                </c:pt>
                <c:pt idx="597">
                  <c:v>1960</c:v>
                </c:pt>
                <c:pt idx="598">
                  <c:v>1965</c:v>
                </c:pt>
                <c:pt idx="599">
                  <c:v>1970</c:v>
                </c:pt>
                <c:pt idx="600">
                  <c:v>1975</c:v>
                </c:pt>
                <c:pt idx="601">
                  <c:v>1980</c:v>
                </c:pt>
                <c:pt idx="602">
                  <c:v>1985</c:v>
                </c:pt>
                <c:pt idx="603">
                  <c:v>1990</c:v>
                </c:pt>
                <c:pt idx="604">
                  <c:v>1995</c:v>
                </c:pt>
                <c:pt idx="605">
                  <c:v>2000</c:v>
                </c:pt>
                <c:pt idx="606">
                  <c:v>2250</c:v>
                </c:pt>
                <c:pt idx="607">
                  <c:v>2500</c:v>
                </c:pt>
                <c:pt idx="608">
                  <c:v>2750</c:v>
                </c:pt>
                <c:pt idx="609">
                  <c:v>3000</c:v>
                </c:pt>
                <c:pt idx="610">
                  <c:v>3250</c:v>
                </c:pt>
                <c:pt idx="611">
                  <c:v>3500</c:v>
                </c:pt>
                <c:pt idx="612">
                  <c:v>3750</c:v>
                </c:pt>
                <c:pt idx="613">
                  <c:v>4000</c:v>
                </c:pt>
                <c:pt idx="614">
                  <c:v>4250</c:v>
                </c:pt>
                <c:pt idx="615">
                  <c:v>4500</c:v>
                </c:pt>
                <c:pt idx="616">
                  <c:v>4750</c:v>
                </c:pt>
                <c:pt idx="617">
                  <c:v>5000</c:v>
                </c:pt>
                <c:pt idx="618">
                  <c:v>5100</c:v>
                </c:pt>
                <c:pt idx="619">
                  <c:v>5200</c:v>
                </c:pt>
                <c:pt idx="620">
                  <c:v>5300</c:v>
                </c:pt>
                <c:pt idx="621">
                  <c:v>5400</c:v>
                </c:pt>
                <c:pt idx="622">
                  <c:v>5500</c:v>
                </c:pt>
                <c:pt idx="623">
                  <c:v>5600</c:v>
                </c:pt>
                <c:pt idx="624">
                  <c:v>5700</c:v>
                </c:pt>
                <c:pt idx="625">
                  <c:v>5800</c:v>
                </c:pt>
                <c:pt idx="626">
                  <c:v>5900</c:v>
                </c:pt>
                <c:pt idx="627">
                  <c:v>6000</c:v>
                </c:pt>
                <c:pt idx="628">
                  <c:v>6100</c:v>
                </c:pt>
                <c:pt idx="629">
                  <c:v>6200</c:v>
                </c:pt>
                <c:pt idx="630">
                  <c:v>6300</c:v>
                </c:pt>
                <c:pt idx="631">
                  <c:v>6400</c:v>
                </c:pt>
                <c:pt idx="632">
                  <c:v>6500</c:v>
                </c:pt>
                <c:pt idx="633">
                  <c:v>6600</c:v>
                </c:pt>
                <c:pt idx="634">
                  <c:v>6700</c:v>
                </c:pt>
                <c:pt idx="635">
                  <c:v>6800</c:v>
                </c:pt>
                <c:pt idx="636">
                  <c:v>6900</c:v>
                </c:pt>
                <c:pt idx="637">
                  <c:v>7000</c:v>
                </c:pt>
                <c:pt idx="638">
                  <c:v>7100</c:v>
                </c:pt>
                <c:pt idx="639">
                  <c:v>7200</c:v>
                </c:pt>
                <c:pt idx="640">
                  <c:v>7300</c:v>
                </c:pt>
                <c:pt idx="641">
                  <c:v>7400</c:v>
                </c:pt>
                <c:pt idx="642">
                  <c:v>7500</c:v>
                </c:pt>
                <c:pt idx="643">
                  <c:v>7600</c:v>
                </c:pt>
                <c:pt idx="644">
                  <c:v>7700</c:v>
                </c:pt>
                <c:pt idx="645">
                  <c:v>7800</c:v>
                </c:pt>
                <c:pt idx="646">
                  <c:v>7900</c:v>
                </c:pt>
                <c:pt idx="647">
                  <c:v>8000</c:v>
                </c:pt>
                <c:pt idx="648">
                  <c:v>8100</c:v>
                </c:pt>
                <c:pt idx="649">
                  <c:v>8200</c:v>
                </c:pt>
                <c:pt idx="650">
                  <c:v>8300</c:v>
                </c:pt>
                <c:pt idx="651">
                  <c:v>8400</c:v>
                </c:pt>
                <c:pt idx="652">
                  <c:v>8500</c:v>
                </c:pt>
                <c:pt idx="653">
                  <c:v>8600</c:v>
                </c:pt>
                <c:pt idx="654">
                  <c:v>8700</c:v>
                </c:pt>
                <c:pt idx="655">
                  <c:v>8800</c:v>
                </c:pt>
                <c:pt idx="656">
                  <c:v>8900</c:v>
                </c:pt>
                <c:pt idx="657">
                  <c:v>9000</c:v>
                </c:pt>
                <c:pt idx="658">
                  <c:v>9100</c:v>
                </c:pt>
                <c:pt idx="659">
                  <c:v>9200</c:v>
                </c:pt>
                <c:pt idx="660">
                  <c:v>9300</c:v>
                </c:pt>
                <c:pt idx="661">
                  <c:v>9400</c:v>
                </c:pt>
                <c:pt idx="662">
                  <c:v>9500</c:v>
                </c:pt>
                <c:pt idx="663">
                  <c:v>9600</c:v>
                </c:pt>
                <c:pt idx="664">
                  <c:v>9700</c:v>
                </c:pt>
                <c:pt idx="665">
                  <c:v>9800</c:v>
                </c:pt>
                <c:pt idx="666">
                  <c:v>9900</c:v>
                </c:pt>
                <c:pt idx="667">
                  <c:v>10000</c:v>
                </c:pt>
              </c:numCache>
            </c:numRef>
          </c:xVal>
          <c:yVal>
            <c:numRef>
              <c:f>'Bode Plots Calculations'!$BF$9:$BF$676</c:f>
              <c:numCache>
                <c:formatCode>General</c:formatCode>
                <c:ptCount val="668"/>
                <c:pt idx="0">
                  <c:v>69.0070143928331</c:v>
                </c:pt>
                <c:pt idx="1">
                  <c:v>68.9750911821319</c:v>
                </c:pt>
                <c:pt idx="2">
                  <c:v>68.9227215468699</c:v>
                </c:pt>
                <c:pt idx="3">
                  <c:v>68.8511019577626</c:v>
                </c:pt>
                <c:pt idx="4">
                  <c:v>68.7618008273503</c:v>
                </c:pt>
                <c:pt idx="5">
                  <c:v>68.6566678688347</c:v>
                </c:pt>
                <c:pt idx="6">
                  <c:v>68.537736736757</c:v>
                </c:pt>
                <c:pt idx="7">
                  <c:v>68.4071300844515</c:v>
                </c:pt>
                <c:pt idx="8">
                  <c:v>68.2669742510872</c:v>
                </c:pt>
                <c:pt idx="9">
                  <c:v>68.1193282734129</c:v>
                </c:pt>
                <c:pt idx="10">
                  <c:v>66.5695618106266</c:v>
                </c:pt>
                <c:pt idx="11">
                  <c:v>65.3689975541227</c:v>
                </c:pt>
                <c:pt idx="12">
                  <c:v>64.5833969222666</c:v>
                </c:pt>
                <c:pt idx="13">
                  <c:v>64.0787903712642</c:v>
                </c:pt>
                <c:pt idx="14">
                  <c:v>63.747096786446</c:v>
                </c:pt>
                <c:pt idx="15">
                  <c:v>63.5216840343811</c:v>
                </c:pt>
                <c:pt idx="16">
                  <c:v>63.363281144745</c:v>
                </c:pt>
                <c:pt idx="17">
                  <c:v>63.2485067845411</c:v>
                </c:pt>
                <c:pt idx="18">
                  <c:v>63.1630623507046</c:v>
                </c:pt>
                <c:pt idx="19">
                  <c:v>62.8684268452048</c:v>
                </c:pt>
                <c:pt idx="20">
                  <c:v>62.8087259018717</c:v>
                </c:pt>
                <c:pt idx="21">
                  <c:v>62.7859541381916</c:v>
                </c:pt>
                <c:pt idx="22">
                  <c:v>62.7736368342847</c:v>
                </c:pt>
                <c:pt idx="23">
                  <c:v>62.7651060640697</c:v>
                </c:pt>
                <c:pt idx="24">
                  <c:v>62.7580585341657</c:v>
                </c:pt>
                <c:pt idx="25">
                  <c:v>62.7515291995119</c:v>
                </c:pt>
                <c:pt idx="26">
                  <c:v>62.7450573069906</c:v>
                </c:pt>
                <c:pt idx="27">
                  <c:v>62.7384013331522</c:v>
                </c:pt>
                <c:pt idx="28">
                  <c:v>62.6991233442174</c:v>
                </c:pt>
                <c:pt idx="29">
                  <c:v>62.6473945048506</c:v>
                </c:pt>
                <c:pt idx="30">
                  <c:v>62.5828221460843</c:v>
                </c:pt>
                <c:pt idx="31">
                  <c:v>62.5060015266608</c:v>
                </c:pt>
                <c:pt idx="32">
                  <c:v>62.417832560898</c:v>
                </c:pt>
                <c:pt idx="33">
                  <c:v>62.3193625608987</c:v>
                </c:pt>
                <c:pt idx="34">
                  <c:v>62.2117199500687</c:v>
                </c:pt>
                <c:pt idx="35">
                  <c:v>62.0960722495973</c:v>
                </c:pt>
                <c:pt idx="36">
                  <c:v>61.9735941131298</c:v>
                </c:pt>
                <c:pt idx="37">
                  <c:v>61.8454417974529</c:v>
                </c:pt>
                <c:pt idx="38">
                  <c:v>61.7127329772387</c:v>
                </c:pt>
                <c:pt idx="39">
                  <c:v>61.5765313814057</c:v>
                </c:pt>
                <c:pt idx="40">
                  <c:v>61.4378357860213</c:v>
                </c:pt>
                <c:pt idx="41">
                  <c:v>61.2975728425282</c:v>
                </c:pt>
                <c:pt idx="42">
                  <c:v>61.1565931688618</c:v>
                </c:pt>
                <c:pt idx="43">
                  <c:v>61.0156701153604</c:v>
                </c:pt>
                <c:pt idx="44">
                  <c:v>60.8755006379513</c:v>
                </c:pt>
                <c:pt idx="45">
                  <c:v>60.7367077589521</c:v>
                </c:pt>
                <c:pt idx="46">
                  <c:v>60.599844160172</c:v>
                </c:pt>
                <c:pt idx="47">
                  <c:v>60.4653965243827</c:v>
                </c:pt>
                <c:pt idx="48">
                  <c:v>60.3337903125025</c:v>
                </c:pt>
                <c:pt idx="49">
                  <c:v>60.2053947302561</c:v>
                </c:pt>
                <c:pt idx="50">
                  <c:v>60.0805276969155</c:v>
                </c:pt>
                <c:pt idx="51">
                  <c:v>59.9594606788113</c:v>
                </c:pt>
                <c:pt idx="52">
                  <c:v>59.8424232915364</c:v>
                </c:pt>
                <c:pt idx="53">
                  <c:v>59.7296076076927</c:v>
                </c:pt>
                <c:pt idx="54">
                  <c:v>59.6211721326025</c:v>
                </c:pt>
                <c:pt idx="55">
                  <c:v>59.5172454296835</c:v>
                </c:pt>
                <c:pt idx="56">
                  <c:v>59.4179293912678</c:v>
                </c:pt>
                <c:pt idx="57">
                  <c:v>59.3233021605392</c:v>
                </c:pt>
                <c:pt idx="58">
                  <c:v>59.2334207168604</c:v>
                </c:pt>
                <c:pt idx="59">
                  <c:v>59.1483231408299</c:v>
                </c:pt>
                <c:pt idx="60">
                  <c:v>59.0680305775671</c:v>
                </c:pt>
                <c:pt idx="61">
                  <c:v>58.9925489174905</c:v>
                </c:pt>
                <c:pt idx="62">
                  <c:v>58.9218702136132</c:v>
                </c:pt>
                <c:pt idx="63">
                  <c:v>58.8559738534637</c:v>
                </c:pt>
                <c:pt idx="64">
                  <c:v>58.7948275023665</c:v>
                </c:pt>
                <c:pt idx="65">
                  <c:v>58.7383878331837</c:v>
                </c:pt>
                <c:pt idx="66">
                  <c:v>58.6866010558526</c:v>
                </c:pt>
                <c:pt idx="67">
                  <c:v>58.6394032582633</c:v>
                </c:pt>
                <c:pt idx="68">
                  <c:v>58.5967205682774</c:v>
                </c:pt>
                <c:pt idx="69">
                  <c:v>58.5584691450689</c:v>
                </c:pt>
                <c:pt idx="70">
                  <c:v>58.5245550065054</c:v>
                </c:pt>
                <c:pt idx="71">
                  <c:v>58.4948736980509</c:v>
                </c:pt>
                <c:pt idx="72">
                  <c:v>58.4693098076889</c:v>
                </c:pt>
                <c:pt idx="73">
                  <c:v>58.4477363307073</c:v>
                </c:pt>
                <c:pt idx="74">
                  <c:v>58.4300138878926</c:v>
                </c:pt>
                <c:pt idx="75">
                  <c:v>58.4159898008436</c:v>
                </c:pt>
                <c:pt idx="76">
                  <c:v>58.4054970287854</c:v>
                </c:pt>
                <c:pt idx="77">
                  <c:v>58.3983529725663</c:v>
                </c:pt>
                <c:pt idx="78">
                  <c:v>58.3943581535336</c:v>
                </c:pt>
                <c:pt idx="79">
                  <c:v>58.393294777845</c:v>
                </c:pt>
                <c:pt idx="80">
                  <c:v>58.3949252006019</c:v>
                </c:pt>
                <c:pt idx="81">
                  <c:v>58.3989903091178</c:v>
                </c:pt>
                <c:pt idx="82">
                  <c:v>58.4052078507898</c:v>
                </c:pt>
                <c:pt idx="83">
                  <c:v>58.4132707385233</c:v>
                </c:pt>
                <c:pt idx="84">
                  <c:v>58.422845375542</c:v>
                </c:pt>
                <c:pt idx="85">
                  <c:v>58.433570051683</c:v>
                </c:pt>
                <c:pt idx="86">
                  <c:v>58.4450534748536</c:v>
                </c:pt>
                <c:pt idx="87">
                  <c:v>58.4568735139467</c:v>
                </c:pt>
                <c:pt idx="88">
                  <c:v>58.4685762427794</c:v>
                </c:pt>
                <c:pt idx="89">
                  <c:v>58.4796753878518</c:v>
                </c:pt>
                <c:pt idx="90">
                  <c:v>58.4896522950057</c:v>
                </c:pt>
                <c:pt idx="91">
                  <c:v>58.4979565401223</c:v>
                </c:pt>
                <c:pt idx="92">
                  <c:v>58.5040073152811</c:v>
                </c:pt>
                <c:pt idx="93">
                  <c:v>58.5071957224194</c:v>
                </c:pt>
                <c:pt idx="94">
                  <c:v>58.5068880994227</c:v>
                </c:pt>
                <c:pt idx="95">
                  <c:v>58.5024304866115</c:v>
                </c:pt>
                <c:pt idx="96">
                  <c:v>58.4931543128538</c:v>
                </c:pt>
                <c:pt idx="97">
                  <c:v>58.4783833386382</c:v>
                </c:pt>
                <c:pt idx="98">
                  <c:v>58.4574418379434</c:v>
                </c:pt>
                <c:pt idx="99">
                  <c:v>58.4296639325408</c:v>
                </c:pt>
                <c:pt idx="100">
                  <c:v>58.3944039141069</c:v>
                </c:pt>
                <c:pt idx="101">
                  <c:v>58.3510473057981</c:v>
                </c:pt>
                <c:pt idx="102">
                  <c:v>58.2990223322774</c:v>
                </c:pt>
                <c:pt idx="103">
                  <c:v>58.2378113936694</c:v>
                </c:pt>
                <c:pt idx="104">
                  <c:v>58.1669620834488</c:v>
                </c:pt>
                <c:pt idx="105">
                  <c:v>58.0860972613972</c:v>
                </c:pt>
                <c:pt idx="106">
                  <c:v>57.9949236973988</c:v>
                </c:pt>
                <c:pt idx="107">
                  <c:v>57.8932388438706</c:v>
                </c:pt>
                <c:pt idx="108">
                  <c:v>57.7809353738425</c:v>
                </c:pt>
                <c:pt idx="109">
                  <c:v>57.6580032333773</c:v>
                </c:pt>
                <c:pt idx="110">
                  <c:v>57.5245290920686</c:v>
                </c:pt>
                <c:pt idx="111">
                  <c:v>57.3806932214749</c:v>
                </c:pt>
                <c:pt idx="112">
                  <c:v>57.2267639746123</c:v>
                </c:pt>
                <c:pt idx="113">
                  <c:v>57.0630901665596</c:v>
                </c:pt>
                <c:pt idx="114">
                  <c:v>56.890091755635</c:v>
                </c:pt>
                <c:pt idx="115">
                  <c:v>56.7082492890976</c:v>
                </c:pt>
                <c:pt idx="116">
                  <c:v>56.5180926040035</c:v>
                </c:pt>
                <c:pt idx="117">
                  <c:v>56.3201892642712</c:v>
                </c:pt>
                <c:pt idx="118">
                  <c:v>56.115133174438</c:v>
                </c:pt>
                <c:pt idx="119">
                  <c:v>55.9035337467544</c:v>
                </c:pt>
                <c:pt idx="120">
                  <c:v>55.6860059200282</c:v>
                </c:pt>
                <c:pt idx="121">
                  <c:v>55.4631612446615</c:v>
                </c:pt>
                <c:pt idx="122">
                  <c:v>55.2356001661652</c:v>
                </c:pt>
                <c:pt idx="123">
                  <c:v>55.0039055648391</c:v>
                </c:pt>
                <c:pt idx="124">
                  <c:v>54.7686375460782</c:v>
                </c:pt>
                <c:pt idx="125">
                  <c:v>54.5303294257953</c:v>
                </c:pt>
                <c:pt idx="126">
                  <c:v>54.2894848190533</c:v>
                </c:pt>
                <c:pt idx="127">
                  <c:v>54.0465757162949</c:v>
                </c:pt>
                <c:pt idx="128">
                  <c:v>53.8020414189035</c:v>
                </c:pt>
                <c:pt idx="129">
                  <c:v>53.5562882021861</c:v>
                </c:pt>
                <c:pt idx="130">
                  <c:v>53.3096895771141</c:v>
                </c:pt>
                <c:pt idx="131">
                  <c:v>53.0625870302865</c:v>
                </c:pt>
                <c:pt idx="132">
                  <c:v>52.8152911328317</c:v>
                </c:pt>
                <c:pt idx="133">
                  <c:v>52.5680829219043</c:v>
                </c:pt>
                <c:pt idx="134">
                  <c:v>52.3212154719339</c:v>
                </c:pt>
                <c:pt idx="135">
                  <c:v>52.0749155860353</c:v>
                </c:pt>
                <c:pt idx="136">
                  <c:v>51.8293855504326</c:v>
                </c:pt>
                <c:pt idx="137">
                  <c:v>51.5848049060513</c:v>
                </c:pt>
                <c:pt idx="138">
                  <c:v>51.3413322014134</c:v>
                </c:pt>
                <c:pt idx="139">
                  <c:v>51.0991066995856</c:v>
                </c:pt>
                <c:pt idx="140">
                  <c:v>50.8582500192104</c:v>
                </c:pt>
                <c:pt idx="141">
                  <c:v>50.6188676956891</c:v>
                </c:pt>
                <c:pt idx="142">
                  <c:v>50.3810506534979</c:v>
                </c:pt>
                <c:pt idx="143">
                  <c:v>50.1448765845463</c:v>
                </c:pt>
                <c:pt idx="144">
                  <c:v>49.9104112305625</c:v>
                </c:pt>
                <c:pt idx="145">
                  <c:v>49.6777095698486</c:v>
                </c:pt>
                <c:pt idx="146">
                  <c:v>49.4468169105081</c:v>
                </c:pt>
                <c:pt idx="147">
                  <c:v>49.2177698935203</c:v>
                </c:pt>
                <c:pt idx="148">
                  <c:v>48.9905974099125</c:v>
                </c:pt>
                <c:pt idx="149">
                  <c:v>48.7653214368479</c:v>
                </c:pt>
                <c:pt idx="150">
                  <c:v>48.5419577977633</c:v>
                </c:pt>
                <c:pt idx="151">
                  <c:v>48.320516851826</c:v>
                </c:pt>
                <c:pt idx="152">
                  <c:v>48.1010041179669</c:v>
                </c:pt>
                <c:pt idx="153">
                  <c:v>47.8834208386361</c:v>
                </c:pt>
                <c:pt idx="154">
                  <c:v>47.6677644882365</c:v>
                </c:pt>
                <c:pt idx="155">
                  <c:v>47.4540292309562</c:v>
                </c:pt>
                <c:pt idx="156">
                  <c:v>47.2422063324508</c:v>
                </c:pt>
                <c:pt idx="157">
                  <c:v>47.0322845295384</c:v>
                </c:pt>
                <c:pt idx="158">
                  <c:v>46.8242503617789</c:v>
                </c:pt>
                <c:pt idx="159">
                  <c:v>46.6180884685174</c:v>
                </c:pt>
                <c:pt idx="160">
                  <c:v>46.4137818546838</c:v>
                </c:pt>
                <c:pt idx="161">
                  <c:v>46.2113121283715</c:v>
                </c:pt>
                <c:pt idx="162">
                  <c:v>46.0106597129532</c:v>
                </c:pt>
                <c:pt idx="163">
                  <c:v>45.8118040362522</c:v>
                </c:pt>
                <c:pt idx="164">
                  <c:v>45.6147236990539</c:v>
                </c:pt>
                <c:pt idx="165">
                  <c:v>45.4193966250355</c:v>
                </c:pt>
                <c:pt idx="166">
                  <c:v>45.2258001939928</c:v>
                </c:pt>
                <c:pt idx="167">
                  <c:v>45.0339113600649</c:v>
                </c:pt>
                <c:pt idx="168">
                  <c:v>44.8437067564922</c:v>
                </c:pt>
                <c:pt idx="169">
                  <c:v>44.6551627882948</c:v>
                </c:pt>
                <c:pt idx="170">
                  <c:v>44.4682557141194</c:v>
                </c:pt>
                <c:pt idx="171">
                  <c:v>44.2829617183802</c:v>
                </c:pt>
                <c:pt idx="172">
                  <c:v>44.0992569747069</c:v>
                </c:pt>
                <c:pt idx="173">
                  <c:v>43.9171177016099</c:v>
                </c:pt>
                <c:pt idx="174">
                  <c:v>43.7365202111831</c:v>
                </c:pt>
                <c:pt idx="175">
                  <c:v>43.5574409515784</c:v>
                </c:pt>
                <c:pt idx="176">
                  <c:v>43.3798565439142</c:v>
                </c:pt>
                <c:pt idx="177">
                  <c:v>43.2037438142119</c:v>
                </c:pt>
                <c:pt idx="178">
                  <c:v>43.0290798208917</c:v>
                </c:pt>
                <c:pt idx="179">
                  <c:v>42.8558418783079</c:v>
                </c:pt>
                <c:pt idx="180">
                  <c:v>42.6840075767524</c:v>
                </c:pt>
                <c:pt idx="181">
                  <c:v>42.5135547993099</c:v>
                </c:pt>
                <c:pt idx="182">
                  <c:v>42.3444617359136</c:v>
                </c:pt>
                <c:pt idx="183">
                  <c:v>42.1767068949072</c:v>
                </c:pt>
                <c:pt idx="184">
                  <c:v>42.0102691123941</c:v>
                </c:pt>
                <c:pt idx="185">
                  <c:v>41.8451275596219</c:v>
                </c:pt>
                <c:pt idx="186">
                  <c:v>41.6812617486243</c:v>
                </c:pt>
                <c:pt idx="187">
                  <c:v>41.5186515363223</c:v>
                </c:pt>
                <c:pt idx="188">
                  <c:v>41.3572771272631</c:v>
                </c:pt>
                <c:pt idx="189">
                  <c:v>41.197119075157</c:v>
                </c:pt>
                <c:pt idx="190">
                  <c:v>41.0381582833568</c:v>
                </c:pt>
                <c:pt idx="191">
                  <c:v>40.8803760044088</c:v>
                </c:pt>
                <c:pt idx="192">
                  <c:v>40.7237538387894</c:v>
                </c:pt>
                <c:pt idx="193">
                  <c:v>40.5682737329318</c:v>
                </c:pt>
                <c:pt idx="194">
                  <c:v>40.4139179766353</c:v>
                </c:pt>
                <c:pt idx="195">
                  <c:v>40.2606691999377</c:v>
                </c:pt>
                <c:pt idx="196">
                  <c:v>40.1085103695278</c:v>
                </c:pt>
                <c:pt idx="197">
                  <c:v>39.9574247847609</c:v>
                </c:pt>
                <c:pt idx="198">
                  <c:v>39.8073960733378</c:v>
                </c:pt>
                <c:pt idx="199">
                  <c:v>39.6584081866996</c:v>
                </c:pt>
                <c:pt idx="200">
                  <c:v>39.5104453951849</c:v>
                </c:pt>
                <c:pt idx="201">
                  <c:v>39.3634922829907</c:v>
                </c:pt>
                <c:pt idx="202">
                  <c:v>39.2175337429748</c:v>
                </c:pt>
                <c:pt idx="203">
                  <c:v>39.0725549713325</c:v>
                </c:pt>
                <c:pt idx="204">
                  <c:v>38.9285414621763</c:v>
                </c:pt>
                <c:pt idx="205">
                  <c:v>38.7854790020451</c:v>
                </c:pt>
                <c:pt idx="206">
                  <c:v>38.6433536643654</c:v>
                </c:pt>
                <c:pt idx="207">
                  <c:v>38.502151803886</c:v>
                </c:pt>
                <c:pt idx="208">
                  <c:v>38.3618600511014</c:v>
                </c:pt>
                <c:pt idx="209">
                  <c:v>38.2224653066831</c:v>
                </c:pt>
                <c:pt idx="210">
                  <c:v>38.0839547359295</c:v>
                </c:pt>
                <c:pt idx="211">
                  <c:v>37.9463157632484</c:v>
                </c:pt>
                <c:pt idx="212">
                  <c:v>37.8095360666819</c:v>
                </c:pt>
                <c:pt idx="213">
                  <c:v>37.6736035724822</c:v>
                </c:pt>
                <c:pt idx="214">
                  <c:v>37.5385064497475</c:v>
                </c:pt>
                <c:pt idx="215">
                  <c:v>37.4042331051241</c:v>
                </c:pt>
                <c:pt idx="216">
                  <c:v>37.2707721775796</c:v>
                </c:pt>
                <c:pt idx="217">
                  <c:v>37.1381125332533</c:v>
                </c:pt>
                <c:pt idx="218">
                  <c:v>37.0062432603877</c:v>
                </c:pt>
                <c:pt idx="219">
                  <c:v>36.8751536643436</c:v>
                </c:pt>
                <c:pt idx="220">
                  <c:v>36.7448332627025</c:v>
                </c:pt>
                <c:pt idx="221">
                  <c:v>36.6152717804573</c:v>
                </c:pt>
                <c:pt idx="222">
                  <c:v>36.4864591452949</c:v>
                </c:pt>
                <c:pt idx="223">
                  <c:v>36.3583854829694</c:v>
                </c:pt>
                <c:pt idx="224">
                  <c:v>36.2310411127688</c:v>
                </c:pt>
                <c:pt idx="225">
                  <c:v>36.1044165430746</c:v>
                </c:pt>
                <c:pt idx="226">
                  <c:v>34.8757984953286</c:v>
                </c:pt>
                <c:pt idx="227">
                  <c:v>33.7099681281877</c:v>
                </c:pt>
                <c:pt idx="228">
                  <c:v>32.5999572540986</c:v>
                </c:pt>
                <c:pt idx="229">
                  <c:v>31.5399433548418</c:v>
                </c:pt>
                <c:pt idx="230">
                  <c:v>30.5250185757911</c:v>
                </c:pt>
                <c:pt idx="231">
                  <c:v>29.5510104178133</c:v>
                </c:pt>
                <c:pt idx="232">
                  <c:v>28.6143421843493</c:v>
                </c:pt>
                <c:pt idx="233">
                  <c:v>27.7119238074186</c:v>
                </c:pt>
                <c:pt idx="234">
                  <c:v>26.8410658873936</c:v>
                </c:pt>
                <c:pt idx="235">
                  <c:v>25.99941153047</c:v>
                </c:pt>
                <c:pt idx="236">
                  <c:v>25.1848819015581</c:v>
                </c:pt>
                <c:pt idx="237">
                  <c:v>24.3956324112013</c:v>
                </c:pt>
                <c:pt idx="238">
                  <c:v>23.6300172017331</c:v>
                </c:pt>
                <c:pt idx="239">
                  <c:v>22.8865601544771</c:v>
                </c:pt>
                <c:pt idx="240">
                  <c:v>22.1639310557641</c:v>
                </c:pt>
                <c:pt idx="241">
                  <c:v>21.4609258717016</c:v>
                </c:pt>
                <c:pt idx="242">
                  <c:v>20.7764503171104</c:v>
                </c:pt>
                <c:pt idx="243">
                  <c:v>20.1095060826745</c:v>
                </c:pt>
                <c:pt idx="244">
                  <c:v>19.4591792206768</c:v>
                </c:pt>
                <c:pt idx="245">
                  <c:v>18.8246302943549</c:v>
                </c:pt>
                <c:pt idx="246">
                  <c:v>18.2050859767507</c:v>
                </c:pt>
                <c:pt idx="247">
                  <c:v>17.5998318477439</c:v>
                </c:pt>
                <c:pt idx="248">
                  <c:v>17.0082061870485</c:v>
                </c:pt>
                <c:pt idx="249">
                  <c:v>16.4295945995441</c:v>
                </c:pt>
                <c:pt idx="250">
                  <c:v>15.8634253398153</c:v>
                </c:pt>
                <c:pt idx="251">
                  <c:v>15.3091652270165</c:v>
                </c:pt>
                <c:pt idx="252">
                  <c:v>14.7663160605475</c:v>
                </c:pt>
                <c:pt idx="253">
                  <c:v>14.2344114625847</c:v>
                </c:pt>
                <c:pt idx="254">
                  <c:v>13.7130140860669</c:v>
                </c:pt>
                <c:pt idx="255">
                  <c:v>13.2017131369215</c:v>
                </c:pt>
                <c:pt idx="256">
                  <c:v>12.7001221676161</c:v>
                </c:pt>
                <c:pt idx="257">
                  <c:v>12.2078771059201</c:v>
                </c:pt>
                <c:pt idx="258">
                  <c:v>11.7246344883457</c:v>
                </c:pt>
                <c:pt idx="259">
                  <c:v>11.2500698723613</c:v>
                </c:pt>
                <c:pt idx="260">
                  <c:v>10.7838764052973</c:v>
                </c:pt>
                <c:pt idx="261">
                  <c:v>10.3257635310563</c:v>
                </c:pt>
                <c:pt idx="262">
                  <c:v>9.8754558184117</c:v>
                </c:pt>
                <c:pt idx="263">
                  <c:v>9.43269189691657</c:v>
                </c:pt>
                <c:pt idx="264">
                  <c:v>8.99722348833836</c:v>
                </c:pt>
                <c:pt idx="265">
                  <c:v>8.56881452313013</c:v>
                </c:pt>
                <c:pt idx="266">
                  <c:v>8.14724033280921</c:v>
                </c:pt>
                <c:pt idx="267">
                  <c:v>7.73228691027001</c:v>
                </c:pt>
                <c:pt idx="268">
                  <c:v>7.32375023104659</c:v>
                </c:pt>
                <c:pt idx="269">
                  <c:v>6.92143562939008</c:v>
                </c:pt>
                <c:pt idx="270">
                  <c:v>6.52515722375542</c:v>
                </c:pt>
                <c:pt idx="271">
                  <c:v>6.13473738692276</c:v>
                </c:pt>
                <c:pt idx="272">
                  <c:v>5.75000625652489</c:v>
                </c:pt>
                <c:pt idx="273">
                  <c:v>5.37080128222565</c:v>
                </c:pt>
                <c:pt idx="274">
                  <c:v>4.99696680620773</c:v>
                </c:pt>
                <c:pt idx="275">
                  <c:v>4.62835367398822</c:v>
                </c:pt>
                <c:pt idx="276">
                  <c:v>4.26481887289642</c:v>
                </c:pt>
                <c:pt idx="277">
                  <c:v>3.90622519582523</c:v>
                </c:pt>
                <c:pt idx="278">
                  <c:v>3.55244092811145</c:v>
                </c:pt>
                <c:pt idx="279">
                  <c:v>3.20333955561532</c:v>
                </c:pt>
                <c:pt idx="280">
                  <c:v>2.85879949225996</c:v>
                </c:pt>
                <c:pt idx="281">
                  <c:v>2.51870382545979</c:v>
                </c:pt>
                <c:pt idx="282">
                  <c:v>2.18294007801668</c:v>
                </c:pt>
                <c:pt idx="283">
                  <c:v>1.85139998519603</c:v>
                </c:pt>
                <c:pt idx="284">
                  <c:v>1.52397928581324</c:v>
                </c:pt>
                <c:pt idx="285">
                  <c:v>1.20057752626786</c:v>
                </c:pt>
                <c:pt idx="286">
                  <c:v>0.881097876557067</c:v>
                </c:pt>
                <c:pt idx="287">
                  <c:v>0.565446957385751</c:v>
                </c:pt>
                <c:pt idx="288">
                  <c:v>0.253534677566798</c:v>
                </c:pt>
                <c:pt idx="289">
                  <c:v>-0.0547259190257671</c:v>
                </c:pt>
                <c:pt idx="290">
                  <c:v>-0.359418797626168</c:v>
                </c:pt>
                <c:pt idx="291">
                  <c:v>-0.66062506848801</c:v>
                </c:pt>
                <c:pt idx="292">
                  <c:v>-0.958423115105739</c:v>
                </c:pt>
                <c:pt idx="293">
                  <c:v>-1.25288871526904</c:v>
                </c:pt>
                <c:pt idx="294">
                  <c:v>-1.54409515543112</c:v>
                </c:pt>
                <c:pt idx="295">
                  <c:v>-1.83211333883411</c:v>
                </c:pt>
                <c:pt idx="296">
                  <c:v>-2.11701188780021</c:v>
                </c:pt>
                <c:pt idx="297">
                  <c:v>-2.3988572405661</c:v>
                </c:pt>
                <c:pt idx="298">
                  <c:v>-2.67771374300944</c:v>
                </c:pt>
                <c:pt idx="299">
                  <c:v>-2.95364373559016</c:v>
                </c:pt>
                <c:pt idx="300">
                  <c:v>-3.22670763580551</c:v>
                </c:pt>
                <c:pt idx="301">
                  <c:v>-3.49696401643598</c:v>
                </c:pt>
                <c:pt idx="302">
                  <c:v>-3.76446967983914</c:v>
                </c:pt>
                <c:pt idx="303">
                  <c:v>-4.02927972853024</c:v>
                </c:pt>
                <c:pt idx="304">
                  <c:v>-4.29144763227142</c:v>
                </c:pt>
                <c:pt idx="305">
                  <c:v>-4.55102529187609</c:v>
                </c:pt>
                <c:pt idx="306">
                  <c:v>-4.80806309992061</c:v>
                </c:pt>
                <c:pt idx="307">
                  <c:v>-5.06260999854241</c:v>
                </c:pt>
                <c:pt idx="308">
                  <c:v>-5.31471353449155</c:v>
                </c:pt>
                <c:pt idx="309">
                  <c:v>-5.56441991159169</c:v>
                </c:pt>
                <c:pt idx="310">
                  <c:v>-5.81177404075581</c:v>
                </c:pt>
                <c:pt idx="311">
                  <c:v>-6.05681958769297</c:v>
                </c:pt>
                <c:pt idx="312">
                  <c:v>-6.29959901843313</c:v>
                </c:pt>
                <c:pt idx="313">
                  <c:v>-6.54015364278925</c:v>
                </c:pt>
                <c:pt idx="314">
                  <c:v>-6.77852365586809</c:v>
                </c:pt>
                <c:pt idx="315">
                  <c:v>-7.01474817773426</c:v>
                </c:pt>
                <c:pt idx="316">
                  <c:v>-7.24886529132544</c:v>
                </c:pt>
                <c:pt idx="317">
                  <c:v>-7.48091207871085</c:v>
                </c:pt>
                <c:pt idx="318">
                  <c:v>-7.7109246557791</c:v>
                </c:pt>
                <c:pt idx="319">
                  <c:v>-7.93893820543676</c:v>
                </c:pt>
                <c:pt idx="320">
                  <c:v>-8.16498700939365</c:v>
                </c:pt>
                <c:pt idx="321">
                  <c:v>-8.38910447860668</c:v>
                </c:pt>
                <c:pt idx="322">
                  <c:v>-8.61132318244977</c:v>
                </c:pt>
                <c:pt idx="323">
                  <c:v>-8.83167487667316</c:v>
                </c:pt>
                <c:pt idx="324">
                  <c:v>-9.05019053021228</c:v>
                </c:pt>
                <c:pt idx="325">
                  <c:v>-9.26690035090227</c:v>
                </c:pt>
                <c:pt idx="326">
                  <c:v>-9.48183381015162</c:v>
                </c:pt>
                <c:pt idx="327">
                  <c:v>-9.69501966662497</c:v>
                </c:pt>
                <c:pt idx="328">
                  <c:v>-9.90648598898262</c:v>
                </c:pt>
                <c:pt idx="329">
                  <c:v>-10.1162601777213</c:v>
                </c:pt>
                <c:pt idx="330">
                  <c:v>-10.3243689861585</c:v>
                </c:pt>
                <c:pt idx="331">
                  <c:v>-10.5308385406011</c:v>
                </c:pt>
                <c:pt idx="332">
                  <c:v>-10.7356943597346</c:v>
                </c:pt>
                <c:pt idx="333">
                  <c:v>-10.9389613732701</c:v>
                </c:pt>
                <c:pt idx="334">
                  <c:v>-11.1406639398826</c:v>
                </c:pt>
                <c:pt idx="335">
                  <c:v>-11.3408258644721</c:v>
                </c:pt>
                <c:pt idx="336">
                  <c:v>-11.5394704147789</c:v>
                </c:pt>
                <c:pt idx="337">
                  <c:v>-11.7366203373809</c:v>
                </c:pt>
                <c:pt idx="338">
                  <c:v>-11.9322978731007</c:v>
                </c:pt>
                <c:pt idx="339">
                  <c:v>-12.1265247718492</c:v>
                </c:pt>
                <c:pt idx="340">
                  <c:v>-12.3193223069282</c:v>
                </c:pt>
                <c:pt idx="341">
                  <c:v>-12.5107112888183</c:v>
                </c:pt>
                <c:pt idx="342">
                  <c:v>-12.700712078471</c:v>
                </c:pt>
                <c:pt idx="343">
                  <c:v>-12.8893446001294</c:v>
                </c:pt>
                <c:pt idx="344">
                  <c:v>-13.0766283536948</c:v>
                </c:pt>
                <c:pt idx="345">
                  <c:v>-13.2625824266599</c:v>
                </c:pt>
                <c:pt idx="346">
                  <c:v>-13.4472255056259</c:v>
                </c:pt>
                <c:pt idx="347">
                  <c:v>-13.6305758874215</c:v>
                </c:pt>
                <c:pt idx="348">
                  <c:v>-13.8126514898392</c:v>
                </c:pt>
                <c:pt idx="349">
                  <c:v>-13.9934698620057</c:v>
                </c:pt>
                <c:pt idx="350">
                  <c:v>-14.1730481944006</c:v>
                </c:pt>
                <c:pt idx="351">
                  <c:v>-14.3514033285368</c:v>
                </c:pt>
                <c:pt idx="352">
                  <c:v>-14.5285517663189</c:v>
                </c:pt>
                <c:pt idx="353">
                  <c:v>-14.7045096790886</c:v>
                </c:pt>
                <c:pt idx="354">
                  <c:v>-14.8792929163731</c:v>
                </c:pt>
                <c:pt idx="355">
                  <c:v>-15.0529170143451</c:v>
                </c:pt>
                <c:pt idx="356">
                  <c:v>-15.2253972040089</c:v>
                </c:pt>
                <c:pt idx="357">
                  <c:v>-15.3967484191193</c:v>
                </c:pt>
                <c:pt idx="358">
                  <c:v>-15.566985303848</c:v>
                </c:pt>
                <c:pt idx="359">
                  <c:v>-15.736122220203</c:v>
                </c:pt>
                <c:pt idx="360">
                  <c:v>-15.9041732552135</c:v>
                </c:pt>
                <c:pt idx="361">
                  <c:v>-16.0711522278877</c:v>
                </c:pt>
                <c:pt idx="362">
                  <c:v>-16.2370726959521</c:v>
                </c:pt>
                <c:pt idx="363">
                  <c:v>-16.401947962381</c:v>
                </c:pt>
                <c:pt idx="364">
                  <c:v>-16.5657910817239</c:v>
                </c:pt>
                <c:pt idx="365">
                  <c:v>-16.7286148662371</c:v>
                </c:pt>
                <c:pt idx="366">
                  <c:v>-16.8904318918287</c:v>
                </c:pt>
                <c:pt idx="367">
                  <c:v>-17.0512545038225</c:v>
                </c:pt>
                <c:pt idx="368">
                  <c:v>-17.211094822547</c:v>
                </c:pt>
                <c:pt idx="369">
                  <c:v>-17.3699647487569</c:v>
                </c:pt>
                <c:pt idx="370">
                  <c:v>-17.5278759688927</c:v>
                </c:pt>
                <c:pt idx="371">
                  <c:v>-17.6848399601838</c:v>
                </c:pt>
                <c:pt idx="372">
                  <c:v>-17.8408679956006</c:v>
                </c:pt>
                <c:pt idx="373">
                  <c:v>-17.9959711486624</c:v>
                </c:pt>
                <c:pt idx="374">
                  <c:v>-18.150160298103</c:v>
                </c:pt>
                <c:pt idx="375">
                  <c:v>-18.3034461324032</c:v>
                </c:pt>
                <c:pt idx="376">
                  <c:v>-18.4558391541904</c:v>
                </c:pt>
                <c:pt idx="377">
                  <c:v>-18.6073496845133</c:v>
                </c:pt>
                <c:pt idx="378">
                  <c:v>-18.7579878669944</c:v>
                </c:pt>
                <c:pt idx="379">
                  <c:v>-18.907763671864</c:v>
                </c:pt>
                <c:pt idx="380">
                  <c:v>-19.0566868998817</c:v>
                </c:pt>
                <c:pt idx="381">
                  <c:v>-19.2047671861463</c:v>
                </c:pt>
                <c:pt idx="382">
                  <c:v>-19.352014003801</c:v>
                </c:pt>
                <c:pt idx="383">
                  <c:v>-19.4984366676343</c:v>
                </c:pt>
                <c:pt idx="384">
                  <c:v>-19.6440443375829</c:v>
                </c:pt>
                <c:pt idx="385">
                  <c:v>-19.7888460221376</c:v>
                </c:pt>
                <c:pt idx="386">
                  <c:v>-19.9328505816563</c:v>
                </c:pt>
                <c:pt idx="387">
                  <c:v>-20.0760667315875</c:v>
                </c:pt>
                <c:pt idx="388">
                  <c:v>-20.2185030456063</c:v>
                </c:pt>
                <c:pt idx="389">
                  <c:v>-20.3601679586666</c:v>
                </c:pt>
                <c:pt idx="390">
                  <c:v>-20.5010697699712</c:v>
                </c:pt>
                <c:pt idx="391">
                  <c:v>-20.6412166458635</c:v>
                </c:pt>
                <c:pt idx="392">
                  <c:v>-20.7806166226425</c:v>
                </c:pt>
                <c:pt idx="393">
                  <c:v>-20.9192776093039</c:v>
                </c:pt>
                <c:pt idx="394">
                  <c:v>-21.0572073902091</c:v>
                </c:pt>
                <c:pt idx="395">
                  <c:v>-21.1944136276853</c:v>
                </c:pt>
                <c:pt idx="396">
                  <c:v>-21.3309038645578</c:v>
                </c:pt>
                <c:pt idx="397">
                  <c:v>-21.4666855266175</c:v>
                </c:pt>
                <c:pt idx="398">
                  <c:v>-21.6017659250247</c:v>
                </c:pt>
                <c:pt idx="399">
                  <c:v>-21.7361522586518</c:v>
                </c:pt>
                <c:pt idx="400">
                  <c:v>-21.8698516163669</c:v>
                </c:pt>
                <c:pt idx="401">
                  <c:v>-22.0028709792589</c:v>
                </c:pt>
                <c:pt idx="402">
                  <c:v>-22.1352172228076</c:v>
                </c:pt>
                <c:pt idx="403">
                  <c:v>-22.2668971189992</c:v>
                </c:pt>
                <c:pt idx="404">
                  <c:v>-22.3979173383889</c:v>
                </c:pt>
                <c:pt idx="405">
                  <c:v>-22.5282844521129</c:v>
                </c:pt>
                <c:pt idx="406">
                  <c:v>-22.6580049338507</c:v>
                </c:pt>
                <c:pt idx="407">
                  <c:v>-22.787085161739</c:v>
                </c:pt>
                <c:pt idx="408">
                  <c:v>-22.9155314202396</c:v>
                </c:pt>
                <c:pt idx="409">
                  <c:v>-23.043349901961</c:v>
                </c:pt>
                <c:pt idx="410">
                  <c:v>-23.170546709437</c:v>
                </c:pt>
                <c:pt idx="411">
                  <c:v>-23.297127856862</c:v>
                </c:pt>
                <c:pt idx="412">
                  <c:v>-23.4230992717844</c:v>
                </c:pt>
                <c:pt idx="413">
                  <c:v>-23.5484667967608</c:v>
                </c:pt>
                <c:pt idx="414">
                  <c:v>-23.6732361909698</c:v>
                </c:pt>
                <c:pt idx="415">
                  <c:v>-23.7974131317883</c:v>
                </c:pt>
                <c:pt idx="416">
                  <c:v>-23.9210032163309</c:v>
                </c:pt>
                <c:pt idx="417">
                  <c:v>-24.0440119629531</c:v>
                </c:pt>
                <c:pt idx="418">
                  <c:v>-24.1664448127193</c:v>
                </c:pt>
                <c:pt idx="419">
                  <c:v>-24.2883071308374</c:v>
                </c:pt>
                <c:pt idx="420">
                  <c:v>-24.4096042080598</c:v>
                </c:pt>
                <c:pt idx="421">
                  <c:v>-24.5303412620524</c:v>
                </c:pt>
                <c:pt idx="422">
                  <c:v>-24.6505234387326</c:v>
                </c:pt>
                <c:pt idx="423">
                  <c:v>-24.7701558135763</c:v>
                </c:pt>
                <c:pt idx="424">
                  <c:v>-24.8892433928958</c:v>
                </c:pt>
                <c:pt idx="425">
                  <c:v>-25.0077911150891</c:v>
                </c:pt>
                <c:pt idx="426">
                  <c:v>-25.12580385186</c:v>
                </c:pt>
                <c:pt idx="427">
                  <c:v>-25.2432864094125</c:v>
                </c:pt>
                <c:pt idx="428">
                  <c:v>-25.3602435296176</c:v>
                </c:pt>
                <c:pt idx="429">
                  <c:v>-25.4766798911546</c:v>
                </c:pt>
                <c:pt idx="430">
                  <c:v>-25.5926001106271</c:v>
                </c:pt>
                <c:pt idx="431">
                  <c:v>-25.7080087436547</c:v>
                </c:pt>
                <c:pt idx="432">
                  <c:v>-25.8229102859408</c:v>
                </c:pt>
                <c:pt idx="433">
                  <c:v>-25.9373091743169</c:v>
                </c:pt>
                <c:pt idx="434">
                  <c:v>-26.0512097877648</c:v>
                </c:pt>
                <c:pt idx="435">
                  <c:v>-26.1646164484161</c:v>
                </c:pt>
                <c:pt idx="436">
                  <c:v>-26.2775334225309</c:v>
                </c:pt>
                <c:pt idx="437">
                  <c:v>-26.3899649214548</c:v>
                </c:pt>
                <c:pt idx="438">
                  <c:v>-26.5019151025564</c:v>
                </c:pt>
                <c:pt idx="439">
                  <c:v>-26.6133880701441</c:v>
                </c:pt>
                <c:pt idx="440">
                  <c:v>-26.7243878763641</c:v>
                </c:pt>
                <c:pt idx="441">
                  <c:v>-26.8349185220793</c:v>
                </c:pt>
                <c:pt idx="442">
                  <c:v>-26.9449839577296</c:v>
                </c:pt>
                <c:pt idx="443">
                  <c:v>-27.0545880841747</c:v>
                </c:pt>
                <c:pt idx="444">
                  <c:v>-27.163734753519</c:v>
                </c:pt>
                <c:pt idx="445">
                  <c:v>-27.2724277699198</c:v>
                </c:pt>
                <c:pt idx="446">
                  <c:v>-27.3806708903781</c:v>
                </c:pt>
                <c:pt idx="447">
                  <c:v>-27.4884678255143</c:v>
                </c:pt>
                <c:pt idx="448">
                  <c:v>-27.5958222403271</c:v>
                </c:pt>
                <c:pt idx="449">
                  <c:v>-27.7027377549376</c:v>
                </c:pt>
                <c:pt idx="450">
                  <c:v>-27.8092179453176</c:v>
                </c:pt>
                <c:pt idx="451">
                  <c:v>-27.9152663440039</c:v>
                </c:pt>
                <c:pt idx="452">
                  <c:v>-28.020886440798</c:v>
                </c:pt>
                <c:pt idx="453">
                  <c:v>-28.1260816834515</c:v>
                </c:pt>
                <c:pt idx="454">
                  <c:v>-28.2308554783384</c:v>
                </c:pt>
                <c:pt idx="455">
                  <c:v>-28.3352111911133</c:v>
                </c:pt>
                <c:pt idx="456">
                  <c:v>-28.4391521473573</c:v>
                </c:pt>
                <c:pt idx="457">
                  <c:v>-28.5426816332108</c:v>
                </c:pt>
                <c:pt idx="458">
                  <c:v>-28.6458028959936</c:v>
                </c:pt>
                <c:pt idx="459">
                  <c:v>-28.7485191448136</c:v>
                </c:pt>
                <c:pt idx="460">
                  <c:v>-28.8508335511631</c:v>
                </c:pt>
                <c:pt idx="461">
                  <c:v>-28.9527492495036</c:v>
                </c:pt>
                <c:pt idx="462">
                  <c:v>-29.0542693378392</c:v>
                </c:pt>
                <c:pt idx="463">
                  <c:v>-29.1553968782793</c:v>
                </c:pt>
                <c:pt idx="464">
                  <c:v>-29.2561348975903</c:v>
                </c:pt>
                <c:pt idx="465">
                  <c:v>-29.3564863877367</c:v>
                </c:pt>
                <c:pt idx="466">
                  <c:v>-29.4564543064118</c:v>
                </c:pt>
                <c:pt idx="467">
                  <c:v>-29.5560415775587</c:v>
                </c:pt>
                <c:pt idx="468">
                  <c:v>-29.6552510918812</c:v>
                </c:pt>
                <c:pt idx="469">
                  <c:v>-29.7540857073449</c:v>
                </c:pt>
                <c:pt idx="470">
                  <c:v>-29.8525482496694</c:v>
                </c:pt>
                <c:pt idx="471">
                  <c:v>-29.9506415128108</c:v>
                </c:pt>
                <c:pt idx="472">
                  <c:v>-30.0483682594355</c:v>
                </c:pt>
                <c:pt idx="473">
                  <c:v>-30.145731221385</c:v>
                </c:pt>
                <c:pt idx="474">
                  <c:v>-30.2427331001326</c:v>
                </c:pt>
                <c:pt idx="475">
                  <c:v>-30.339376567231</c:v>
                </c:pt>
                <c:pt idx="476">
                  <c:v>-30.4356642647519</c:v>
                </c:pt>
                <c:pt idx="477">
                  <c:v>-30.5315988057183</c:v>
                </c:pt>
                <c:pt idx="478">
                  <c:v>-30.6271827745275</c:v>
                </c:pt>
                <c:pt idx="479">
                  <c:v>-30.7224187273679</c:v>
                </c:pt>
                <c:pt idx="480">
                  <c:v>-30.8173091926272</c:v>
                </c:pt>
                <c:pt idx="481">
                  <c:v>-30.9118566712937</c:v>
                </c:pt>
                <c:pt idx="482">
                  <c:v>-31.0060636373505</c:v>
                </c:pt>
                <c:pt idx="483">
                  <c:v>-31.0999325381622</c:v>
                </c:pt>
                <c:pt idx="484">
                  <c:v>-31.1934657948553</c:v>
                </c:pt>
                <c:pt idx="485">
                  <c:v>-31.2866658026912</c:v>
                </c:pt>
                <c:pt idx="486">
                  <c:v>-31.379534931433</c:v>
                </c:pt>
                <c:pt idx="487">
                  <c:v>-31.4720755257061</c:v>
                </c:pt>
                <c:pt idx="488">
                  <c:v>-31.5642899053515</c:v>
                </c:pt>
                <c:pt idx="489">
                  <c:v>-31.6561803657739</c:v>
                </c:pt>
                <c:pt idx="490">
                  <c:v>-31.7477491782835</c:v>
                </c:pt>
                <c:pt idx="491">
                  <c:v>-31.8389985904311</c:v>
                </c:pt>
                <c:pt idx="492">
                  <c:v>-31.9299308263385</c:v>
                </c:pt>
                <c:pt idx="493">
                  <c:v>-32.0205480870226</c:v>
                </c:pt>
                <c:pt idx="494">
                  <c:v>-32.1108525507138</c:v>
                </c:pt>
                <c:pt idx="495">
                  <c:v>-32.2008463731694</c:v>
                </c:pt>
                <c:pt idx="496">
                  <c:v>-32.2905316879809</c:v>
                </c:pt>
                <c:pt idx="497">
                  <c:v>-32.379910606877</c:v>
                </c:pt>
                <c:pt idx="498">
                  <c:v>-32.4689852200211</c:v>
                </c:pt>
                <c:pt idx="499">
                  <c:v>-32.5577575963028</c:v>
                </c:pt>
                <c:pt idx="500">
                  <c:v>-32.6462297836265</c:v>
                </c:pt>
                <c:pt idx="501">
                  <c:v>-32.7344038091929</c:v>
                </c:pt>
                <c:pt idx="502">
                  <c:v>-32.8222816797776</c:v>
                </c:pt>
                <c:pt idx="503">
                  <c:v>-32.9098653820041</c:v>
                </c:pt>
                <c:pt idx="504">
                  <c:v>-32.9971568826121</c:v>
                </c:pt>
                <c:pt idx="505">
                  <c:v>-33.0841581287223</c:v>
                </c:pt>
                <c:pt idx="506">
                  <c:v>-33.1708710480959</c:v>
                </c:pt>
                <c:pt idx="507">
                  <c:v>-33.25729754939</c:v>
                </c:pt>
                <c:pt idx="508">
                  <c:v>-33.3434395224094</c:v>
                </c:pt>
                <c:pt idx="509">
                  <c:v>-33.4292988383534</c:v>
                </c:pt>
                <c:pt idx="510">
                  <c:v>-33.5148773500593</c:v>
                </c:pt>
                <c:pt idx="511">
                  <c:v>-33.6001768922415</c:v>
                </c:pt>
                <c:pt idx="512">
                  <c:v>-33.6851992817267</c:v>
                </c:pt>
                <c:pt idx="513">
                  <c:v>-33.7699463176859</c:v>
                </c:pt>
                <c:pt idx="514">
                  <c:v>-33.8544197818618</c:v>
                </c:pt>
                <c:pt idx="515">
                  <c:v>-33.9386214387932</c:v>
                </c:pt>
                <c:pt idx="516">
                  <c:v>-34.0225530360354</c:v>
                </c:pt>
                <c:pt idx="517">
                  <c:v>-34.1062163043774</c:v>
                </c:pt>
                <c:pt idx="518">
                  <c:v>-34.1896129580555</c:v>
                </c:pt>
                <c:pt idx="519">
                  <c:v>-34.2727446949635</c:v>
                </c:pt>
                <c:pt idx="520">
                  <c:v>-34.3556131968595</c:v>
                </c:pt>
                <c:pt idx="521">
                  <c:v>-34.4382201295695</c:v>
                </c:pt>
                <c:pt idx="522">
                  <c:v>-34.5205671431881</c:v>
                </c:pt>
                <c:pt idx="523">
                  <c:v>-34.6026558722754</c:v>
                </c:pt>
                <c:pt idx="524">
                  <c:v>-34.6844879360516</c:v>
                </c:pt>
                <c:pt idx="525">
                  <c:v>-34.7660649385879</c:v>
                </c:pt>
                <c:pt idx="526">
                  <c:v>-34.8473884689948</c:v>
                </c:pt>
                <c:pt idx="527">
                  <c:v>-34.9284601016076</c:v>
                </c:pt>
                <c:pt idx="528">
                  <c:v>-35.0092813961684</c:v>
                </c:pt>
                <c:pt idx="529">
                  <c:v>-35.0898538980062</c:v>
                </c:pt>
                <c:pt idx="530">
                  <c:v>-35.1701791382137</c:v>
                </c:pt>
                <c:pt idx="531">
                  <c:v>-35.2502586338211</c:v>
                </c:pt>
                <c:pt idx="532">
                  <c:v>-35.3300938879683</c:v>
                </c:pt>
                <c:pt idx="533">
                  <c:v>-35.4096863900732</c:v>
                </c:pt>
                <c:pt idx="534">
                  <c:v>-35.4890376159984</c:v>
                </c:pt>
                <c:pt idx="535">
                  <c:v>-35.5681490282149</c:v>
                </c:pt>
                <c:pt idx="536">
                  <c:v>-35.6470220759639</c:v>
                </c:pt>
                <c:pt idx="537">
                  <c:v>-35.7256581954151</c:v>
                </c:pt>
                <c:pt idx="538">
                  <c:v>-35.8040588098238</c:v>
                </c:pt>
                <c:pt idx="539">
                  <c:v>-35.882225329685</c:v>
                </c:pt>
                <c:pt idx="540">
                  <c:v>-35.9601591528853</c:v>
                </c:pt>
                <c:pt idx="541">
                  <c:v>-36.0378616648527</c:v>
                </c:pt>
                <c:pt idx="542">
                  <c:v>-36.1153342387041</c:v>
                </c:pt>
                <c:pt idx="543">
                  <c:v>-36.1925782353904</c:v>
                </c:pt>
                <c:pt idx="544">
                  <c:v>-36.26959500384</c:v>
                </c:pt>
                <c:pt idx="545">
                  <c:v>-36.3463858810999</c:v>
                </c:pt>
                <c:pt idx="546">
                  <c:v>-36.4229521924742</c:v>
                </c:pt>
                <c:pt idx="547">
                  <c:v>-36.4992952516617</c:v>
                </c:pt>
                <c:pt idx="548">
                  <c:v>-36.5754163608905</c:v>
                </c:pt>
                <c:pt idx="549">
                  <c:v>-36.6513168110515</c:v>
                </c:pt>
                <c:pt idx="550">
                  <c:v>-36.7269978818289</c:v>
                </c:pt>
                <c:pt idx="551">
                  <c:v>-36.8024608418299</c:v>
                </c:pt>
                <c:pt idx="552">
                  <c:v>-36.877706948712</c:v>
                </c:pt>
                <c:pt idx="553">
                  <c:v>-36.9527374493086</c:v>
                </c:pt>
                <c:pt idx="554">
                  <c:v>-37.0275535797524</c:v>
                </c:pt>
                <c:pt idx="555">
                  <c:v>-37.1021565655979</c:v>
                </c:pt>
                <c:pt idx="556">
                  <c:v>-37.1765476219414</c:v>
                </c:pt>
                <c:pt idx="557">
                  <c:v>-37.2507279535395</c:v>
                </c:pt>
                <c:pt idx="558">
                  <c:v>-37.3246987549264</c:v>
                </c:pt>
                <c:pt idx="559">
                  <c:v>-37.3984612105285</c:v>
                </c:pt>
                <c:pt idx="560">
                  <c:v>-37.4720164947785</c:v>
                </c:pt>
                <c:pt idx="561">
                  <c:v>-37.5453657722274</c:v>
                </c:pt>
                <c:pt idx="562">
                  <c:v>-37.6185101976547</c:v>
                </c:pt>
                <c:pt idx="563">
                  <c:v>-37.6914509161778</c:v>
                </c:pt>
                <c:pt idx="564">
                  <c:v>-37.7641890633588</c:v>
                </c:pt>
                <c:pt idx="565">
                  <c:v>-37.836725765311</c:v>
                </c:pt>
                <c:pt idx="566">
                  <c:v>-37.909062138803</c:v>
                </c:pt>
                <c:pt idx="567">
                  <c:v>-37.981199291362</c:v>
                </c:pt>
                <c:pt idx="568">
                  <c:v>-38.0531383213751</c:v>
                </c:pt>
                <c:pt idx="569">
                  <c:v>-38.1248803181898</c:v>
                </c:pt>
                <c:pt idx="570">
                  <c:v>-38.1964263622128</c:v>
                </c:pt>
                <c:pt idx="571">
                  <c:v>-38.2677775250074</c:v>
                </c:pt>
                <c:pt idx="572">
                  <c:v>-38.3389348693898</c:v>
                </c:pt>
                <c:pt idx="573">
                  <c:v>-38.4098994495239</c:v>
                </c:pt>
                <c:pt idx="574">
                  <c:v>-38.4806723110148</c:v>
                </c:pt>
                <c:pt idx="575">
                  <c:v>-38.5512544910014</c:v>
                </c:pt>
                <c:pt idx="576">
                  <c:v>-38.6216470182474</c:v>
                </c:pt>
                <c:pt idx="577">
                  <c:v>-38.691850913231</c:v>
                </c:pt>
                <c:pt idx="578">
                  <c:v>-38.7618671882338</c:v>
                </c:pt>
                <c:pt idx="579">
                  <c:v>-38.831696847428</c:v>
                </c:pt>
                <c:pt idx="580">
                  <c:v>-38.9013408869632</c:v>
                </c:pt>
                <c:pt idx="581">
                  <c:v>-38.9708002950511</c:v>
                </c:pt>
                <c:pt idx="582">
                  <c:v>-39.0400760520498</c:v>
                </c:pt>
                <c:pt idx="583">
                  <c:v>-39.1091691305467</c:v>
                </c:pt>
                <c:pt idx="584">
                  <c:v>-39.1780804954403</c:v>
                </c:pt>
                <c:pt idx="585">
                  <c:v>-39.2468111040212</c:v>
                </c:pt>
                <c:pt idx="586">
                  <c:v>-39.3153619060513</c:v>
                </c:pt>
                <c:pt idx="587">
                  <c:v>-39.3837338438433</c:v>
                </c:pt>
                <c:pt idx="588">
                  <c:v>-39.4519278523374</c:v>
                </c:pt>
                <c:pt idx="589">
                  <c:v>-39.5199448591789</c:v>
                </c:pt>
                <c:pt idx="590">
                  <c:v>-39.5877857847931</c:v>
                </c:pt>
                <c:pt idx="591">
                  <c:v>-39.6554515424603</c:v>
                </c:pt>
                <c:pt idx="592">
                  <c:v>-39.7229430383896</c:v>
                </c:pt>
                <c:pt idx="593">
                  <c:v>-39.7902611717914</c:v>
                </c:pt>
                <c:pt idx="594">
                  <c:v>-39.8574068349496</c:v>
                </c:pt>
                <c:pt idx="595">
                  <c:v>-39.9243809132921</c:v>
                </c:pt>
                <c:pt idx="596">
                  <c:v>-39.9911842854611</c:v>
                </c:pt>
                <c:pt idx="597">
                  <c:v>-40.057817823382</c:v>
                </c:pt>
                <c:pt idx="598">
                  <c:v>-40.1242823923321</c:v>
                </c:pt>
                <c:pt idx="599">
                  <c:v>-40.1905788510073</c:v>
                </c:pt>
                <c:pt idx="600">
                  <c:v>-40.2567080515892</c:v>
                </c:pt>
                <c:pt idx="601">
                  <c:v>-40.3226708398104</c:v>
                </c:pt>
                <c:pt idx="602">
                  <c:v>-40.3884680550198</c:v>
                </c:pt>
                <c:pt idx="603">
                  <c:v>-40.454100530246</c:v>
                </c:pt>
                <c:pt idx="604">
                  <c:v>-40.5195690922614</c:v>
                </c:pt>
                <c:pt idx="605">
                  <c:v>-40.5848745616438</c:v>
                </c:pt>
                <c:pt idx="606">
                  <c:v>-43.6587030122422</c:v>
                </c:pt>
                <c:pt idx="607">
                  <c:v>-46.4100213782112</c:v>
                </c:pt>
                <c:pt idx="608">
                  <c:v>-48.9004798580595</c:v>
                </c:pt>
                <c:pt idx="609">
                  <c:v>-51.1756189919891</c:v>
                </c:pt>
                <c:pt idx="610">
                  <c:v>-53.2700336973766</c:v>
                </c:pt>
                <c:pt idx="611">
                  <c:v>-55.2106211147739</c:v>
                </c:pt>
                <c:pt idx="612">
                  <c:v>-57.018706726001</c:v>
                </c:pt>
                <c:pt idx="613">
                  <c:v>-58.7114836907237</c:v>
                </c:pt>
                <c:pt idx="614">
                  <c:v>-60.3030155034985</c:v>
                </c:pt>
                <c:pt idx="615">
                  <c:v>-61.8049518805443</c:v>
                </c:pt>
                <c:pt idx="616">
                  <c:v>-63.2270509873224</c:v>
                </c:pt>
                <c:pt idx="617">
                  <c:v>-64.5775676539371</c:v>
                </c:pt>
                <c:pt idx="618">
                  <c:v>-65.0993366574725</c:v>
                </c:pt>
                <c:pt idx="619">
                  <c:v>-65.6111947975012</c:v>
                </c:pt>
                <c:pt idx="620">
                  <c:v>-66.1135231579871</c:v>
                </c:pt>
                <c:pt idx="621">
                  <c:v>-66.6066814247935</c:v>
                </c:pt>
                <c:pt idx="622">
                  <c:v>-67.0910094553879</c:v>
                </c:pt>
                <c:pt idx="623">
                  <c:v>-67.5668287071865</c:v>
                </c:pt>
                <c:pt idx="624">
                  <c:v>-68.0344435395442</c:v>
                </c:pt>
                <c:pt idx="625">
                  <c:v>-68.4941424025722</c:v>
                </c:pt>
                <c:pt idx="626">
                  <c:v>-68.9461989243847</c:v>
                </c:pt>
                <c:pt idx="627">
                  <c:v>-69.3908729070171</c:v>
                </c:pt>
                <c:pt idx="628">
                  <c:v>-69.8284112400665</c:v>
                </c:pt>
                <c:pt idx="629">
                  <c:v>-70.2590487400835</c:v>
                </c:pt>
                <c:pt idx="630">
                  <c:v>-70.6830089228374</c:v>
                </c:pt>
                <c:pt idx="631">
                  <c:v>-71.1005047147984</c:v>
                </c:pt>
                <c:pt idx="632">
                  <c:v>-71.5117391094885</c:v>
                </c:pt>
                <c:pt idx="633">
                  <c:v>-71.9169057737495</c:v>
                </c:pt>
                <c:pt idx="634">
                  <c:v>-72.3161896084474</c:v>
                </c:pt>
                <c:pt idx="635">
                  <c:v>-72.7097672676601</c:v>
                </c:pt>
                <c:pt idx="636">
                  <c:v>-73.0978076399862</c:v>
                </c:pt>
                <c:pt idx="637">
                  <c:v>-73.4804722952424</c:v>
                </c:pt>
                <c:pt idx="638">
                  <c:v>-73.8579158994956</c:v>
                </c:pt>
                <c:pt idx="639">
                  <c:v>-74.2302866010866</c:v>
                </c:pt>
                <c:pt idx="640">
                  <c:v>-74.5977263900442</c:v>
                </c:pt>
                <c:pt idx="641">
                  <c:v>-74.9603714330622</c:v>
                </c:pt>
                <c:pt idx="642">
                  <c:v>-75.318352386008</c:v>
                </c:pt>
                <c:pt idx="643">
                  <c:v>-75.6717946857458</c:v>
                </c:pt>
                <c:pt idx="644">
                  <c:v>-76.0208188228981</c:v>
                </c:pt>
                <c:pt idx="645">
                  <c:v>-76.3655405970205</c:v>
                </c:pt>
                <c:pt idx="646">
                  <c:v>-76.7060713555333</c:v>
                </c:pt>
                <c:pt idx="647">
                  <c:v>-77.0425182176362</c:v>
                </c:pt>
                <c:pt idx="648">
                  <c:v>-77.3749842843245</c:v>
                </c:pt>
                <c:pt idx="649">
                  <c:v>-77.70356883553</c:v>
                </c:pt>
                <c:pt idx="650">
                  <c:v>-78.028367515323</c:v>
                </c:pt>
                <c:pt idx="651">
                  <c:v>-78.3494725060329</c:v>
                </c:pt>
                <c:pt idx="652">
                  <c:v>-78.6669726920736</c:v>
                </c:pt>
                <c:pt idx="653">
                  <c:v>-78.9809538141971</c:v>
                </c:pt>
                <c:pt idx="654">
                  <c:v>-79.2914986148376</c:v>
                </c:pt>
                <c:pt idx="655">
                  <c:v>-79.5986869751583</c:v>
                </c:pt>
                <c:pt idx="656">
                  <c:v>-79.9025960443622</c:v>
                </c:pt>
                <c:pt idx="657">
                  <c:v>-80.2033003617862</c:v>
                </c:pt>
                <c:pt idx="658">
                  <c:v>-80.5008719722559</c:v>
                </c:pt>
                <c:pt idx="659">
                  <c:v>-80.7953805351436</c:v>
                </c:pt>
                <c:pt idx="660">
                  <c:v>-81.086893427538</c:v>
                </c:pt>
                <c:pt idx="661">
                  <c:v>-81.3754758419019</c:v>
                </c:pt>
                <c:pt idx="662">
                  <c:v>-81.6611908785697</c:v>
                </c:pt>
                <c:pt idx="663">
                  <c:v>-81.9440996334076</c:v>
                </c:pt>
                <c:pt idx="664">
                  <c:v>-82.2242612809369</c:v>
                </c:pt>
                <c:pt idx="665">
                  <c:v>-82.5017331532004</c:v>
                </c:pt>
                <c:pt idx="666">
                  <c:v>-82.7765708146308</c:v>
                </c:pt>
                <c:pt idx="667">
                  <c:v>-83.0488281331609</c:v>
                </c:pt>
              </c:numCache>
            </c:numRef>
          </c:yVal>
        </c:ser>
        <c:ser>
          <c:idx val="1"/>
          <c:order val="1"/>
          <c:tx>
            <c:strRef>
              <c:f>"LC Double Pole"</c:f>
              <c:strCache>
                <c:ptCount val="1"/>
                <c:pt idx="0">
                  <c:v>LC Double Pole</c:v>
                </c:pt>
              </c:strCache>
            </c:strRef>
          </c:tx>
          <c:spPr>
            <a:solidFill>
              <a:srgbClr val="000000"/>
            </a:solidFill>
            <a:ln w="28440">
              <a:solidFill>
                <a:srgbClr val="000000"/>
              </a:solidFill>
              <a:round/>
            </a:ln>
          </c:spPr>
          <c:marker>
            <c:size val="7"/>
          </c:marker>
          <c:xVal>
            <c:numRef>
              <c:f>'Bode Plots Calculations'!$B$683</c:f>
              <c:numCache>
                <c:formatCode>General</c:formatCode>
                <c:ptCount val="1"/>
                <c:pt idx="0">
                  <c:v>43.319474500104</c:v>
                </c:pt>
              </c:numCache>
            </c:numRef>
          </c:xVal>
          <c:yVal>
            <c:numRef>
              <c:f>'Bode Plots Calculations'!$BF$683</c:f>
              <c:numCache>
                <c:formatCode>General</c:formatCode>
                <c:ptCount val="1"/>
                <c:pt idx="0">
                  <c:v>57.2834841651032</c:v>
                </c:pt>
              </c:numCache>
            </c:numRef>
          </c:yVal>
        </c:ser>
        <c:ser>
          <c:idx val="2"/>
          <c:order val="2"/>
          <c:tx>
            <c:strRef>
              <c:f>"Fz1"</c:f>
              <c:strCache>
                <c:ptCount val="1"/>
                <c:pt idx="0">
                  <c:v>Fz1</c:v>
                </c:pt>
              </c:strCache>
            </c:strRef>
          </c:tx>
          <c:spPr>
            <a:solidFill>
              <a:srgbClr val="99ccff"/>
            </a:solidFill>
            <a:ln w="28440">
              <a:noFill/>
            </a:ln>
          </c:spPr>
          <c:marker>
            <c:size val="7"/>
          </c:marker>
          <c:xVal>
            <c:numRef>
              <c:f>'Bode Plots Calculations'!$B$684</c:f>
              <c:numCache>
                <c:formatCode>General</c:formatCode>
                <c:ptCount val="1"/>
                <c:pt idx="0">
                  <c:v>40.9349133934559</c:v>
                </c:pt>
              </c:numCache>
            </c:numRef>
          </c:xVal>
          <c:yVal>
            <c:numRef>
              <c:f>'Bode Plots Calculations'!$BF$684</c:f>
              <c:numCache>
                <c:formatCode>General</c:formatCode>
                <c:ptCount val="1"/>
                <c:pt idx="0">
                  <c:v>57.9070753283819</c:v>
                </c:pt>
              </c:numCache>
            </c:numRef>
          </c:yVal>
        </c:ser>
        <c:ser>
          <c:idx val="3"/>
          <c:order val="3"/>
          <c:tx>
            <c:strRef>
              <c:f>"Fz2"</c:f>
              <c:strCache>
                <c:ptCount val="1"/>
                <c:pt idx="0">
                  <c:v>Fz2</c:v>
                </c:pt>
              </c:strCache>
            </c:strRef>
          </c:tx>
          <c:spPr>
            <a:solidFill>
              <a:srgbClr val="99ccff"/>
            </a:solidFill>
            <a:ln w="28440">
              <a:noFill/>
            </a:ln>
          </c:spPr>
          <c:marker>
            <c:size val="7"/>
          </c:marker>
          <c:xVal>
            <c:numRef>
              <c:f>'Bode Plots Calculations'!$B$685</c:f>
              <c:numCache>
                <c:formatCode>General</c:formatCode>
                <c:ptCount val="1"/>
                <c:pt idx="0">
                  <c:v>0.0360748972920202</c:v>
                </c:pt>
              </c:numCache>
            </c:numRef>
          </c:xVal>
          <c:yVal>
            <c:numRef>
              <c:f>'Bode Plots Calculations'!$BF$685</c:f>
              <c:numCache>
                <c:formatCode>General</c:formatCode>
                <c:ptCount val="1"/>
                <c:pt idx="0">
                  <c:v>64.8507397930157</c:v>
                </c:pt>
              </c:numCache>
            </c:numRef>
          </c:yVal>
        </c:ser>
        <c:ser>
          <c:idx val="4"/>
          <c:order val="4"/>
          <c:tx>
            <c:strRef>
              <c:f>"Fp1"</c:f>
              <c:strCache>
                <c:ptCount val="1"/>
                <c:pt idx="0">
                  <c:v>Fp1</c:v>
                </c:pt>
              </c:strCache>
            </c:strRef>
          </c:tx>
          <c:spPr>
            <a:solidFill>
              <a:srgbClr val="99ccff"/>
            </a:solidFill>
            <a:ln w="28440">
              <a:noFill/>
            </a:ln>
          </c:spPr>
          <c:marker>
            <c:size val="7"/>
          </c:marker>
          <c:xVal>
            <c:numRef>
              <c:f>'Bode Plots Calculations'!$B$686</c:f>
              <c:numCache>
                <c:formatCode>General</c:formatCode>
                <c:ptCount val="1"/>
                <c:pt idx="0">
                  <c:v>13.4968574689413</c:v>
                </c:pt>
              </c:numCache>
            </c:numRef>
          </c:xVal>
          <c:yVal>
            <c:numRef>
              <c:f>'Bode Plots Calculations'!$BF$686</c:f>
              <c:numCache>
                <c:formatCode>General</c:formatCode>
                <c:ptCount val="1"/>
                <c:pt idx="0">
                  <c:v>59.8431458782025</c:v>
                </c:pt>
              </c:numCache>
            </c:numRef>
          </c:yVal>
        </c:ser>
        <c:ser>
          <c:idx val="5"/>
          <c:order val="5"/>
          <c:tx>
            <c:strRef>
              <c:f>"Fp2"</c:f>
              <c:strCache>
                <c:ptCount val="1"/>
                <c:pt idx="0">
                  <c:v>Fp2</c:v>
                </c:pt>
              </c:strCache>
            </c:strRef>
          </c:tx>
          <c:spPr>
            <a:solidFill>
              <a:srgbClr val="000000"/>
            </a:solidFill>
            <a:ln w="28440">
              <a:solidFill>
                <a:srgbClr val="000000"/>
              </a:solidFill>
              <a:round/>
            </a:ln>
          </c:spPr>
          <c:marker>
            <c:size val="7"/>
          </c:marker>
          <c:xVal>
            <c:numRef>
              <c:f>'Bode Plots Calculations'!$B$687</c:f>
              <c:numCache>
                <c:formatCode>General</c:formatCode>
                <c:ptCount val="1"/>
                <c:pt idx="0">
                  <c:v>368.414220541103</c:v>
                </c:pt>
              </c:numCache>
            </c:numRef>
          </c:xVal>
          <c:yVal>
            <c:numRef>
              <c:f>'Bode Plots Calculations'!$BF$687</c:f>
              <c:numCache>
                <c:formatCode>General</c:formatCode>
                <c:ptCount val="1"/>
                <c:pt idx="0">
                  <c:v>3.31355951114162</c:v>
                </c:pt>
              </c:numCache>
            </c:numRef>
          </c:yVal>
        </c:ser>
        <c:ser>
          <c:idx val="6"/>
          <c:order val="6"/>
          <c:tx>
            <c:strRef>
              <c:f>"F_ESR"</c:f>
              <c:strCache>
                <c:ptCount val="1"/>
                <c:pt idx="0">
                  <c:v>F_ESR</c:v>
                </c:pt>
              </c:strCache>
            </c:strRef>
          </c:tx>
          <c:spPr>
            <a:solidFill>
              <a:srgbClr val="99ccff"/>
            </a:solidFill>
            <a:ln w="28440">
              <a:noFill/>
            </a:ln>
          </c:spPr>
          <c:marker>
            <c:size val="7"/>
          </c:marker>
          <c:xVal>
            <c:numRef>
              <c:f>'Bode Plots Calculations'!$B$682</c:f>
              <c:numCache>
                <c:formatCode>General</c:formatCode>
                <c:ptCount val="1"/>
                <c:pt idx="0">
                  <c:v>159154.943273756</c:v>
                </c:pt>
              </c:numCache>
            </c:numRef>
          </c:xVal>
          <c:yVal>
            <c:numRef>
              <c:f>'Bode Plots Calculations'!$BF$682</c:f>
              <c:numCache>
                <c:formatCode>General</c:formatCode>
                <c:ptCount val="1"/>
                <c:pt idx="0">
                  <c:v>-167.251892565344</c:v>
                </c:pt>
              </c:numCache>
            </c:numRef>
          </c:yVal>
        </c:ser>
        <c:axId val="30370"/>
        <c:axId val="13972"/>
      </c:scatterChart>
      <c:scatterChart>
        <c:scatterStyle val="lineMarker"/>
        <c:varyColors val="0"/>
        <c:ser>
          <c:idx val="0"/>
          <c:order val="0"/>
          <c:tx>
            <c:strRef>
              <c:f>"Loop Phase"</c:f>
              <c:strCache>
                <c:ptCount val="1"/>
                <c:pt idx="0">
                  <c:v>Loop Phase</c:v>
                </c:pt>
              </c:strCache>
            </c:strRef>
          </c:tx>
          <c:spPr>
            <a:solidFill>
              <a:srgbClr val="002060"/>
            </a:solidFill>
            <a:ln w="34920">
              <a:solidFill>
                <a:srgbClr val="002060"/>
              </a:solidFill>
              <a:custDash/>
              <a:round/>
            </a:ln>
          </c:spPr>
          <c:marker>
            <c:size val="7"/>
          </c:marker>
          <c:xVal>
            <c:numRef>
              <c:f>'Bode Plots Calculations'!$B$9:$B$676</c:f>
              <c:numCache>
                <c:formatCode>General</c:formatCode>
                <c:ptCount val="668"/>
                <c:pt idx="0">
                  <c:v>0.001</c:v>
                </c:pt>
                <c:pt idx="1">
                  <c:v>0.002</c:v>
                </c:pt>
                <c:pt idx="2">
                  <c:v>0.003</c:v>
                </c:pt>
                <c:pt idx="3">
                  <c:v>0.004</c:v>
                </c:pt>
                <c:pt idx="4">
                  <c:v>0.005</c:v>
                </c:pt>
                <c:pt idx="5">
                  <c:v>0.006</c:v>
                </c:pt>
                <c:pt idx="6">
                  <c:v>0.007</c:v>
                </c:pt>
                <c:pt idx="7">
                  <c:v>0.008</c:v>
                </c:pt>
                <c:pt idx="8">
                  <c:v>0.009</c:v>
                </c:pt>
                <c:pt idx="9">
                  <c:v>0.01</c:v>
                </c:pt>
                <c:pt idx="10">
                  <c:v>0.02</c:v>
                </c:pt>
                <c:pt idx="11">
                  <c:v>0.03</c:v>
                </c:pt>
                <c:pt idx="12">
                  <c:v>0.04</c:v>
                </c:pt>
                <c:pt idx="13">
                  <c:v>0.05</c:v>
                </c:pt>
                <c:pt idx="14">
                  <c:v>0.06</c:v>
                </c:pt>
                <c:pt idx="15">
                  <c:v>0.07</c:v>
                </c:pt>
                <c:pt idx="16">
                  <c:v>0.08</c:v>
                </c:pt>
                <c:pt idx="17">
                  <c:v>0.09</c:v>
                </c:pt>
                <c:pt idx="18">
                  <c:v>0.1</c:v>
                </c:pt>
                <c:pt idx="19">
                  <c:v>0.2</c:v>
                </c:pt>
                <c:pt idx="20">
                  <c:v>0.3</c:v>
                </c:pt>
                <c:pt idx="21">
                  <c:v>0.4</c:v>
                </c:pt>
                <c:pt idx="22">
                  <c:v>0.5</c:v>
                </c:pt>
                <c:pt idx="23">
                  <c:v>0.6</c:v>
                </c:pt>
                <c:pt idx="24">
                  <c:v>0.7</c:v>
                </c:pt>
                <c:pt idx="25">
                  <c:v>0.8</c:v>
                </c:pt>
                <c:pt idx="26">
                  <c:v>0.9</c:v>
                </c:pt>
                <c:pt idx="27">
                  <c:v>1</c:v>
                </c:pt>
                <c:pt idx="28">
                  <c:v>1.5</c:v>
                </c:pt>
                <c:pt idx="29">
                  <c:v>2</c:v>
                </c:pt>
                <c:pt idx="30">
                  <c:v>2.5</c:v>
                </c:pt>
                <c:pt idx="31">
                  <c:v>3</c:v>
                </c:pt>
                <c:pt idx="32">
                  <c:v>3.5</c:v>
                </c:pt>
                <c:pt idx="33">
                  <c:v>4</c:v>
                </c:pt>
                <c:pt idx="34">
                  <c:v>4.5</c:v>
                </c:pt>
                <c:pt idx="35">
                  <c:v>5</c:v>
                </c:pt>
                <c:pt idx="36">
                  <c:v>5.5</c:v>
                </c:pt>
                <c:pt idx="37">
                  <c:v>6</c:v>
                </c:pt>
                <c:pt idx="38">
                  <c:v>6.5</c:v>
                </c:pt>
                <c:pt idx="39">
                  <c:v>7</c:v>
                </c:pt>
                <c:pt idx="40">
                  <c:v>7.5</c:v>
                </c:pt>
                <c:pt idx="41">
                  <c:v>8</c:v>
                </c:pt>
                <c:pt idx="42">
                  <c:v>8.5</c:v>
                </c:pt>
                <c:pt idx="43">
                  <c:v>9</c:v>
                </c:pt>
                <c:pt idx="44">
                  <c:v>9.5</c:v>
                </c:pt>
                <c:pt idx="45">
                  <c:v>10</c:v>
                </c:pt>
                <c:pt idx="46">
                  <c:v>10.5</c:v>
                </c:pt>
                <c:pt idx="47">
                  <c:v>11</c:v>
                </c:pt>
                <c:pt idx="48">
                  <c:v>11.5</c:v>
                </c:pt>
                <c:pt idx="49">
                  <c:v>12</c:v>
                </c:pt>
                <c:pt idx="50">
                  <c:v>12.5</c:v>
                </c:pt>
                <c:pt idx="51">
                  <c:v>13</c:v>
                </c:pt>
                <c:pt idx="52">
                  <c:v>13.5</c:v>
                </c:pt>
                <c:pt idx="53">
                  <c:v>14</c:v>
                </c:pt>
                <c:pt idx="54">
                  <c:v>14.5</c:v>
                </c:pt>
                <c:pt idx="55">
                  <c:v>15</c:v>
                </c:pt>
                <c:pt idx="56">
                  <c:v>15.5</c:v>
                </c:pt>
                <c:pt idx="57">
                  <c:v>16</c:v>
                </c:pt>
                <c:pt idx="58">
                  <c:v>16.5</c:v>
                </c:pt>
                <c:pt idx="59">
                  <c:v>17</c:v>
                </c:pt>
                <c:pt idx="60">
                  <c:v>17.5</c:v>
                </c:pt>
                <c:pt idx="61">
                  <c:v>18</c:v>
                </c:pt>
                <c:pt idx="62">
                  <c:v>18.5</c:v>
                </c:pt>
                <c:pt idx="63">
                  <c:v>19</c:v>
                </c:pt>
                <c:pt idx="64">
                  <c:v>19.5</c:v>
                </c:pt>
                <c:pt idx="65">
                  <c:v>20</c:v>
                </c:pt>
                <c:pt idx="66">
                  <c:v>20.5</c:v>
                </c:pt>
                <c:pt idx="67">
                  <c:v>21</c:v>
                </c:pt>
                <c:pt idx="68">
                  <c:v>21.5</c:v>
                </c:pt>
                <c:pt idx="69">
                  <c:v>22</c:v>
                </c:pt>
                <c:pt idx="70">
                  <c:v>22.5</c:v>
                </c:pt>
                <c:pt idx="71">
                  <c:v>23</c:v>
                </c:pt>
                <c:pt idx="72">
                  <c:v>23.5</c:v>
                </c:pt>
                <c:pt idx="73">
                  <c:v>24</c:v>
                </c:pt>
                <c:pt idx="74">
                  <c:v>24.5</c:v>
                </c:pt>
                <c:pt idx="75">
                  <c:v>25</c:v>
                </c:pt>
                <c:pt idx="76">
                  <c:v>25.5</c:v>
                </c:pt>
                <c:pt idx="77">
                  <c:v>26</c:v>
                </c:pt>
                <c:pt idx="78">
                  <c:v>26.5</c:v>
                </c:pt>
                <c:pt idx="79">
                  <c:v>27</c:v>
                </c:pt>
                <c:pt idx="80">
                  <c:v>27.5</c:v>
                </c:pt>
                <c:pt idx="81">
                  <c:v>28</c:v>
                </c:pt>
                <c:pt idx="82">
                  <c:v>28.5</c:v>
                </c:pt>
                <c:pt idx="83">
                  <c:v>29</c:v>
                </c:pt>
                <c:pt idx="84">
                  <c:v>29.5</c:v>
                </c:pt>
                <c:pt idx="85">
                  <c:v>30</c:v>
                </c:pt>
                <c:pt idx="86">
                  <c:v>30.5</c:v>
                </c:pt>
                <c:pt idx="87">
                  <c:v>31</c:v>
                </c:pt>
                <c:pt idx="88">
                  <c:v>31.5</c:v>
                </c:pt>
                <c:pt idx="89">
                  <c:v>32</c:v>
                </c:pt>
                <c:pt idx="90">
                  <c:v>32.5</c:v>
                </c:pt>
                <c:pt idx="91">
                  <c:v>33</c:v>
                </c:pt>
                <c:pt idx="92">
                  <c:v>33.5</c:v>
                </c:pt>
                <c:pt idx="93">
                  <c:v>34</c:v>
                </c:pt>
                <c:pt idx="94">
                  <c:v>34.5</c:v>
                </c:pt>
                <c:pt idx="95">
                  <c:v>35</c:v>
                </c:pt>
                <c:pt idx="96">
                  <c:v>35.5</c:v>
                </c:pt>
                <c:pt idx="97">
                  <c:v>36</c:v>
                </c:pt>
                <c:pt idx="98">
                  <c:v>36.5</c:v>
                </c:pt>
                <c:pt idx="99">
                  <c:v>37</c:v>
                </c:pt>
                <c:pt idx="100">
                  <c:v>37.5</c:v>
                </c:pt>
                <c:pt idx="101">
                  <c:v>38</c:v>
                </c:pt>
                <c:pt idx="102">
                  <c:v>38.5</c:v>
                </c:pt>
                <c:pt idx="103">
                  <c:v>39</c:v>
                </c:pt>
                <c:pt idx="104">
                  <c:v>39.5</c:v>
                </c:pt>
                <c:pt idx="105">
                  <c:v>40</c:v>
                </c:pt>
                <c:pt idx="106">
                  <c:v>40.5</c:v>
                </c:pt>
                <c:pt idx="107">
                  <c:v>41</c:v>
                </c:pt>
                <c:pt idx="108">
                  <c:v>41.5</c:v>
                </c:pt>
                <c:pt idx="109">
                  <c:v>42</c:v>
                </c:pt>
                <c:pt idx="110">
                  <c:v>42.5</c:v>
                </c:pt>
                <c:pt idx="111">
                  <c:v>43</c:v>
                </c:pt>
                <c:pt idx="112">
                  <c:v>43.5</c:v>
                </c:pt>
                <c:pt idx="113">
                  <c:v>44</c:v>
                </c:pt>
                <c:pt idx="114">
                  <c:v>44.5</c:v>
                </c:pt>
                <c:pt idx="115">
                  <c:v>45</c:v>
                </c:pt>
                <c:pt idx="116">
                  <c:v>45.5</c:v>
                </c:pt>
                <c:pt idx="117">
                  <c:v>46</c:v>
                </c:pt>
                <c:pt idx="118">
                  <c:v>46.5</c:v>
                </c:pt>
                <c:pt idx="119">
                  <c:v>47</c:v>
                </c:pt>
                <c:pt idx="120">
                  <c:v>47.5</c:v>
                </c:pt>
                <c:pt idx="121">
                  <c:v>48</c:v>
                </c:pt>
                <c:pt idx="122">
                  <c:v>48.5</c:v>
                </c:pt>
                <c:pt idx="123">
                  <c:v>49</c:v>
                </c:pt>
                <c:pt idx="124">
                  <c:v>49.5</c:v>
                </c:pt>
                <c:pt idx="125">
                  <c:v>50</c:v>
                </c:pt>
                <c:pt idx="126">
                  <c:v>50.5</c:v>
                </c:pt>
                <c:pt idx="127">
                  <c:v>51</c:v>
                </c:pt>
                <c:pt idx="128">
                  <c:v>51.5</c:v>
                </c:pt>
                <c:pt idx="129">
                  <c:v>52</c:v>
                </c:pt>
                <c:pt idx="130">
                  <c:v>52.5</c:v>
                </c:pt>
                <c:pt idx="131">
                  <c:v>53</c:v>
                </c:pt>
                <c:pt idx="132">
                  <c:v>53.5</c:v>
                </c:pt>
                <c:pt idx="133">
                  <c:v>54</c:v>
                </c:pt>
                <c:pt idx="134">
                  <c:v>54.5</c:v>
                </c:pt>
                <c:pt idx="135">
                  <c:v>55</c:v>
                </c:pt>
                <c:pt idx="136">
                  <c:v>55.5</c:v>
                </c:pt>
                <c:pt idx="137">
                  <c:v>56</c:v>
                </c:pt>
                <c:pt idx="138">
                  <c:v>56.5</c:v>
                </c:pt>
                <c:pt idx="139">
                  <c:v>57</c:v>
                </c:pt>
                <c:pt idx="140">
                  <c:v>57.5</c:v>
                </c:pt>
                <c:pt idx="141">
                  <c:v>58</c:v>
                </c:pt>
                <c:pt idx="142">
                  <c:v>58.5</c:v>
                </c:pt>
                <c:pt idx="143">
                  <c:v>59</c:v>
                </c:pt>
                <c:pt idx="144">
                  <c:v>59.5</c:v>
                </c:pt>
                <c:pt idx="145">
                  <c:v>60</c:v>
                </c:pt>
                <c:pt idx="146">
                  <c:v>60.5</c:v>
                </c:pt>
                <c:pt idx="147">
                  <c:v>61</c:v>
                </c:pt>
                <c:pt idx="148">
                  <c:v>61.5</c:v>
                </c:pt>
                <c:pt idx="149">
                  <c:v>62</c:v>
                </c:pt>
                <c:pt idx="150">
                  <c:v>62.5</c:v>
                </c:pt>
                <c:pt idx="151">
                  <c:v>63</c:v>
                </c:pt>
                <c:pt idx="152">
                  <c:v>63.5</c:v>
                </c:pt>
                <c:pt idx="153">
                  <c:v>64</c:v>
                </c:pt>
                <c:pt idx="154">
                  <c:v>64.5</c:v>
                </c:pt>
                <c:pt idx="155">
                  <c:v>65</c:v>
                </c:pt>
                <c:pt idx="156">
                  <c:v>65.5</c:v>
                </c:pt>
                <c:pt idx="157">
                  <c:v>66</c:v>
                </c:pt>
                <c:pt idx="158">
                  <c:v>66.5</c:v>
                </c:pt>
                <c:pt idx="159">
                  <c:v>67</c:v>
                </c:pt>
                <c:pt idx="160">
                  <c:v>67.5</c:v>
                </c:pt>
                <c:pt idx="161">
                  <c:v>68</c:v>
                </c:pt>
                <c:pt idx="162">
                  <c:v>68.5</c:v>
                </c:pt>
                <c:pt idx="163">
                  <c:v>69</c:v>
                </c:pt>
                <c:pt idx="164">
                  <c:v>69.5</c:v>
                </c:pt>
                <c:pt idx="165">
                  <c:v>70</c:v>
                </c:pt>
                <c:pt idx="166">
                  <c:v>70.5</c:v>
                </c:pt>
                <c:pt idx="167">
                  <c:v>71</c:v>
                </c:pt>
                <c:pt idx="168">
                  <c:v>71.5</c:v>
                </c:pt>
                <c:pt idx="169">
                  <c:v>72</c:v>
                </c:pt>
                <c:pt idx="170">
                  <c:v>72.5</c:v>
                </c:pt>
                <c:pt idx="171">
                  <c:v>73</c:v>
                </c:pt>
                <c:pt idx="172">
                  <c:v>73.5</c:v>
                </c:pt>
                <c:pt idx="173">
                  <c:v>74</c:v>
                </c:pt>
                <c:pt idx="174">
                  <c:v>74.5</c:v>
                </c:pt>
                <c:pt idx="175">
                  <c:v>75</c:v>
                </c:pt>
                <c:pt idx="176">
                  <c:v>75.5</c:v>
                </c:pt>
                <c:pt idx="177">
                  <c:v>76</c:v>
                </c:pt>
                <c:pt idx="178">
                  <c:v>76.5</c:v>
                </c:pt>
                <c:pt idx="179">
                  <c:v>77</c:v>
                </c:pt>
                <c:pt idx="180">
                  <c:v>77.5</c:v>
                </c:pt>
                <c:pt idx="181">
                  <c:v>78</c:v>
                </c:pt>
                <c:pt idx="182">
                  <c:v>78.5</c:v>
                </c:pt>
                <c:pt idx="183">
                  <c:v>79</c:v>
                </c:pt>
                <c:pt idx="184">
                  <c:v>79.5</c:v>
                </c:pt>
                <c:pt idx="185">
                  <c:v>80</c:v>
                </c:pt>
                <c:pt idx="186">
                  <c:v>80.5</c:v>
                </c:pt>
                <c:pt idx="187">
                  <c:v>81</c:v>
                </c:pt>
                <c:pt idx="188">
                  <c:v>81.5</c:v>
                </c:pt>
                <c:pt idx="189">
                  <c:v>82</c:v>
                </c:pt>
                <c:pt idx="190">
                  <c:v>82.5</c:v>
                </c:pt>
                <c:pt idx="191">
                  <c:v>83</c:v>
                </c:pt>
                <c:pt idx="192">
                  <c:v>83.5</c:v>
                </c:pt>
                <c:pt idx="193">
                  <c:v>84</c:v>
                </c:pt>
                <c:pt idx="194">
                  <c:v>84.5</c:v>
                </c:pt>
                <c:pt idx="195">
                  <c:v>85</c:v>
                </c:pt>
                <c:pt idx="196">
                  <c:v>85.5</c:v>
                </c:pt>
                <c:pt idx="197">
                  <c:v>86</c:v>
                </c:pt>
                <c:pt idx="198">
                  <c:v>86.5</c:v>
                </c:pt>
                <c:pt idx="199">
                  <c:v>87</c:v>
                </c:pt>
                <c:pt idx="200">
                  <c:v>87.5</c:v>
                </c:pt>
                <c:pt idx="201">
                  <c:v>88</c:v>
                </c:pt>
                <c:pt idx="202">
                  <c:v>88.5</c:v>
                </c:pt>
                <c:pt idx="203">
                  <c:v>89</c:v>
                </c:pt>
                <c:pt idx="204">
                  <c:v>89.5</c:v>
                </c:pt>
                <c:pt idx="205">
                  <c:v>90</c:v>
                </c:pt>
                <c:pt idx="206">
                  <c:v>90.5</c:v>
                </c:pt>
                <c:pt idx="207">
                  <c:v>91</c:v>
                </c:pt>
                <c:pt idx="208">
                  <c:v>91.5</c:v>
                </c:pt>
                <c:pt idx="209">
                  <c:v>92</c:v>
                </c:pt>
                <c:pt idx="210">
                  <c:v>92.5</c:v>
                </c:pt>
                <c:pt idx="211">
                  <c:v>93</c:v>
                </c:pt>
                <c:pt idx="212">
                  <c:v>93.5</c:v>
                </c:pt>
                <c:pt idx="213">
                  <c:v>94</c:v>
                </c:pt>
                <c:pt idx="214">
                  <c:v>94.5</c:v>
                </c:pt>
                <c:pt idx="215">
                  <c:v>95</c:v>
                </c:pt>
                <c:pt idx="216">
                  <c:v>95.5</c:v>
                </c:pt>
                <c:pt idx="217">
                  <c:v>96</c:v>
                </c:pt>
                <c:pt idx="218">
                  <c:v>96.5</c:v>
                </c:pt>
                <c:pt idx="219">
                  <c:v>97</c:v>
                </c:pt>
                <c:pt idx="220">
                  <c:v>97.5</c:v>
                </c:pt>
                <c:pt idx="221">
                  <c:v>98</c:v>
                </c:pt>
                <c:pt idx="222">
                  <c:v>98.5</c:v>
                </c:pt>
                <c:pt idx="223">
                  <c:v>99</c:v>
                </c:pt>
                <c:pt idx="224">
                  <c:v>99.5</c:v>
                </c:pt>
                <c:pt idx="225">
                  <c:v>100</c:v>
                </c:pt>
                <c:pt idx="226">
                  <c:v>105</c:v>
                </c:pt>
                <c:pt idx="227">
                  <c:v>110</c:v>
                </c:pt>
                <c:pt idx="228">
                  <c:v>115</c:v>
                </c:pt>
                <c:pt idx="229">
                  <c:v>120</c:v>
                </c:pt>
                <c:pt idx="230">
                  <c:v>125</c:v>
                </c:pt>
                <c:pt idx="231">
                  <c:v>130</c:v>
                </c:pt>
                <c:pt idx="232">
                  <c:v>135</c:v>
                </c:pt>
                <c:pt idx="233">
                  <c:v>140</c:v>
                </c:pt>
                <c:pt idx="234">
                  <c:v>145</c:v>
                </c:pt>
                <c:pt idx="235">
                  <c:v>150</c:v>
                </c:pt>
                <c:pt idx="236">
                  <c:v>155</c:v>
                </c:pt>
                <c:pt idx="237">
                  <c:v>160</c:v>
                </c:pt>
                <c:pt idx="238">
                  <c:v>165</c:v>
                </c:pt>
                <c:pt idx="239">
                  <c:v>170</c:v>
                </c:pt>
                <c:pt idx="240">
                  <c:v>175</c:v>
                </c:pt>
                <c:pt idx="241">
                  <c:v>180</c:v>
                </c:pt>
                <c:pt idx="242">
                  <c:v>185</c:v>
                </c:pt>
                <c:pt idx="243">
                  <c:v>190</c:v>
                </c:pt>
                <c:pt idx="244">
                  <c:v>195</c:v>
                </c:pt>
                <c:pt idx="245">
                  <c:v>200</c:v>
                </c:pt>
                <c:pt idx="246">
                  <c:v>205</c:v>
                </c:pt>
                <c:pt idx="247">
                  <c:v>210</c:v>
                </c:pt>
                <c:pt idx="248">
                  <c:v>215</c:v>
                </c:pt>
                <c:pt idx="249">
                  <c:v>220</c:v>
                </c:pt>
                <c:pt idx="250">
                  <c:v>225</c:v>
                </c:pt>
                <c:pt idx="251">
                  <c:v>230</c:v>
                </c:pt>
                <c:pt idx="252">
                  <c:v>235</c:v>
                </c:pt>
                <c:pt idx="253">
                  <c:v>240</c:v>
                </c:pt>
                <c:pt idx="254">
                  <c:v>245</c:v>
                </c:pt>
                <c:pt idx="255">
                  <c:v>250</c:v>
                </c:pt>
                <c:pt idx="256">
                  <c:v>255</c:v>
                </c:pt>
                <c:pt idx="257">
                  <c:v>260</c:v>
                </c:pt>
                <c:pt idx="258">
                  <c:v>265</c:v>
                </c:pt>
                <c:pt idx="259">
                  <c:v>270</c:v>
                </c:pt>
                <c:pt idx="260">
                  <c:v>275</c:v>
                </c:pt>
                <c:pt idx="261">
                  <c:v>280</c:v>
                </c:pt>
                <c:pt idx="262">
                  <c:v>285</c:v>
                </c:pt>
                <c:pt idx="263">
                  <c:v>290</c:v>
                </c:pt>
                <c:pt idx="264">
                  <c:v>295</c:v>
                </c:pt>
                <c:pt idx="265">
                  <c:v>300</c:v>
                </c:pt>
                <c:pt idx="266">
                  <c:v>305</c:v>
                </c:pt>
                <c:pt idx="267">
                  <c:v>310</c:v>
                </c:pt>
                <c:pt idx="268">
                  <c:v>315</c:v>
                </c:pt>
                <c:pt idx="269">
                  <c:v>320</c:v>
                </c:pt>
                <c:pt idx="270">
                  <c:v>325</c:v>
                </c:pt>
                <c:pt idx="271">
                  <c:v>330</c:v>
                </c:pt>
                <c:pt idx="272">
                  <c:v>335</c:v>
                </c:pt>
                <c:pt idx="273">
                  <c:v>340</c:v>
                </c:pt>
                <c:pt idx="274">
                  <c:v>345</c:v>
                </c:pt>
                <c:pt idx="275">
                  <c:v>350</c:v>
                </c:pt>
                <c:pt idx="276">
                  <c:v>355</c:v>
                </c:pt>
                <c:pt idx="277">
                  <c:v>360</c:v>
                </c:pt>
                <c:pt idx="278">
                  <c:v>365</c:v>
                </c:pt>
                <c:pt idx="279">
                  <c:v>370</c:v>
                </c:pt>
                <c:pt idx="280">
                  <c:v>375</c:v>
                </c:pt>
                <c:pt idx="281">
                  <c:v>380</c:v>
                </c:pt>
                <c:pt idx="282">
                  <c:v>385</c:v>
                </c:pt>
                <c:pt idx="283">
                  <c:v>390</c:v>
                </c:pt>
                <c:pt idx="284">
                  <c:v>395</c:v>
                </c:pt>
                <c:pt idx="285">
                  <c:v>400</c:v>
                </c:pt>
                <c:pt idx="286">
                  <c:v>405</c:v>
                </c:pt>
                <c:pt idx="287">
                  <c:v>410</c:v>
                </c:pt>
                <c:pt idx="288">
                  <c:v>415</c:v>
                </c:pt>
                <c:pt idx="289">
                  <c:v>420</c:v>
                </c:pt>
                <c:pt idx="290">
                  <c:v>425</c:v>
                </c:pt>
                <c:pt idx="291">
                  <c:v>430</c:v>
                </c:pt>
                <c:pt idx="292">
                  <c:v>435</c:v>
                </c:pt>
                <c:pt idx="293">
                  <c:v>440</c:v>
                </c:pt>
                <c:pt idx="294">
                  <c:v>445</c:v>
                </c:pt>
                <c:pt idx="295">
                  <c:v>450</c:v>
                </c:pt>
                <c:pt idx="296">
                  <c:v>455</c:v>
                </c:pt>
                <c:pt idx="297">
                  <c:v>460</c:v>
                </c:pt>
                <c:pt idx="298">
                  <c:v>465</c:v>
                </c:pt>
                <c:pt idx="299">
                  <c:v>470</c:v>
                </c:pt>
                <c:pt idx="300">
                  <c:v>475</c:v>
                </c:pt>
                <c:pt idx="301">
                  <c:v>480</c:v>
                </c:pt>
                <c:pt idx="302">
                  <c:v>485</c:v>
                </c:pt>
                <c:pt idx="303">
                  <c:v>490</c:v>
                </c:pt>
                <c:pt idx="304">
                  <c:v>495</c:v>
                </c:pt>
                <c:pt idx="305">
                  <c:v>500</c:v>
                </c:pt>
                <c:pt idx="306">
                  <c:v>505</c:v>
                </c:pt>
                <c:pt idx="307">
                  <c:v>510</c:v>
                </c:pt>
                <c:pt idx="308">
                  <c:v>515</c:v>
                </c:pt>
                <c:pt idx="309">
                  <c:v>520</c:v>
                </c:pt>
                <c:pt idx="310">
                  <c:v>525</c:v>
                </c:pt>
                <c:pt idx="311">
                  <c:v>530</c:v>
                </c:pt>
                <c:pt idx="312">
                  <c:v>535</c:v>
                </c:pt>
                <c:pt idx="313">
                  <c:v>540</c:v>
                </c:pt>
                <c:pt idx="314">
                  <c:v>545</c:v>
                </c:pt>
                <c:pt idx="315">
                  <c:v>550</c:v>
                </c:pt>
                <c:pt idx="316">
                  <c:v>555</c:v>
                </c:pt>
                <c:pt idx="317">
                  <c:v>560</c:v>
                </c:pt>
                <c:pt idx="318">
                  <c:v>565</c:v>
                </c:pt>
                <c:pt idx="319">
                  <c:v>570</c:v>
                </c:pt>
                <c:pt idx="320">
                  <c:v>575</c:v>
                </c:pt>
                <c:pt idx="321">
                  <c:v>580</c:v>
                </c:pt>
                <c:pt idx="322">
                  <c:v>585</c:v>
                </c:pt>
                <c:pt idx="323">
                  <c:v>590</c:v>
                </c:pt>
                <c:pt idx="324">
                  <c:v>595</c:v>
                </c:pt>
                <c:pt idx="325">
                  <c:v>600</c:v>
                </c:pt>
                <c:pt idx="326">
                  <c:v>605</c:v>
                </c:pt>
                <c:pt idx="327">
                  <c:v>610</c:v>
                </c:pt>
                <c:pt idx="328">
                  <c:v>615</c:v>
                </c:pt>
                <c:pt idx="329">
                  <c:v>620</c:v>
                </c:pt>
                <c:pt idx="330">
                  <c:v>625</c:v>
                </c:pt>
                <c:pt idx="331">
                  <c:v>630</c:v>
                </c:pt>
                <c:pt idx="332">
                  <c:v>635</c:v>
                </c:pt>
                <c:pt idx="333">
                  <c:v>640</c:v>
                </c:pt>
                <c:pt idx="334">
                  <c:v>645</c:v>
                </c:pt>
                <c:pt idx="335">
                  <c:v>650</c:v>
                </c:pt>
                <c:pt idx="336">
                  <c:v>655</c:v>
                </c:pt>
                <c:pt idx="337">
                  <c:v>660</c:v>
                </c:pt>
                <c:pt idx="338">
                  <c:v>665</c:v>
                </c:pt>
                <c:pt idx="339">
                  <c:v>670</c:v>
                </c:pt>
                <c:pt idx="340">
                  <c:v>675</c:v>
                </c:pt>
                <c:pt idx="341">
                  <c:v>680</c:v>
                </c:pt>
                <c:pt idx="342">
                  <c:v>685</c:v>
                </c:pt>
                <c:pt idx="343">
                  <c:v>690</c:v>
                </c:pt>
                <c:pt idx="344">
                  <c:v>695</c:v>
                </c:pt>
                <c:pt idx="345">
                  <c:v>700</c:v>
                </c:pt>
                <c:pt idx="346">
                  <c:v>705</c:v>
                </c:pt>
                <c:pt idx="347">
                  <c:v>710</c:v>
                </c:pt>
                <c:pt idx="348">
                  <c:v>715</c:v>
                </c:pt>
                <c:pt idx="349">
                  <c:v>720</c:v>
                </c:pt>
                <c:pt idx="350">
                  <c:v>725</c:v>
                </c:pt>
                <c:pt idx="351">
                  <c:v>730</c:v>
                </c:pt>
                <c:pt idx="352">
                  <c:v>735</c:v>
                </c:pt>
                <c:pt idx="353">
                  <c:v>740</c:v>
                </c:pt>
                <c:pt idx="354">
                  <c:v>745</c:v>
                </c:pt>
                <c:pt idx="355">
                  <c:v>750</c:v>
                </c:pt>
                <c:pt idx="356">
                  <c:v>755</c:v>
                </c:pt>
                <c:pt idx="357">
                  <c:v>760</c:v>
                </c:pt>
                <c:pt idx="358">
                  <c:v>765</c:v>
                </c:pt>
                <c:pt idx="359">
                  <c:v>770</c:v>
                </c:pt>
                <c:pt idx="360">
                  <c:v>775</c:v>
                </c:pt>
                <c:pt idx="361">
                  <c:v>780</c:v>
                </c:pt>
                <c:pt idx="362">
                  <c:v>785</c:v>
                </c:pt>
                <c:pt idx="363">
                  <c:v>790</c:v>
                </c:pt>
                <c:pt idx="364">
                  <c:v>795</c:v>
                </c:pt>
                <c:pt idx="365">
                  <c:v>800</c:v>
                </c:pt>
                <c:pt idx="366">
                  <c:v>805</c:v>
                </c:pt>
                <c:pt idx="367">
                  <c:v>810</c:v>
                </c:pt>
                <c:pt idx="368">
                  <c:v>815</c:v>
                </c:pt>
                <c:pt idx="369">
                  <c:v>820</c:v>
                </c:pt>
                <c:pt idx="370">
                  <c:v>825</c:v>
                </c:pt>
                <c:pt idx="371">
                  <c:v>830</c:v>
                </c:pt>
                <c:pt idx="372">
                  <c:v>835</c:v>
                </c:pt>
                <c:pt idx="373">
                  <c:v>840</c:v>
                </c:pt>
                <c:pt idx="374">
                  <c:v>845</c:v>
                </c:pt>
                <c:pt idx="375">
                  <c:v>850</c:v>
                </c:pt>
                <c:pt idx="376">
                  <c:v>855</c:v>
                </c:pt>
                <c:pt idx="377">
                  <c:v>860</c:v>
                </c:pt>
                <c:pt idx="378">
                  <c:v>865</c:v>
                </c:pt>
                <c:pt idx="379">
                  <c:v>870</c:v>
                </c:pt>
                <c:pt idx="380">
                  <c:v>875</c:v>
                </c:pt>
                <c:pt idx="381">
                  <c:v>880</c:v>
                </c:pt>
                <c:pt idx="382">
                  <c:v>885</c:v>
                </c:pt>
                <c:pt idx="383">
                  <c:v>890</c:v>
                </c:pt>
                <c:pt idx="384">
                  <c:v>895</c:v>
                </c:pt>
                <c:pt idx="385">
                  <c:v>900</c:v>
                </c:pt>
                <c:pt idx="386">
                  <c:v>905</c:v>
                </c:pt>
                <c:pt idx="387">
                  <c:v>910</c:v>
                </c:pt>
                <c:pt idx="388">
                  <c:v>915</c:v>
                </c:pt>
                <c:pt idx="389">
                  <c:v>920</c:v>
                </c:pt>
                <c:pt idx="390">
                  <c:v>925</c:v>
                </c:pt>
                <c:pt idx="391">
                  <c:v>930</c:v>
                </c:pt>
                <c:pt idx="392">
                  <c:v>935</c:v>
                </c:pt>
                <c:pt idx="393">
                  <c:v>940</c:v>
                </c:pt>
                <c:pt idx="394">
                  <c:v>945</c:v>
                </c:pt>
                <c:pt idx="395">
                  <c:v>950</c:v>
                </c:pt>
                <c:pt idx="396">
                  <c:v>955</c:v>
                </c:pt>
                <c:pt idx="397">
                  <c:v>960</c:v>
                </c:pt>
                <c:pt idx="398">
                  <c:v>965</c:v>
                </c:pt>
                <c:pt idx="399">
                  <c:v>970</c:v>
                </c:pt>
                <c:pt idx="400">
                  <c:v>975</c:v>
                </c:pt>
                <c:pt idx="401">
                  <c:v>980</c:v>
                </c:pt>
                <c:pt idx="402">
                  <c:v>985</c:v>
                </c:pt>
                <c:pt idx="403">
                  <c:v>990</c:v>
                </c:pt>
                <c:pt idx="404">
                  <c:v>995</c:v>
                </c:pt>
                <c:pt idx="405">
                  <c:v>1000</c:v>
                </c:pt>
                <c:pt idx="406">
                  <c:v>1005</c:v>
                </c:pt>
                <c:pt idx="407">
                  <c:v>1010</c:v>
                </c:pt>
                <c:pt idx="408">
                  <c:v>1015</c:v>
                </c:pt>
                <c:pt idx="409">
                  <c:v>1020</c:v>
                </c:pt>
                <c:pt idx="410">
                  <c:v>1025</c:v>
                </c:pt>
                <c:pt idx="411">
                  <c:v>1030</c:v>
                </c:pt>
                <c:pt idx="412">
                  <c:v>1035</c:v>
                </c:pt>
                <c:pt idx="413">
                  <c:v>1040</c:v>
                </c:pt>
                <c:pt idx="414">
                  <c:v>1045</c:v>
                </c:pt>
                <c:pt idx="415">
                  <c:v>1050</c:v>
                </c:pt>
                <c:pt idx="416">
                  <c:v>1055</c:v>
                </c:pt>
                <c:pt idx="417">
                  <c:v>1060</c:v>
                </c:pt>
                <c:pt idx="418">
                  <c:v>1065</c:v>
                </c:pt>
                <c:pt idx="419">
                  <c:v>1070</c:v>
                </c:pt>
                <c:pt idx="420">
                  <c:v>1075</c:v>
                </c:pt>
                <c:pt idx="421">
                  <c:v>1080</c:v>
                </c:pt>
                <c:pt idx="422">
                  <c:v>1085</c:v>
                </c:pt>
                <c:pt idx="423">
                  <c:v>1090</c:v>
                </c:pt>
                <c:pt idx="424">
                  <c:v>1095</c:v>
                </c:pt>
                <c:pt idx="425">
                  <c:v>1100</c:v>
                </c:pt>
                <c:pt idx="426">
                  <c:v>1105</c:v>
                </c:pt>
                <c:pt idx="427">
                  <c:v>1110</c:v>
                </c:pt>
                <c:pt idx="428">
                  <c:v>1115</c:v>
                </c:pt>
                <c:pt idx="429">
                  <c:v>1120</c:v>
                </c:pt>
                <c:pt idx="430">
                  <c:v>1125</c:v>
                </c:pt>
                <c:pt idx="431">
                  <c:v>1130</c:v>
                </c:pt>
                <c:pt idx="432">
                  <c:v>1135</c:v>
                </c:pt>
                <c:pt idx="433">
                  <c:v>1140</c:v>
                </c:pt>
                <c:pt idx="434">
                  <c:v>1145</c:v>
                </c:pt>
                <c:pt idx="435">
                  <c:v>1150</c:v>
                </c:pt>
                <c:pt idx="436">
                  <c:v>1155</c:v>
                </c:pt>
                <c:pt idx="437">
                  <c:v>1160</c:v>
                </c:pt>
                <c:pt idx="438">
                  <c:v>1165</c:v>
                </c:pt>
                <c:pt idx="439">
                  <c:v>1170</c:v>
                </c:pt>
                <c:pt idx="440">
                  <c:v>1175</c:v>
                </c:pt>
                <c:pt idx="441">
                  <c:v>1180</c:v>
                </c:pt>
                <c:pt idx="442">
                  <c:v>1185</c:v>
                </c:pt>
                <c:pt idx="443">
                  <c:v>1190</c:v>
                </c:pt>
                <c:pt idx="444">
                  <c:v>1195</c:v>
                </c:pt>
                <c:pt idx="445">
                  <c:v>1200</c:v>
                </c:pt>
                <c:pt idx="446">
                  <c:v>1205</c:v>
                </c:pt>
                <c:pt idx="447">
                  <c:v>1210</c:v>
                </c:pt>
                <c:pt idx="448">
                  <c:v>1215</c:v>
                </c:pt>
                <c:pt idx="449">
                  <c:v>1220</c:v>
                </c:pt>
                <c:pt idx="450">
                  <c:v>1225</c:v>
                </c:pt>
                <c:pt idx="451">
                  <c:v>1230</c:v>
                </c:pt>
                <c:pt idx="452">
                  <c:v>1235</c:v>
                </c:pt>
                <c:pt idx="453">
                  <c:v>1240</c:v>
                </c:pt>
                <c:pt idx="454">
                  <c:v>1245</c:v>
                </c:pt>
                <c:pt idx="455">
                  <c:v>1250</c:v>
                </c:pt>
                <c:pt idx="456">
                  <c:v>1255</c:v>
                </c:pt>
                <c:pt idx="457">
                  <c:v>1260</c:v>
                </c:pt>
                <c:pt idx="458">
                  <c:v>1265</c:v>
                </c:pt>
                <c:pt idx="459">
                  <c:v>1270</c:v>
                </c:pt>
                <c:pt idx="460">
                  <c:v>1275</c:v>
                </c:pt>
                <c:pt idx="461">
                  <c:v>1280</c:v>
                </c:pt>
                <c:pt idx="462">
                  <c:v>1285</c:v>
                </c:pt>
                <c:pt idx="463">
                  <c:v>1290</c:v>
                </c:pt>
                <c:pt idx="464">
                  <c:v>1295</c:v>
                </c:pt>
                <c:pt idx="465">
                  <c:v>1300</c:v>
                </c:pt>
                <c:pt idx="466">
                  <c:v>1305</c:v>
                </c:pt>
                <c:pt idx="467">
                  <c:v>1310</c:v>
                </c:pt>
                <c:pt idx="468">
                  <c:v>1315</c:v>
                </c:pt>
                <c:pt idx="469">
                  <c:v>1320</c:v>
                </c:pt>
                <c:pt idx="470">
                  <c:v>1325</c:v>
                </c:pt>
                <c:pt idx="471">
                  <c:v>1330</c:v>
                </c:pt>
                <c:pt idx="472">
                  <c:v>1335</c:v>
                </c:pt>
                <c:pt idx="473">
                  <c:v>1340</c:v>
                </c:pt>
                <c:pt idx="474">
                  <c:v>1345</c:v>
                </c:pt>
                <c:pt idx="475">
                  <c:v>1350</c:v>
                </c:pt>
                <c:pt idx="476">
                  <c:v>1355</c:v>
                </c:pt>
                <c:pt idx="477">
                  <c:v>1360</c:v>
                </c:pt>
                <c:pt idx="478">
                  <c:v>1365</c:v>
                </c:pt>
                <c:pt idx="479">
                  <c:v>1370</c:v>
                </c:pt>
                <c:pt idx="480">
                  <c:v>1375</c:v>
                </c:pt>
                <c:pt idx="481">
                  <c:v>1380</c:v>
                </c:pt>
                <c:pt idx="482">
                  <c:v>1385</c:v>
                </c:pt>
                <c:pt idx="483">
                  <c:v>1390</c:v>
                </c:pt>
                <c:pt idx="484">
                  <c:v>1395</c:v>
                </c:pt>
                <c:pt idx="485">
                  <c:v>1400</c:v>
                </c:pt>
                <c:pt idx="486">
                  <c:v>1405</c:v>
                </c:pt>
                <c:pt idx="487">
                  <c:v>1410</c:v>
                </c:pt>
                <c:pt idx="488">
                  <c:v>1415</c:v>
                </c:pt>
                <c:pt idx="489">
                  <c:v>1420</c:v>
                </c:pt>
                <c:pt idx="490">
                  <c:v>1425</c:v>
                </c:pt>
                <c:pt idx="491">
                  <c:v>1430</c:v>
                </c:pt>
                <c:pt idx="492">
                  <c:v>1435</c:v>
                </c:pt>
                <c:pt idx="493">
                  <c:v>1440</c:v>
                </c:pt>
                <c:pt idx="494">
                  <c:v>1445</c:v>
                </c:pt>
                <c:pt idx="495">
                  <c:v>1450</c:v>
                </c:pt>
                <c:pt idx="496">
                  <c:v>1455</c:v>
                </c:pt>
                <c:pt idx="497">
                  <c:v>1460</c:v>
                </c:pt>
                <c:pt idx="498">
                  <c:v>1465</c:v>
                </c:pt>
                <c:pt idx="499">
                  <c:v>1470</c:v>
                </c:pt>
                <c:pt idx="500">
                  <c:v>1475</c:v>
                </c:pt>
                <c:pt idx="501">
                  <c:v>1480</c:v>
                </c:pt>
                <c:pt idx="502">
                  <c:v>1485</c:v>
                </c:pt>
                <c:pt idx="503">
                  <c:v>1490</c:v>
                </c:pt>
                <c:pt idx="504">
                  <c:v>1495</c:v>
                </c:pt>
                <c:pt idx="505">
                  <c:v>1500</c:v>
                </c:pt>
                <c:pt idx="506">
                  <c:v>1505</c:v>
                </c:pt>
                <c:pt idx="507">
                  <c:v>1510</c:v>
                </c:pt>
                <c:pt idx="508">
                  <c:v>1515</c:v>
                </c:pt>
                <c:pt idx="509">
                  <c:v>1520</c:v>
                </c:pt>
                <c:pt idx="510">
                  <c:v>1525</c:v>
                </c:pt>
                <c:pt idx="511">
                  <c:v>1530</c:v>
                </c:pt>
                <c:pt idx="512">
                  <c:v>1535</c:v>
                </c:pt>
                <c:pt idx="513">
                  <c:v>1540</c:v>
                </c:pt>
                <c:pt idx="514">
                  <c:v>1545</c:v>
                </c:pt>
                <c:pt idx="515">
                  <c:v>1550</c:v>
                </c:pt>
                <c:pt idx="516">
                  <c:v>1555</c:v>
                </c:pt>
                <c:pt idx="517">
                  <c:v>1560</c:v>
                </c:pt>
                <c:pt idx="518">
                  <c:v>1565</c:v>
                </c:pt>
                <c:pt idx="519">
                  <c:v>1570</c:v>
                </c:pt>
                <c:pt idx="520">
                  <c:v>1575</c:v>
                </c:pt>
                <c:pt idx="521">
                  <c:v>1580</c:v>
                </c:pt>
                <c:pt idx="522">
                  <c:v>1585</c:v>
                </c:pt>
                <c:pt idx="523">
                  <c:v>1590</c:v>
                </c:pt>
                <c:pt idx="524">
                  <c:v>1595</c:v>
                </c:pt>
                <c:pt idx="525">
                  <c:v>1600</c:v>
                </c:pt>
                <c:pt idx="526">
                  <c:v>1605</c:v>
                </c:pt>
                <c:pt idx="527">
                  <c:v>1610</c:v>
                </c:pt>
                <c:pt idx="528">
                  <c:v>1615</c:v>
                </c:pt>
                <c:pt idx="529">
                  <c:v>1620</c:v>
                </c:pt>
                <c:pt idx="530">
                  <c:v>1625</c:v>
                </c:pt>
                <c:pt idx="531">
                  <c:v>1630</c:v>
                </c:pt>
                <c:pt idx="532">
                  <c:v>1635</c:v>
                </c:pt>
                <c:pt idx="533">
                  <c:v>1640</c:v>
                </c:pt>
                <c:pt idx="534">
                  <c:v>1645</c:v>
                </c:pt>
                <c:pt idx="535">
                  <c:v>1650</c:v>
                </c:pt>
                <c:pt idx="536">
                  <c:v>1655</c:v>
                </c:pt>
                <c:pt idx="537">
                  <c:v>1660</c:v>
                </c:pt>
                <c:pt idx="538">
                  <c:v>1665</c:v>
                </c:pt>
                <c:pt idx="539">
                  <c:v>1670</c:v>
                </c:pt>
                <c:pt idx="540">
                  <c:v>1675</c:v>
                </c:pt>
                <c:pt idx="541">
                  <c:v>1680</c:v>
                </c:pt>
                <c:pt idx="542">
                  <c:v>1685</c:v>
                </c:pt>
                <c:pt idx="543">
                  <c:v>1690</c:v>
                </c:pt>
                <c:pt idx="544">
                  <c:v>1695</c:v>
                </c:pt>
                <c:pt idx="545">
                  <c:v>1700</c:v>
                </c:pt>
                <c:pt idx="546">
                  <c:v>1705</c:v>
                </c:pt>
                <c:pt idx="547">
                  <c:v>1710</c:v>
                </c:pt>
                <c:pt idx="548">
                  <c:v>1715</c:v>
                </c:pt>
                <c:pt idx="549">
                  <c:v>1720</c:v>
                </c:pt>
                <c:pt idx="550">
                  <c:v>1725</c:v>
                </c:pt>
                <c:pt idx="551">
                  <c:v>1730</c:v>
                </c:pt>
                <c:pt idx="552">
                  <c:v>1735</c:v>
                </c:pt>
                <c:pt idx="553">
                  <c:v>1740</c:v>
                </c:pt>
                <c:pt idx="554">
                  <c:v>1745</c:v>
                </c:pt>
                <c:pt idx="555">
                  <c:v>1750</c:v>
                </c:pt>
                <c:pt idx="556">
                  <c:v>1755</c:v>
                </c:pt>
                <c:pt idx="557">
                  <c:v>1760</c:v>
                </c:pt>
                <c:pt idx="558">
                  <c:v>1765</c:v>
                </c:pt>
                <c:pt idx="559">
                  <c:v>1770</c:v>
                </c:pt>
                <c:pt idx="560">
                  <c:v>1775</c:v>
                </c:pt>
                <c:pt idx="561">
                  <c:v>1780</c:v>
                </c:pt>
                <c:pt idx="562">
                  <c:v>1785</c:v>
                </c:pt>
                <c:pt idx="563">
                  <c:v>1790</c:v>
                </c:pt>
                <c:pt idx="564">
                  <c:v>1795</c:v>
                </c:pt>
                <c:pt idx="565">
                  <c:v>1800</c:v>
                </c:pt>
                <c:pt idx="566">
                  <c:v>1805</c:v>
                </c:pt>
                <c:pt idx="567">
                  <c:v>1810</c:v>
                </c:pt>
                <c:pt idx="568">
                  <c:v>1815</c:v>
                </c:pt>
                <c:pt idx="569">
                  <c:v>1820</c:v>
                </c:pt>
                <c:pt idx="570">
                  <c:v>1825</c:v>
                </c:pt>
                <c:pt idx="571">
                  <c:v>1830</c:v>
                </c:pt>
                <c:pt idx="572">
                  <c:v>1835</c:v>
                </c:pt>
                <c:pt idx="573">
                  <c:v>1840</c:v>
                </c:pt>
                <c:pt idx="574">
                  <c:v>1845</c:v>
                </c:pt>
                <c:pt idx="575">
                  <c:v>1850</c:v>
                </c:pt>
                <c:pt idx="576">
                  <c:v>1855</c:v>
                </c:pt>
                <c:pt idx="577">
                  <c:v>1860</c:v>
                </c:pt>
                <c:pt idx="578">
                  <c:v>1865</c:v>
                </c:pt>
                <c:pt idx="579">
                  <c:v>1870</c:v>
                </c:pt>
                <c:pt idx="580">
                  <c:v>1875</c:v>
                </c:pt>
                <c:pt idx="581">
                  <c:v>1880</c:v>
                </c:pt>
                <c:pt idx="582">
                  <c:v>1885</c:v>
                </c:pt>
                <c:pt idx="583">
                  <c:v>1890</c:v>
                </c:pt>
                <c:pt idx="584">
                  <c:v>1895</c:v>
                </c:pt>
                <c:pt idx="585">
                  <c:v>1900</c:v>
                </c:pt>
                <c:pt idx="586">
                  <c:v>1905</c:v>
                </c:pt>
                <c:pt idx="587">
                  <c:v>1910</c:v>
                </c:pt>
                <c:pt idx="588">
                  <c:v>1915</c:v>
                </c:pt>
                <c:pt idx="589">
                  <c:v>1920</c:v>
                </c:pt>
                <c:pt idx="590">
                  <c:v>1925</c:v>
                </c:pt>
                <c:pt idx="591">
                  <c:v>1930</c:v>
                </c:pt>
                <c:pt idx="592">
                  <c:v>1935</c:v>
                </c:pt>
                <c:pt idx="593">
                  <c:v>1940</c:v>
                </c:pt>
                <c:pt idx="594">
                  <c:v>1945</c:v>
                </c:pt>
                <c:pt idx="595">
                  <c:v>1950</c:v>
                </c:pt>
                <c:pt idx="596">
                  <c:v>1955</c:v>
                </c:pt>
                <c:pt idx="597">
                  <c:v>1960</c:v>
                </c:pt>
                <c:pt idx="598">
                  <c:v>1965</c:v>
                </c:pt>
                <c:pt idx="599">
                  <c:v>1970</c:v>
                </c:pt>
                <c:pt idx="600">
                  <c:v>1975</c:v>
                </c:pt>
                <c:pt idx="601">
                  <c:v>1980</c:v>
                </c:pt>
                <c:pt idx="602">
                  <c:v>1985</c:v>
                </c:pt>
                <c:pt idx="603">
                  <c:v>1990</c:v>
                </c:pt>
                <c:pt idx="604">
                  <c:v>1995</c:v>
                </c:pt>
                <c:pt idx="605">
                  <c:v>2000</c:v>
                </c:pt>
                <c:pt idx="606">
                  <c:v>2250</c:v>
                </c:pt>
                <c:pt idx="607">
                  <c:v>2500</c:v>
                </c:pt>
                <c:pt idx="608">
                  <c:v>2750</c:v>
                </c:pt>
                <c:pt idx="609">
                  <c:v>3000</c:v>
                </c:pt>
                <c:pt idx="610">
                  <c:v>3250</c:v>
                </c:pt>
                <c:pt idx="611">
                  <c:v>3500</c:v>
                </c:pt>
                <c:pt idx="612">
                  <c:v>3750</c:v>
                </c:pt>
                <c:pt idx="613">
                  <c:v>4000</c:v>
                </c:pt>
                <c:pt idx="614">
                  <c:v>4250</c:v>
                </c:pt>
                <c:pt idx="615">
                  <c:v>4500</c:v>
                </c:pt>
                <c:pt idx="616">
                  <c:v>4750</c:v>
                </c:pt>
                <c:pt idx="617">
                  <c:v>5000</c:v>
                </c:pt>
                <c:pt idx="618">
                  <c:v>5100</c:v>
                </c:pt>
                <c:pt idx="619">
                  <c:v>5200</c:v>
                </c:pt>
                <c:pt idx="620">
                  <c:v>5300</c:v>
                </c:pt>
                <c:pt idx="621">
                  <c:v>5400</c:v>
                </c:pt>
                <c:pt idx="622">
                  <c:v>5500</c:v>
                </c:pt>
                <c:pt idx="623">
                  <c:v>5600</c:v>
                </c:pt>
                <c:pt idx="624">
                  <c:v>5700</c:v>
                </c:pt>
                <c:pt idx="625">
                  <c:v>5800</c:v>
                </c:pt>
                <c:pt idx="626">
                  <c:v>5900</c:v>
                </c:pt>
                <c:pt idx="627">
                  <c:v>6000</c:v>
                </c:pt>
                <c:pt idx="628">
                  <c:v>6100</c:v>
                </c:pt>
                <c:pt idx="629">
                  <c:v>6200</c:v>
                </c:pt>
                <c:pt idx="630">
                  <c:v>6300</c:v>
                </c:pt>
                <c:pt idx="631">
                  <c:v>6400</c:v>
                </c:pt>
                <c:pt idx="632">
                  <c:v>6500</c:v>
                </c:pt>
                <c:pt idx="633">
                  <c:v>6600</c:v>
                </c:pt>
                <c:pt idx="634">
                  <c:v>6700</c:v>
                </c:pt>
                <c:pt idx="635">
                  <c:v>6800</c:v>
                </c:pt>
                <c:pt idx="636">
                  <c:v>6900</c:v>
                </c:pt>
                <c:pt idx="637">
                  <c:v>7000</c:v>
                </c:pt>
                <c:pt idx="638">
                  <c:v>7100</c:v>
                </c:pt>
                <c:pt idx="639">
                  <c:v>7200</c:v>
                </c:pt>
                <c:pt idx="640">
                  <c:v>7300</c:v>
                </c:pt>
                <c:pt idx="641">
                  <c:v>7400</c:v>
                </c:pt>
                <c:pt idx="642">
                  <c:v>7500</c:v>
                </c:pt>
                <c:pt idx="643">
                  <c:v>7600</c:v>
                </c:pt>
                <c:pt idx="644">
                  <c:v>7700</c:v>
                </c:pt>
                <c:pt idx="645">
                  <c:v>7800</c:v>
                </c:pt>
                <c:pt idx="646">
                  <c:v>7900</c:v>
                </c:pt>
                <c:pt idx="647">
                  <c:v>8000</c:v>
                </c:pt>
                <c:pt idx="648">
                  <c:v>8100</c:v>
                </c:pt>
                <c:pt idx="649">
                  <c:v>8200</c:v>
                </c:pt>
                <c:pt idx="650">
                  <c:v>8300</c:v>
                </c:pt>
                <c:pt idx="651">
                  <c:v>8400</c:v>
                </c:pt>
                <c:pt idx="652">
                  <c:v>8500</c:v>
                </c:pt>
                <c:pt idx="653">
                  <c:v>8600</c:v>
                </c:pt>
                <c:pt idx="654">
                  <c:v>8700</c:v>
                </c:pt>
                <c:pt idx="655">
                  <c:v>8800</c:v>
                </c:pt>
                <c:pt idx="656">
                  <c:v>8900</c:v>
                </c:pt>
                <c:pt idx="657">
                  <c:v>9000</c:v>
                </c:pt>
                <c:pt idx="658">
                  <c:v>9100</c:v>
                </c:pt>
                <c:pt idx="659">
                  <c:v>9200</c:v>
                </c:pt>
                <c:pt idx="660">
                  <c:v>9300</c:v>
                </c:pt>
                <c:pt idx="661">
                  <c:v>9400</c:v>
                </c:pt>
                <c:pt idx="662">
                  <c:v>9500</c:v>
                </c:pt>
                <c:pt idx="663">
                  <c:v>9600</c:v>
                </c:pt>
                <c:pt idx="664">
                  <c:v>9700</c:v>
                </c:pt>
                <c:pt idx="665">
                  <c:v>9800</c:v>
                </c:pt>
                <c:pt idx="666">
                  <c:v>9900</c:v>
                </c:pt>
                <c:pt idx="667">
                  <c:v>10000</c:v>
                </c:pt>
              </c:numCache>
            </c:numRef>
          </c:xVal>
          <c:yVal>
            <c:numRef>
              <c:f>'Bode Plots Calculations'!$BG$9:$BG$676</c:f>
              <c:numCache>
                <c:formatCode>General</c:formatCode>
                <c:ptCount val="668"/>
                <c:pt idx="0">
                  <c:v>-1.67674324821045</c:v>
                </c:pt>
                <c:pt idx="1">
                  <c:v>-3.33496108629692</c:v>
                </c:pt>
                <c:pt idx="2">
                  <c:v>-4.95690343184798</c:v>
                </c:pt>
                <c:pt idx="3">
                  <c:v>-6.52629697097797</c:v>
                </c:pt>
                <c:pt idx="4">
                  <c:v>-8.02891142983666</c:v>
                </c:pt>
                <c:pt idx="5">
                  <c:v>-9.45295126537868</c:v>
                </c:pt>
                <c:pt idx="6">
                  <c:v>-10.789259075473</c:v>
                </c:pt>
                <c:pt idx="7">
                  <c:v>-12.0313409466679</c:v>
                </c:pt>
                <c:pt idx="8">
                  <c:v>-13.1752418991091</c:v>
                </c:pt>
                <c:pt idx="9">
                  <c:v>-14.2193096516267</c:v>
                </c:pt>
                <c:pt idx="10">
                  <c:v>-19.8168274738336</c:v>
                </c:pt>
                <c:pt idx="11">
                  <c:v>-20.0667704824968</c:v>
                </c:pt>
                <c:pt idx="12">
                  <c:v>-18.552205093943</c:v>
                </c:pt>
                <c:pt idx="13">
                  <c:v>-16.7179620769567</c:v>
                </c:pt>
                <c:pt idx="14">
                  <c:v>-15.0138205757926</c:v>
                </c:pt>
                <c:pt idx="15">
                  <c:v>-13.5442578606623</c:v>
                </c:pt>
                <c:pt idx="16">
                  <c:v>-12.3060421454471</c:v>
                </c:pt>
                <c:pt idx="17">
                  <c:v>-11.2676138340285</c:v>
                </c:pt>
                <c:pt idx="18">
                  <c:v>-10.3943757029218</c:v>
                </c:pt>
                <c:pt idx="19">
                  <c:v>-6.24086773505032</c:v>
                </c:pt>
                <c:pt idx="20">
                  <c:v>-5.0574034679203</c:v>
                </c:pt>
                <c:pt idx="21">
                  <c:v>-4.70653327996049</c:v>
                </c:pt>
                <c:pt idx="22">
                  <c:v>-4.69818140740837</c:v>
                </c:pt>
                <c:pt idx="23">
                  <c:v>-4.86288426301343</c:v>
                </c:pt>
                <c:pt idx="24">
                  <c:v>-5.12682389970693</c:v>
                </c:pt>
                <c:pt idx="25">
                  <c:v>-5.45274410526372</c:v>
                </c:pt>
                <c:pt idx="26">
                  <c:v>-5.81980887392796</c:v>
                </c:pt>
                <c:pt idx="27">
                  <c:v>-6.21544505245226</c:v>
                </c:pt>
                <c:pt idx="28">
                  <c:v>-8.41477539518665</c:v>
                </c:pt>
                <c:pt idx="29">
                  <c:v>-10.760844124136</c:v>
                </c:pt>
                <c:pt idx="30">
                  <c:v>-13.1391698999669</c:v>
                </c:pt>
                <c:pt idx="31">
                  <c:v>-15.5066217889468</c:v>
                </c:pt>
                <c:pt idx="32">
                  <c:v>-17.8412609016897</c:v>
                </c:pt>
                <c:pt idx="33">
                  <c:v>-20.1298228932576</c:v>
                </c:pt>
                <c:pt idx="34">
                  <c:v>-22.3635458697848</c:v>
                </c:pt>
                <c:pt idx="35">
                  <c:v>-24.5364756849204</c:v>
                </c:pt>
                <c:pt idx="36">
                  <c:v>-26.6446523402554</c:v>
                </c:pt>
                <c:pt idx="37">
                  <c:v>-28.6856510063399</c:v>
                </c:pt>
                <c:pt idx="38">
                  <c:v>-30.6582804012673</c:v>
                </c:pt>
                <c:pt idx="39">
                  <c:v>-32.5623582513824</c:v>
                </c:pt>
                <c:pt idx="40">
                  <c:v>-34.3985295193293</c:v>
                </c:pt>
                <c:pt idx="41">
                  <c:v>-36.1681123327105</c:v>
                </c:pt>
                <c:pt idx="42">
                  <c:v>-37.8729648424135</c:v>
                </c:pt>
                <c:pt idx="43">
                  <c:v>-39.5153697793288</c:v>
                </c:pt>
                <c:pt idx="44">
                  <c:v>-41.0979348978215</c:v>
                </c:pt>
                <c:pt idx="45">
                  <c:v>-42.6235079808419</c:v>
                </c:pt>
                <c:pt idx="46">
                  <c:v>-44.095105186083</c:v>
                </c:pt>
                <c:pt idx="47">
                  <c:v>-45.5158514905679</c:v>
                </c:pt>
                <c:pt idx="48">
                  <c:v>-46.8889319552276</c:v>
                </c:pt>
                <c:pt idx="49">
                  <c:v>-48.2175525245512</c:v>
                </c:pt>
                <c:pt idx="50">
                  <c:v>-49.5049091092615</c:v>
                </c:pt>
                <c:pt idx="51">
                  <c:v>-50.7541637676074</c:v>
                </c:pt>
                <c:pt idx="52">
                  <c:v>-51.9684268935634</c:v>
                </c:pt>
                <c:pt idx="53">
                  <c:v>-53.1507444276945</c:v>
                </c:pt>
                <c:pt idx="54">
                  <c:v>-54.3040892198008</c:v>
                </c:pt>
                <c:pt idx="55">
                  <c:v>-55.4313557849082</c:v>
                </c:pt>
                <c:pt idx="56">
                  <c:v>-56.5353578009744</c:v>
                </c:pt>
                <c:pt idx="57">
                  <c:v>-57.6188277948744</c:v>
                </c:pt>
                <c:pt idx="58">
                  <c:v>-58.6844185512189</c:v>
                </c:pt>
                <c:pt idx="59">
                  <c:v>-59.7347058557788</c:v>
                </c:pt>
                <c:pt idx="60">
                  <c:v>-60.7721922518558</c:v>
                </c:pt>
                <c:pt idx="61">
                  <c:v>-61.7993115443882</c:v>
                </c:pt>
                <c:pt idx="62">
                  <c:v>-62.8184338337366</c:v>
                </c:pt>
                <c:pt idx="63">
                  <c:v>-63.831870899834</c:v>
                </c:pt>
                <c:pt idx="64">
                  <c:v>-64.8418817886482</c:v>
                </c:pt>
                <c:pt idx="65">
                  <c:v>-65.8506784775583</c:v>
                </c:pt>
                <c:pt idx="66">
                  <c:v>-66.8604315150987</c:v>
                </c:pt>
                <c:pt idx="67">
                  <c:v>-67.8732755442679</c:v>
                </c:pt>
                <c:pt idx="68">
                  <c:v>-68.8913146278418</c:v>
                </c:pt>
                <c:pt idx="69">
                  <c:v>-69.9166272993774</c:v>
                </c:pt>
                <c:pt idx="70">
                  <c:v>-70.9512712652497</c:v>
                </c:pt>
                <c:pt idx="71">
                  <c:v>-71.9972876814784</c:v>
                </c:pt>
                <c:pt idx="72">
                  <c:v>-73.0567049245352</c:v>
                </c:pt>
                <c:pt idx="73">
                  <c:v>-74.1315417680268</c:v>
                </c:pt>
                <c:pt idx="74">
                  <c:v>-75.2238098673235</c:v>
                </c:pt>
                <c:pt idx="75">
                  <c:v>-76.3355154420762</c:v>
                </c:pt>
                <c:pt idx="76">
                  <c:v>-77.4686600324033</c:v>
                </c:pt>
                <c:pt idx="77">
                  <c:v>-78.6252401886523</c:v>
                </c:pt>
                <c:pt idx="78">
                  <c:v>-79.8072459375231</c:v>
                </c:pt>
                <c:pt idx="79">
                  <c:v>-81.0166578495888</c:v>
                </c:pt>
                <c:pt idx="80">
                  <c:v>-82.2554425157361</c:v>
                </c:pt>
                <c:pt idx="81">
                  <c:v>-83.5255462239062</c:v>
                </c:pt>
                <c:pt idx="82">
                  <c:v>-84.8288866142712</c:v>
                </c:pt>
                <c:pt idx="83">
                  <c:v>-86.1673420825743</c:v>
                </c:pt>
                <c:pt idx="84">
                  <c:v>-87.5427387002285</c:v>
                </c:pt>
                <c:pt idx="85">
                  <c:v>-88.9568344288906</c:v>
                </c:pt>
                <c:pt idx="86">
                  <c:v>-90.4113004300912</c:v>
                </c:pt>
                <c:pt idx="87">
                  <c:v>-91.9076993111017</c:v>
                </c:pt>
                <c:pt idx="88">
                  <c:v>-93.4474602108276</c:v>
                </c:pt>
                <c:pt idx="89">
                  <c:v>-95.0318507184986</c:v>
                </c:pt>
                <c:pt idx="90">
                  <c:v>-96.6619457372133</c:v>
                </c:pt>
                <c:pt idx="91">
                  <c:v>-98.3385935569724</c:v>
                </c:pt>
                <c:pt idx="92">
                  <c:v>-100.062379588855</c:v>
                </c:pt>
                <c:pt idx="93">
                  <c:v>-101.833588431855</c:v>
                </c:pt>
                <c:pt idx="94">
                  <c:v>-103.652165191132</c:v>
                </c:pt>
                <c:pt idx="95">
                  <c:v>-105.517677230712</c:v>
                </c:pt>
                <c:pt idx="96">
                  <c:v>-107.429277808815</c:v>
                </c:pt>
                <c:pt idx="97">
                  <c:v>-109.385673287921</c:v>
                </c:pt>
                <c:pt idx="98">
                  <c:v>-111.385095806536</c:v>
                </c:pt>
                <c:pt idx="99">
                  <c:v>-113.425283413687</c:v>
                </c:pt>
                <c:pt idx="100">
                  <c:v>-115.503469667614</c:v>
                </c:pt>
                <c:pt idx="101">
                  <c:v>-117.616384557269</c:v>
                </c:pt>
                <c:pt idx="102">
                  <c:v>-119.760268297933</c:v>
                </c:pt>
                <c:pt idx="103">
                  <c:v>-121.930899073402</c:v>
                </c:pt>
                <c:pt idx="104">
                  <c:v>-124.123635158589</c:v>
                </c:pt>
                <c:pt idx="105">
                  <c:v>-126.33347109175</c:v>
                </c:pt>
                <c:pt idx="106">
                  <c:v>-128.555106730162</c:v>
                </c:pt>
                <c:pt idx="107">
                  <c:v>-130.783027189492</c:v>
                </c:pt>
                <c:pt idx="108">
                  <c:v>-133.011590917276</c:v>
                </c:pt>
                <c:pt idx="109">
                  <c:v>-135.235122564932</c:v>
                </c:pt>
                <c:pt idx="110">
                  <c:v>-137.448006966694</c:v>
                </c:pt>
                <c:pt idx="111">
                  <c:v>-139.644780449458</c:v>
                </c:pt>
                <c:pt idx="112">
                  <c:v>-141.820215689104</c:v>
                </c:pt>
                <c:pt idx="113">
                  <c:v>-143.969398224077</c:v>
                </c:pt>
                <c:pt idx="114">
                  <c:v>-146.08778907892</c:v>
                </c:pt>
                <c:pt idx="115">
                  <c:v>-148.171275942778</c:v>
                </c:pt>
                <c:pt idx="116">
                  <c:v>-150.216208992763</c:v>
                </c:pt>
                <c:pt idx="117">
                  <c:v>-152.219422585848</c:v>
                </c:pt>
                <c:pt idx="118">
                  <c:v>-154.178243322095</c:v>
                </c:pt>
                <c:pt idx="119">
                  <c:v>-156.090485764269</c:v>
                </c:pt>
                <c:pt idx="120">
                  <c:v>-157.954437508345</c:v>
                </c:pt>
                <c:pt idx="121">
                  <c:v>-159.768835538186</c:v>
                </c:pt>
                <c:pt idx="122">
                  <c:v>-161.532835879155</c:v>
                </c:pt>
                <c:pt idx="123">
                  <c:v>-163.245978514877</c:v>
                </c:pt>
                <c:pt idx="124">
                  <c:v>-164.908149380394</c:v>
                </c:pt>
                <c:pt idx="125">
                  <c:v>-166.519541026317</c:v>
                </c:pt>
                <c:pt idx="126">
                  <c:v>-168.080613292738</c:v>
                </c:pt>
                <c:pt idx="127">
                  <c:v>-169.592055064245</c:v>
                </c:pt>
                <c:pt idx="128">
                  <c:v>-171.054747918109</c:v>
                </c:pt>
                <c:pt idx="129">
                  <c:v>-172.469732240279</c:v>
                </c:pt>
                <c:pt idx="130">
                  <c:v>-173.838176176533</c:v>
                </c:pt>
                <c:pt idx="131">
                  <c:v>-175.161347612692</c:v>
                </c:pt>
                <c:pt idx="132">
                  <c:v>-176.440589238658</c:v>
                </c:pt>
                <c:pt idx="133">
                  <c:v>-177.677296644091</c:v>
                </c:pt>
                <c:pt idx="134">
                  <c:v>-178.872899315429</c:v>
                </c:pt>
                <c:pt idx="135">
                  <c:v>-180.0288443505</c:v>
                </c:pt>
                <c:pt idx="136">
                  <c:v>-181.14658267372</c:v>
                </c:pt>
                <c:pt idx="137">
                  <c:v>-182.227557517843</c:v>
                </c:pt>
                <c:pt idx="138">
                  <c:v>-183.273194933414</c:v>
                </c:pt>
                <c:pt idx="139">
                  <c:v>-184.284896091389</c:v>
                </c:pt>
                <c:pt idx="140">
                  <c:v>-185.26403115501</c:v>
                </c:pt>
                <c:pt idx="141">
                  <c:v>-186.211934511775</c:v>
                </c:pt>
                <c:pt idx="142">
                  <c:v>-187.129901173512</c:v>
                </c:pt>
                <c:pt idx="143">
                  <c:v>-188.019184170844</c:v>
                </c:pt>
                <c:pt idx="144">
                  <c:v>-188.880992786794</c:v>
                </c:pt>
                <c:pt idx="145">
                  <c:v>-189.716491492148</c:v>
                </c:pt>
                <c:pt idx="146">
                  <c:v>-190.526799462214</c:v>
                </c:pt>
                <c:pt idx="147">
                  <c:v>-191.312990570296</c:v>
                </c:pt>
                <c:pt idx="148">
                  <c:v>-192.076093767573</c:v>
                </c:pt>
                <c:pt idx="149">
                  <c:v>-192.817093771972</c:v>
                </c:pt>
                <c:pt idx="150">
                  <c:v>-193.536932000136</c:v>
                </c:pt>
                <c:pt idx="151">
                  <c:v>-194.236507686744</c:v>
                </c:pt>
                <c:pt idx="152">
                  <c:v>-194.916679144292</c:v>
                </c:pt>
                <c:pt idx="153">
                  <c:v>-195.578265124203</c:v>
                </c:pt>
                <c:pt idx="154">
                  <c:v>-196.222046246772</c:v>
                </c:pt>
                <c:pt idx="155">
                  <c:v>-196.848766473191</c:v>
                </c:pt>
                <c:pt idx="156">
                  <c:v>-197.459134597792</c:v>
                </c:pt>
                <c:pt idx="157">
                  <c:v>-198.0538257428</c:v>
                </c:pt>
                <c:pt idx="158">
                  <c:v>-198.633482841419</c:v>
                </c:pt>
                <c:pt idx="159">
                  <c:v>-199.198718098014</c:v>
                </c:pt>
                <c:pt idx="160">
                  <c:v>-199.750114416676</c:v>
                </c:pt>
                <c:pt idx="161">
                  <c:v>-200.288226791492</c:v>
                </c:pt>
                <c:pt idx="162">
                  <c:v>-200.813583653594</c:v>
                </c:pt>
                <c:pt idx="163">
                  <c:v>-201.326688171467</c:v>
                </c:pt>
                <c:pt idx="164">
                  <c:v>-201.828019502162</c:v>
                </c:pt>
                <c:pt idx="165">
                  <c:v>-202.318033992041</c:v>
                </c:pt>
                <c:pt idx="166">
                  <c:v>-202.797166326402</c:v>
                </c:pt>
                <c:pt idx="167">
                  <c:v>-203.265830628009</c:v>
                </c:pt>
                <c:pt idx="168">
                  <c:v>-203.724421504994</c:v>
                </c:pt>
                <c:pt idx="169">
                  <c:v>-204.173315049019</c:v>
                </c:pt>
                <c:pt idx="170">
                  <c:v>-204.612869784857</c:v>
                </c:pt>
                <c:pt idx="171">
                  <c:v>-205.043427572798</c:v>
                </c:pt>
                <c:pt idx="172">
                  <c:v>-205.46531446542</c:v>
                </c:pt>
                <c:pt idx="173">
                  <c:v>-205.878841520418</c:v>
                </c:pt>
                <c:pt idx="174">
                  <c:v>-206.284305571213</c:v>
                </c:pt>
                <c:pt idx="175">
                  <c:v>-206.681989957146</c:v>
                </c:pt>
                <c:pt idx="176">
                  <c:v>-207.072165215039</c:v>
                </c:pt>
                <c:pt idx="177">
                  <c:v>-207.455089733929</c:v>
                </c:pt>
                <c:pt idx="178">
                  <c:v>-207.831010374742</c:v>
                </c:pt>
                <c:pt idx="179">
                  <c:v>-208.200163056634</c:v>
                </c:pt>
                <c:pt idx="180">
                  <c:v>-208.562773311705</c:v>
                </c:pt>
                <c:pt idx="181">
                  <c:v>-208.919056809699</c:v>
                </c:pt>
                <c:pt idx="182">
                  <c:v>-209.269219854294</c:v>
                </c:pt>
                <c:pt idx="183">
                  <c:v>-209.613459852479</c:v>
                </c:pt>
                <c:pt idx="184">
                  <c:v>-209.951965758483</c:v>
                </c:pt>
                <c:pt idx="185">
                  <c:v>-210.284918493645</c:v>
                </c:pt>
                <c:pt idx="186">
                  <c:v>-210.61249134354</c:v>
                </c:pt>
                <c:pt idx="187">
                  <c:v>-210.934850333636</c:v>
                </c:pt>
                <c:pt idx="188">
                  <c:v>-211.252154584667</c:v>
                </c:pt>
                <c:pt idx="189">
                  <c:v>-211.56455664887</c:v>
                </c:pt>
                <c:pt idx="190">
                  <c:v>-211.872202828147</c:v>
                </c:pt>
                <c:pt idx="191">
                  <c:v>-212.175233475186</c:v>
                </c:pt>
                <c:pt idx="192">
                  <c:v>-212.473783278497</c:v>
                </c:pt>
                <c:pt idx="193">
                  <c:v>-212.767981532266</c:v>
                </c:pt>
                <c:pt idx="194">
                  <c:v>-213.057952391904</c:v>
                </c:pt>
                <c:pt idx="195">
                  <c:v>-213.343815116083</c:v>
                </c:pt>
                <c:pt idx="196">
                  <c:v>-213.625684296029</c:v>
                </c:pt>
                <c:pt idx="197">
                  <c:v>-213.903670072801</c:v>
                </c:pt>
                <c:pt idx="198">
                  <c:v>-214.177878343223</c:v>
                </c:pt>
                <c:pt idx="199">
                  <c:v>-214.448410955114</c:v>
                </c:pt>
                <c:pt idx="200">
                  <c:v>-214.715365892416</c:v>
                </c:pt>
                <c:pt idx="201">
                  <c:v>-214.978837450788</c:v>
                </c:pt>
                <c:pt idx="202">
                  <c:v>-215.238916404207</c:v>
                </c:pt>
                <c:pt idx="203">
                  <c:v>-215.49569016306</c:v>
                </c:pt>
                <c:pt idx="204">
                  <c:v>-215.749242924222</c:v>
                </c:pt>
                <c:pt idx="205">
                  <c:v>-215.999655813548</c:v>
                </c:pt>
                <c:pt idx="206">
                  <c:v>-216.24700702121</c:v>
                </c:pt>
                <c:pt idx="207">
                  <c:v>-216.491371930263</c:v>
                </c:pt>
                <c:pt idx="208">
                  <c:v>-216.732823238825</c:v>
                </c:pt>
                <c:pt idx="209">
                  <c:v>-216.971431076208</c:v>
                </c:pt>
                <c:pt idx="210">
                  <c:v>-217.20726311333</c:v>
                </c:pt>
                <c:pt idx="211">
                  <c:v>-217.440384667733</c:v>
                </c:pt>
                <c:pt idx="212">
                  <c:v>-217.670858803476</c:v>
                </c:pt>
                <c:pt idx="213">
                  <c:v>-217.898746426202</c:v>
                </c:pt>
                <c:pt idx="214">
                  <c:v>-218.124106373614</c:v>
                </c:pt>
                <c:pt idx="215">
                  <c:v>-218.346995501627</c:v>
                </c:pt>
                <c:pt idx="216">
                  <c:v>-218.567468766409</c:v>
                </c:pt>
                <c:pt idx="217">
                  <c:v>-218.785579302538</c:v>
                </c:pt>
                <c:pt idx="218">
                  <c:v>-219.001378497471</c:v>
                </c:pt>
                <c:pt idx="219">
                  <c:v>-219.214916062528</c:v>
                </c:pt>
                <c:pt idx="220">
                  <c:v>-219.426240100564</c:v>
                </c:pt>
                <c:pt idx="221">
                  <c:v>-219.635397170504</c:v>
                </c:pt>
                <c:pt idx="222">
                  <c:v>-219.842432348902</c:v>
                </c:pt>
                <c:pt idx="223">
                  <c:v>-220.047389288683</c:v>
                </c:pt>
                <c:pt idx="224">
                  <c:v>-220.250310275195</c:v>
                </c:pt>
                <c:pt idx="225">
                  <c:v>-220.451236279732</c:v>
                </c:pt>
                <c:pt idx="226">
                  <c:v>-222.358942251158</c:v>
                </c:pt>
                <c:pt idx="227">
                  <c:v>-224.10416908021</c:v>
                </c:pt>
                <c:pt idx="228">
                  <c:v>-225.712453194599</c:v>
                </c:pt>
                <c:pt idx="229">
                  <c:v>-227.203390145873</c:v>
                </c:pt>
                <c:pt idx="230">
                  <c:v>-228.592340454107</c:v>
                </c:pt>
                <c:pt idx="231">
                  <c:v>-229.891582756258</c:v>
                </c:pt>
                <c:pt idx="232">
                  <c:v>-231.111109003579</c:v>
                </c:pt>
                <c:pt idx="233">
                  <c:v>-232.259183065508</c:v>
                </c:pt>
                <c:pt idx="234">
                  <c:v>-233.342739998428</c:v>
                </c:pt>
                <c:pt idx="235">
                  <c:v>-234.367676139174</c:v>
                </c:pt>
                <c:pt idx="236">
                  <c:v>-235.339063182383</c:v>
                </c:pt>
                <c:pt idx="237">
                  <c:v>-236.261308529153</c:v>
                </c:pt>
                <c:pt idx="238">
                  <c:v>-237.1382771188</c:v>
                </c:pt>
                <c:pt idx="239">
                  <c:v>-237.973385275202</c:v>
                </c:pt>
                <c:pt idx="240">
                  <c:v>-238.769673956703</c:v>
                </c:pt>
                <c:pt idx="241">
                  <c:v>-239.529866659135</c:v>
                </c:pt>
                <c:pt idx="242">
                  <c:v>-240.256415746074</c:v>
                </c:pt>
                <c:pt idx="243">
                  <c:v>-240.951539950671</c:v>
                </c:pt>
                <c:pt idx="244">
                  <c:v>-241.617255066337</c:v>
                </c:pt>
                <c:pt idx="245">
                  <c:v>-242.255399324871</c:v>
                </c:pt>
                <c:pt idx="246">
                  <c:v>-242.867654586608</c:v>
                </c:pt>
                <c:pt idx="247">
                  <c:v>-243.455564194967</c:v>
                </c:pt>
                <c:pt idx="248">
                  <c:v>-244.020548147765</c:v>
                </c:pt>
                <c:pt idx="249">
                  <c:v>-244.563916089274</c:v>
                </c:pt>
                <c:pt idx="250">
                  <c:v>-245.086878516087</c:v>
                </c:pt>
                <c:pt idx="251">
                  <c:v>-245.590556506079</c:v>
                </c:pt>
                <c:pt idx="252">
                  <c:v>-246.075990216017</c:v>
                </c:pt>
                <c:pt idx="253">
                  <c:v>-246.544146344493</c:v>
                </c:pt>
                <c:pt idx="254">
                  <c:v>-246.995924718998</c:v>
                </c:pt>
                <c:pt idx="255">
                  <c:v>-247.432164136448</c:v>
                </c:pt>
                <c:pt idx="256">
                  <c:v>-247.853647563287</c:v>
                </c:pt>
                <c:pt idx="257">
                  <c:v>-248.26110678291</c:v>
                </c:pt>
                <c:pt idx="258">
                  <c:v>-248.655226563476</c:v>
                </c:pt>
                <c:pt idx="259">
                  <c:v>-249.036648407398</c:v>
                </c:pt>
                <c:pt idx="260">
                  <c:v>-249.405973934222</c:v>
                </c:pt>
                <c:pt idx="261">
                  <c:v>-249.763767940833</c:v>
                </c:pt>
                <c:pt idx="262">
                  <c:v>-250.110561176501</c:v>
                </c:pt>
                <c:pt idx="263">
                  <c:v>-250.446852864998</c:v>
                </c:pt>
                <c:pt idx="264">
                  <c:v>-250.773113001611</c:v>
                </c:pt>
                <c:pt idx="265">
                  <c:v>-251.089784449172</c:v>
                </c:pt>
                <c:pt idx="266">
                  <c:v>-251.397284854132</c:v>
                </c:pt>
                <c:pt idx="267">
                  <c:v>-251.696008401086</c:v>
                </c:pt>
                <c:pt idx="268">
                  <c:v>-251.986327421878</c:v>
                </c:pt>
                <c:pt idx="269">
                  <c:v>-252.26859387354</c:v>
                </c:pt>
                <c:pt idx="270">
                  <c:v>-252.543140697646</c:v>
                </c:pt>
                <c:pt idx="271">
                  <c:v>-252.810283072256</c:v>
                </c:pt>
                <c:pt idx="272">
                  <c:v>-253.07031956637</c:v>
                </c:pt>
                <c:pt idx="273">
                  <c:v>-253.323533205766</c:v>
                </c:pt>
                <c:pt idx="274">
                  <c:v>-253.570192458133</c:v>
                </c:pt>
                <c:pt idx="275">
                  <c:v>-253.810552144611</c:v>
                </c:pt>
                <c:pt idx="276">
                  <c:v>-254.044854284104</c:v>
                </c:pt>
                <c:pt idx="277">
                  <c:v>-254.273328876111</c:v>
                </c:pt>
                <c:pt idx="278">
                  <c:v>-254.496194627258</c:v>
                </c:pt>
                <c:pt idx="279">
                  <c:v>-254.713659626187</c:v>
                </c:pt>
                <c:pt idx="280">
                  <c:v>-254.925921971061</c:v>
                </c:pt>
                <c:pt idx="281">
                  <c:v>-255.133170353488</c:v>
                </c:pt>
                <c:pt idx="282">
                  <c:v>-255.335584602374</c:v>
                </c:pt>
                <c:pt idx="283">
                  <c:v>-255.53333619085</c:v>
                </c:pt>
                <c:pt idx="284">
                  <c:v>-255.726588709156</c:v>
                </c:pt>
                <c:pt idx="285">
                  <c:v>-255.915498306114</c:v>
                </c:pt>
                <c:pt idx="286">
                  <c:v>-256.10021410158</c:v>
                </c:pt>
                <c:pt idx="287">
                  <c:v>-256.280878572059</c:v>
                </c:pt>
                <c:pt idx="288">
                  <c:v>-256.457627911497</c:v>
                </c:pt>
                <c:pt idx="289">
                  <c:v>-256.630592369067</c:v>
                </c:pt>
                <c:pt idx="290">
                  <c:v>-256.799896565641</c:v>
                </c:pt>
                <c:pt idx="291">
                  <c:v>-256.965659790488</c:v>
                </c:pt>
                <c:pt idx="292">
                  <c:v>-257.127996279604</c:v>
                </c:pt>
                <c:pt idx="293">
                  <c:v>-257.287015476989</c:v>
                </c:pt>
                <c:pt idx="294">
                  <c:v>-257.442822280052</c:v>
                </c:pt>
                <c:pt idx="295">
                  <c:v>-257.595517270271</c:v>
                </c:pt>
                <c:pt idx="296">
                  <c:v>-257.745196930092</c:v>
                </c:pt>
                <c:pt idx="297">
                  <c:v>-257.891953847036</c:v>
                </c:pt>
                <c:pt idx="298">
                  <c:v>-258.035876905859</c:v>
                </c:pt>
                <c:pt idx="299">
                  <c:v>-258.177051469572</c:v>
                </c:pt>
                <c:pt idx="300">
                  <c:v>-258.31555955006</c:v>
                </c:pt>
                <c:pt idx="301">
                  <c:v>-258.451479968985</c:v>
                </c:pt>
                <c:pt idx="302">
                  <c:v>-258.584888509606</c:v>
                </c:pt>
                <c:pt idx="303">
                  <c:v>-258.715858060099</c:v>
                </c:pt>
                <c:pt idx="304">
                  <c:v>-258.844458748933</c:v>
                </c:pt>
                <c:pt idx="305">
                  <c:v>-258.97075807279</c:v>
                </c:pt>
                <c:pt idx="306">
                  <c:v>-259.094821017517</c:v>
                </c:pt>
                <c:pt idx="307">
                  <c:v>-259.216710172531</c:v>
                </c:pt>
                <c:pt idx="308">
                  <c:v>-259.336485839086</c:v>
                </c:pt>
                <c:pt idx="309">
                  <c:v>-259.454206132793</c:v>
                </c:pt>
                <c:pt idx="310">
                  <c:v>-259.569927080714</c:v>
                </c:pt>
                <c:pt idx="311">
                  <c:v>-259.683702713393</c:v>
                </c:pt>
                <c:pt idx="312">
                  <c:v>-259.795585152097</c:v>
                </c:pt>
                <c:pt idx="313">
                  <c:v>-259.905624691575</c:v>
                </c:pt>
                <c:pt idx="314">
                  <c:v>-260.013869878583</c:v>
                </c:pt>
                <c:pt idx="315">
                  <c:v>-260.120367586432</c:v>
                </c:pt>
                <c:pt idx="316">
                  <c:v>-260.225163085793</c:v>
                </c:pt>
                <c:pt idx="317">
                  <c:v>-260.328300111962</c:v>
                </c:pt>
                <c:pt idx="318">
                  <c:v>-260.4298209288</c:v>
                </c:pt>
                <c:pt idx="319">
                  <c:v>-260.529766389531</c:v>
                </c:pt>
                <c:pt idx="320">
                  <c:v>-260.62817599458</c:v>
                </c:pt>
                <c:pt idx="321">
                  <c:v>-260.725087946605</c:v>
                </c:pt>
                <c:pt idx="322">
                  <c:v>-260.820539202895</c:v>
                </c:pt>
                <c:pt idx="323">
                  <c:v>-260.914565525269</c:v>
                </c:pt>
                <c:pt idx="324">
                  <c:v>-261.007201527611</c:v>
                </c:pt>
                <c:pt idx="325">
                  <c:v>-261.098480721176</c:v>
                </c:pt>
                <c:pt idx="326">
                  <c:v>-261.188435557786</c:v>
                </c:pt>
                <c:pt idx="327">
                  <c:v>-261.277097471025</c:v>
                </c:pt>
                <c:pt idx="328">
                  <c:v>-261.364496915541</c:v>
                </c:pt>
                <c:pt idx="329">
                  <c:v>-261.45066340456</c:v>
                </c:pt>
                <c:pt idx="330">
                  <c:v>-261.535625545695</c:v>
                </c:pt>
                <c:pt idx="331">
                  <c:v>-261.61941107515</c:v>
                </c:pt>
                <c:pt idx="332">
                  <c:v>-261.702046890394</c:v>
                </c:pt>
                <c:pt idx="333">
                  <c:v>-261.783559081393</c:v>
                </c:pt>
                <c:pt idx="334">
                  <c:v>-261.863972960455</c:v>
                </c:pt>
                <c:pt idx="335">
                  <c:v>-261.943313090783</c:v>
                </c:pt>
                <c:pt idx="336">
                  <c:v>-262.021603313779</c:v>
                </c:pt>
                <c:pt idx="337">
                  <c:v>-262.098866775177</c:v>
                </c:pt>
                <c:pt idx="338">
                  <c:v>-262.175125950052</c:v>
                </c:pt>
                <c:pt idx="339">
                  <c:v>-262.250402666768</c:v>
                </c:pt>
                <c:pt idx="340">
                  <c:v>-262.324718129915</c:v>
                </c:pt>
                <c:pt idx="341">
                  <c:v>-262.398092942276</c:v>
                </c:pt>
                <c:pt idx="342">
                  <c:v>-262.470547125891</c:v>
                </c:pt>
                <c:pt idx="343">
                  <c:v>-262.542100142233</c:v>
                </c:pt>
                <c:pt idx="344">
                  <c:v>-262.612770911569</c:v>
                </c:pt>
                <c:pt idx="345">
                  <c:v>-262.682577831516</c:v>
                </c:pt>
                <c:pt idx="346">
                  <c:v>-262.751538794855</c:v>
                </c:pt>
                <c:pt idx="347">
                  <c:v>-262.819671206615</c:v>
                </c:pt>
                <c:pt idx="348">
                  <c:v>-262.886992000482</c:v>
                </c:pt>
                <c:pt idx="349">
                  <c:v>-262.953517654545</c:v>
                </c:pt>
                <c:pt idx="350">
                  <c:v>-263.019264206428</c:v>
                </c:pt>
                <c:pt idx="351">
                  <c:v>-263.084247267819</c:v>
                </c:pt>
                <c:pt idx="352">
                  <c:v>-263.148482038431</c:v>
                </c:pt>
                <c:pt idx="353">
                  <c:v>-263.211983319428</c:v>
                </c:pt>
                <c:pt idx="354">
                  <c:v>-263.274765526326</c:v>
                </c:pt>
                <c:pt idx="355">
                  <c:v>-263.336842701399</c:v>
                </c:pt>
                <c:pt idx="356">
                  <c:v>-263.398228525612</c:v>
                </c:pt>
                <c:pt idx="357">
                  <c:v>-263.458936330109</c:v>
                </c:pt>
                <c:pt idx="358">
                  <c:v>-263.518979107253</c:v>
                </c:pt>
                <c:pt idx="359">
                  <c:v>-263.578369521268</c:v>
                </c:pt>
                <c:pt idx="360">
                  <c:v>-263.637119918476</c:v>
                </c:pt>
                <c:pt idx="361">
                  <c:v>-263.695242337156</c:v>
                </c:pt>
                <c:pt idx="362">
                  <c:v>-263.752748517042</c:v>
                </c:pt>
                <c:pt idx="363">
                  <c:v>-263.809649908471</c:v>
                </c:pt>
                <c:pt idx="364">
                  <c:v>-263.865957681204</c:v>
                </c:pt>
                <c:pt idx="365">
                  <c:v>-263.921682732921</c:v>
                </c:pt>
                <c:pt idx="366">
                  <c:v>-263.976835697414</c:v>
                </c:pt>
                <c:pt idx="367">
                  <c:v>-264.031426952487</c:v>
                </c:pt>
                <c:pt idx="368">
                  <c:v>-264.085466627577</c:v>
                </c:pt>
                <c:pt idx="369">
                  <c:v>-264.138964611101</c:v>
                </c:pt>
                <c:pt idx="370">
                  <c:v>-264.191930557551</c:v>
                </c:pt>
                <c:pt idx="371">
                  <c:v>-264.244373894333</c:v>
                </c:pt>
                <c:pt idx="372">
                  <c:v>-264.29630382838</c:v>
                </c:pt>
                <c:pt idx="373">
                  <c:v>-264.347729352523</c:v>
                </c:pt>
                <c:pt idx="374">
                  <c:v>-264.398659251654</c:v>
                </c:pt>
                <c:pt idx="375">
                  <c:v>-264.449102108673</c:v>
                </c:pt>
                <c:pt idx="376">
                  <c:v>-264.499066310236</c:v>
                </c:pt>
                <c:pt idx="377">
                  <c:v>-264.548560052303</c:v>
                </c:pt>
                <c:pt idx="378">
                  <c:v>-264.597591345507</c:v>
                </c:pt>
                <c:pt idx="379">
                  <c:v>-264.646168020339</c:v>
                </c:pt>
                <c:pt idx="380">
                  <c:v>-264.694297732162</c:v>
                </c:pt>
                <c:pt idx="381">
                  <c:v>-264.741987966056</c:v>
                </c:pt>
                <c:pt idx="382">
                  <c:v>-264.789246041511</c:v>
                </c:pt>
                <c:pt idx="383">
                  <c:v>-264.836079116959</c:v>
                </c:pt>
                <c:pt idx="384">
                  <c:v>-264.88249419416</c:v>
                </c:pt>
                <c:pt idx="385">
                  <c:v>-264.92849812245</c:v>
                </c:pt>
                <c:pt idx="386">
                  <c:v>-264.97409760285</c:v>
                </c:pt>
                <c:pt idx="387">
                  <c:v>-265.019299192037</c:v>
                </c:pt>
                <c:pt idx="388">
                  <c:v>-265.064109306201</c:v>
                </c:pt>
                <c:pt idx="389">
                  <c:v>-265.108534224771</c:v>
                </c:pt>
                <c:pt idx="390">
                  <c:v>-265.152580094021</c:v>
                </c:pt>
                <c:pt idx="391">
                  <c:v>-265.196252930574</c:v>
                </c:pt>
                <c:pt idx="392">
                  <c:v>-265.239558624782</c:v>
                </c:pt>
                <c:pt idx="393">
                  <c:v>-265.282502944016</c:v>
                </c:pt>
                <c:pt idx="394">
                  <c:v>-265.325091535842</c:v>
                </c:pt>
                <c:pt idx="395">
                  <c:v>-265.367329931106</c:v>
                </c:pt>
                <c:pt idx="396">
                  <c:v>-265.40922354692</c:v>
                </c:pt>
                <c:pt idx="397">
                  <c:v>-265.450777689564</c:v>
                </c:pt>
                <c:pt idx="398">
                  <c:v>-265.491997557295</c:v>
                </c:pt>
                <c:pt idx="399">
                  <c:v>-265.532888243067</c:v>
                </c:pt>
                <c:pt idx="400">
                  <c:v>-265.573454737181</c:v>
                </c:pt>
                <c:pt idx="401">
                  <c:v>-265.613701929846</c:v>
                </c:pt>
                <c:pt idx="402">
                  <c:v>-265.653634613666</c:v>
                </c:pt>
                <c:pt idx="403">
                  <c:v>-265.693257486058</c:v>
                </c:pt>
                <c:pt idx="404">
                  <c:v>-265.732575151592</c:v>
                </c:pt>
                <c:pt idx="405">
                  <c:v>-265.771592124269</c:v>
                </c:pt>
                <c:pt idx="406">
                  <c:v>-265.810312829724</c:v>
                </c:pt>
                <c:pt idx="407">
                  <c:v>-265.848741607377</c:v>
                </c:pt>
                <c:pt idx="408">
                  <c:v>-265.886882712512</c:v>
                </c:pt>
                <c:pt idx="409">
                  <c:v>-265.924740318298</c:v>
                </c:pt>
                <c:pt idx="410">
                  <c:v>-265.962318517758</c:v>
                </c:pt>
                <c:pt idx="411">
                  <c:v>-265.999621325672</c:v>
                </c:pt>
                <c:pt idx="412">
                  <c:v>-266.036652680437</c:v>
                </c:pt>
                <c:pt idx="413">
                  <c:v>-266.073416445866</c:v>
                </c:pt>
                <c:pt idx="414">
                  <c:v>-266.109916412939</c:v>
                </c:pt>
                <c:pt idx="415">
                  <c:v>-266.146156301509</c:v>
                </c:pt>
                <c:pt idx="416">
                  <c:v>-266.182139761954</c:v>
                </c:pt>
                <c:pt idx="417">
                  <c:v>-266.217870376788</c:v>
                </c:pt>
                <c:pt idx="418">
                  <c:v>-266.253351662224</c:v>
                </c:pt>
                <c:pt idx="419">
                  <c:v>-266.288587069698</c:v>
                </c:pt>
                <c:pt idx="420">
                  <c:v>-266.32357998735</c:v>
                </c:pt>
                <c:pt idx="421">
                  <c:v>-266.35833374146</c:v>
                </c:pt>
                <c:pt idx="422">
                  <c:v>-266.392851597853</c:v>
                </c:pt>
                <c:pt idx="423">
                  <c:v>-266.427136763262</c:v>
                </c:pt>
                <c:pt idx="424">
                  <c:v>-266.46119238665</c:v>
                </c:pt>
                <c:pt idx="425">
                  <c:v>-266.495021560508</c:v>
                </c:pt>
                <c:pt idx="426">
                  <c:v>-266.528627322106</c:v>
                </c:pt>
                <c:pt idx="427">
                  <c:v>-266.56201265472</c:v>
                </c:pt>
                <c:pt idx="428">
                  <c:v>-266.59518048882</c:v>
                </c:pt>
                <c:pt idx="429">
                  <c:v>-266.628133703233</c:v>
                </c:pt>
                <c:pt idx="430">
                  <c:v>-266.660875126271</c:v>
                </c:pt>
                <c:pt idx="431">
                  <c:v>-266.69340753683</c:v>
                </c:pt>
                <c:pt idx="432">
                  <c:v>-266.725733665463</c:v>
                </c:pt>
                <c:pt idx="433">
                  <c:v>-266.757856195423</c:v>
                </c:pt>
                <c:pt idx="434">
                  <c:v>-266.789777763679</c:v>
                </c:pt>
                <c:pt idx="435">
                  <c:v>-266.821500961911</c:v>
                </c:pt>
                <c:pt idx="436">
                  <c:v>-266.853028337469</c:v>
                </c:pt>
                <c:pt idx="437">
                  <c:v>-266.88436239432</c:v>
                </c:pt>
                <c:pt idx="438">
                  <c:v>-266.915505593962</c:v>
                </c:pt>
                <c:pt idx="439">
                  <c:v>-266.946460356318</c:v>
                </c:pt>
                <c:pt idx="440">
                  <c:v>-266.977229060611</c:v>
                </c:pt>
                <c:pt idx="441">
                  <c:v>-267.007814046208</c:v>
                </c:pt>
                <c:pt idx="442">
                  <c:v>-267.038217613456</c:v>
                </c:pt>
                <c:pt idx="443">
                  <c:v>-267.068442024483</c:v>
                </c:pt>
                <c:pt idx="444">
                  <c:v>-267.098489503991</c:v>
                </c:pt>
                <c:pt idx="445">
                  <c:v>-267.128362240024</c:v>
                </c:pt>
                <c:pt idx="446">
                  <c:v>-267.158062384717</c:v>
                </c:pt>
                <c:pt idx="447">
                  <c:v>-267.187592055027</c:v>
                </c:pt>
                <c:pt idx="448">
                  <c:v>-267.21695333345</c:v>
                </c:pt>
                <c:pt idx="449">
                  <c:v>-267.246148268713</c:v>
                </c:pt>
                <c:pt idx="450">
                  <c:v>-267.275178876461</c:v>
                </c:pt>
                <c:pt idx="451">
                  <c:v>-267.304047139911</c:v>
                </c:pt>
                <c:pt idx="452">
                  <c:v>-267.332755010508</c:v>
                </c:pt>
                <c:pt idx="453">
                  <c:v>-267.361304408553</c:v>
                </c:pt>
                <c:pt idx="454">
                  <c:v>-267.389697223821</c:v>
                </c:pt>
                <c:pt idx="455">
                  <c:v>-267.417935316166</c:v>
                </c:pt>
                <c:pt idx="456">
                  <c:v>-267.446020516104</c:v>
                </c:pt>
                <c:pt idx="457">
                  <c:v>-267.473954625392</c:v>
                </c:pt>
                <c:pt idx="458">
                  <c:v>-267.501739417591</c:v>
                </c:pt>
                <c:pt idx="459">
                  <c:v>-267.529376638607</c:v>
                </c:pt>
                <c:pt idx="460">
                  <c:v>-267.556868007234</c:v>
                </c:pt>
                <c:pt idx="461">
                  <c:v>-267.584215215673</c:v>
                </c:pt>
                <c:pt idx="462">
                  <c:v>-267.611419930043</c:v>
                </c:pt>
                <c:pt idx="463">
                  <c:v>-267.638483790882</c:v>
                </c:pt>
                <c:pt idx="464">
                  <c:v>-267.665408413635</c:v>
                </c:pt>
                <c:pt idx="465">
                  <c:v>-267.692195389128</c:v>
                </c:pt>
                <c:pt idx="466">
                  <c:v>-267.718846284037</c:v>
                </c:pt>
                <c:pt idx="467">
                  <c:v>-267.745362641344</c:v>
                </c:pt>
                <c:pt idx="468">
                  <c:v>-267.771745980778</c:v>
                </c:pt>
                <c:pt idx="469">
                  <c:v>-267.797997799254</c:v>
                </c:pt>
                <c:pt idx="470">
                  <c:v>-267.824119571297</c:v>
                </c:pt>
                <c:pt idx="471">
                  <c:v>-267.850112749461</c:v>
                </c:pt>
                <c:pt idx="472">
                  <c:v>-267.87597876473</c:v>
                </c:pt>
                <c:pt idx="473">
                  <c:v>-267.901719026921</c:v>
                </c:pt>
                <c:pt idx="474">
                  <c:v>-267.927334925071</c:v>
                </c:pt>
                <c:pt idx="475">
                  <c:v>-267.952827827818</c:v>
                </c:pt>
                <c:pt idx="476">
                  <c:v>-267.978199083771</c:v>
                </c:pt>
                <c:pt idx="477">
                  <c:v>-268.003450021879</c:v>
                </c:pt>
                <c:pt idx="478">
                  <c:v>-268.028581951784</c:v>
                </c:pt>
                <c:pt idx="479">
                  <c:v>-268.053596164167</c:v>
                </c:pt>
                <c:pt idx="480">
                  <c:v>-268.078493931097</c:v>
                </c:pt>
                <c:pt idx="481">
                  <c:v>-268.103276506354</c:v>
                </c:pt>
                <c:pt idx="482">
                  <c:v>-268.127945125765</c:v>
                </c:pt>
                <c:pt idx="483">
                  <c:v>-268.152501007518</c:v>
                </c:pt>
                <c:pt idx="484">
                  <c:v>-268.176945352478</c:v>
                </c:pt>
                <c:pt idx="485">
                  <c:v>-268.20127934449</c:v>
                </c:pt>
                <c:pt idx="486">
                  <c:v>-268.225504150681</c:v>
                </c:pt>
                <c:pt idx="487">
                  <c:v>-268.249620921754</c:v>
                </c:pt>
                <c:pt idx="488">
                  <c:v>-268.273630792273</c:v>
                </c:pt>
                <c:pt idx="489">
                  <c:v>-268.297534880945</c:v>
                </c:pt>
                <c:pt idx="490">
                  <c:v>-268.321334290898</c:v>
                </c:pt>
                <c:pt idx="491">
                  <c:v>-268.345030109945</c:v>
                </c:pt>
                <c:pt idx="492">
                  <c:v>-268.368623410854</c:v>
                </c:pt>
                <c:pt idx="493">
                  <c:v>-268.392115251605</c:v>
                </c:pt>
                <c:pt idx="494">
                  <c:v>-268.41550667564</c:v>
                </c:pt>
                <c:pt idx="495">
                  <c:v>-268.438798712118</c:v>
                </c:pt>
                <c:pt idx="496">
                  <c:v>-268.461992376149</c:v>
                </c:pt>
                <c:pt idx="497">
                  <c:v>-268.485088669041</c:v>
                </c:pt>
                <c:pt idx="498">
                  <c:v>-268.508088578529</c:v>
                </c:pt>
                <c:pt idx="499">
                  <c:v>-268.530993079004</c:v>
                </c:pt>
                <c:pt idx="500">
                  <c:v>-268.553803131736</c:v>
                </c:pt>
                <c:pt idx="501">
                  <c:v>-268.576519685097</c:v>
                </c:pt>
                <c:pt idx="502">
                  <c:v>-268.599143674773</c:v>
                </c:pt>
                <c:pt idx="503">
                  <c:v>-268.621676023976</c:v>
                </c:pt>
                <c:pt idx="504">
                  <c:v>-268.644117643651</c:v>
                </c:pt>
                <c:pt idx="505">
                  <c:v>-268.666469432679</c:v>
                </c:pt>
                <c:pt idx="506">
                  <c:v>-268.688732278073</c:v>
                </c:pt>
                <c:pt idx="507">
                  <c:v>-268.710907055177</c:v>
                </c:pt>
                <c:pt idx="508">
                  <c:v>-268.732994627853</c:v>
                </c:pt>
                <c:pt idx="509">
                  <c:v>-268.754995848671</c:v>
                </c:pt>
                <c:pt idx="510">
                  <c:v>-268.776911559089</c:v>
                </c:pt>
                <c:pt idx="511">
                  <c:v>-268.798742589638</c:v>
                </c:pt>
                <c:pt idx="512">
                  <c:v>-268.820489760094</c:v>
                </c:pt>
                <c:pt idx="513">
                  <c:v>-268.842153879653</c:v>
                </c:pt>
                <c:pt idx="514">
                  <c:v>-268.863735747101</c:v>
                </c:pt>
                <c:pt idx="515">
                  <c:v>-268.88523615098</c:v>
                </c:pt>
                <c:pt idx="516">
                  <c:v>-268.90665586975</c:v>
                </c:pt>
                <c:pt idx="517">
                  <c:v>-268.927995671954</c:v>
                </c:pt>
                <c:pt idx="518">
                  <c:v>-268.949256316367</c:v>
                </c:pt>
                <c:pt idx="519">
                  <c:v>-268.970438552159</c:v>
                </c:pt>
                <c:pt idx="520">
                  <c:v>-268.991543119039</c:v>
                </c:pt>
                <c:pt idx="521">
                  <c:v>-269.01257074741</c:v>
                </c:pt>
                <c:pt idx="522">
                  <c:v>-269.033522158508</c:v>
                </c:pt>
                <c:pt idx="523">
                  <c:v>-269.054398064551</c:v>
                </c:pt>
                <c:pt idx="524">
                  <c:v>-269.075199168873</c:v>
                </c:pt>
                <c:pt idx="525">
                  <c:v>-269.095926166069</c:v>
                </c:pt>
                <c:pt idx="526">
                  <c:v>-269.116579742125</c:v>
                </c:pt>
                <c:pt idx="527">
                  <c:v>-269.13716057455</c:v>
                </c:pt>
                <c:pt idx="528">
                  <c:v>-269.15766933251</c:v>
                </c:pt>
                <c:pt idx="529">
                  <c:v>-269.178106676954</c:v>
                </c:pt>
                <c:pt idx="530">
                  <c:v>-269.198473260737</c:v>
                </c:pt>
                <c:pt idx="531">
                  <c:v>-269.218769728749</c:v>
                </c:pt>
                <c:pt idx="532">
                  <c:v>-269.238996718029</c:v>
                </c:pt>
                <c:pt idx="533">
                  <c:v>-269.259154857889</c:v>
                </c:pt>
                <c:pt idx="534">
                  <c:v>-269.279244770028</c:v>
                </c:pt>
                <c:pt idx="535">
                  <c:v>-269.299267068648</c:v>
                </c:pt>
                <c:pt idx="536">
                  <c:v>-269.319222360564</c:v>
                </c:pt>
                <c:pt idx="537">
                  <c:v>-269.339111245318</c:v>
                </c:pt>
                <c:pt idx="538">
                  <c:v>-269.358934315284</c:v>
                </c:pt>
                <c:pt idx="539">
                  <c:v>-269.378692155776</c:v>
                </c:pt>
                <c:pt idx="540">
                  <c:v>-269.398385345153</c:v>
                </c:pt>
                <c:pt idx="541">
                  <c:v>-269.418014454922</c:v>
                </c:pt>
                <c:pt idx="542">
                  <c:v>-269.437580049836</c:v>
                </c:pt>
                <c:pt idx="543">
                  <c:v>-269.457082687998</c:v>
                </c:pt>
                <c:pt idx="544">
                  <c:v>-269.476522920954</c:v>
                </c:pt>
                <c:pt idx="545">
                  <c:v>-269.495901293792</c:v>
                </c:pt>
                <c:pt idx="546">
                  <c:v>-269.515218345235</c:v>
                </c:pt>
                <c:pt idx="547">
                  <c:v>-269.534474607729</c:v>
                </c:pt>
                <c:pt idx="548">
                  <c:v>-269.553670607544</c:v>
                </c:pt>
                <c:pt idx="549">
                  <c:v>-269.572806864853</c:v>
                </c:pt>
                <c:pt idx="550">
                  <c:v>-269.591883893824</c:v>
                </c:pt>
                <c:pt idx="551">
                  <c:v>-269.610902202709</c:v>
                </c:pt>
                <c:pt idx="552">
                  <c:v>-269.629862293921</c:v>
                </c:pt>
                <c:pt idx="553">
                  <c:v>-269.648764664126</c:v>
                </c:pt>
                <c:pt idx="554">
                  <c:v>-269.66760980432</c:v>
                </c:pt>
                <c:pt idx="555">
                  <c:v>-269.686398199908</c:v>
                </c:pt>
                <c:pt idx="556">
                  <c:v>-269.705130330789</c:v>
                </c:pt>
                <c:pt idx="557">
                  <c:v>-269.723806671428</c:v>
                </c:pt>
                <c:pt idx="558">
                  <c:v>-269.742427690933</c:v>
                </c:pt>
                <c:pt idx="559">
                  <c:v>-269.760993853136</c:v>
                </c:pt>
                <c:pt idx="560">
                  <c:v>-269.779505616658</c:v>
                </c:pt>
                <c:pt idx="561">
                  <c:v>-269.79796343499</c:v>
                </c:pt>
                <c:pt idx="562">
                  <c:v>-269.816367756558</c:v>
                </c:pt>
                <c:pt idx="563">
                  <c:v>-269.834719024799</c:v>
                </c:pt>
                <c:pt idx="564">
                  <c:v>-269.853017678223</c:v>
                </c:pt>
                <c:pt idx="565">
                  <c:v>-269.871264150489</c:v>
                </c:pt>
                <c:pt idx="566">
                  <c:v>-269.889458870465</c:v>
                </c:pt>
                <c:pt idx="567">
                  <c:v>-269.907602262298</c:v>
                </c:pt>
                <c:pt idx="568">
                  <c:v>-269.925694745477</c:v>
                </c:pt>
                <c:pt idx="569">
                  <c:v>-269.943736734897</c:v>
                </c:pt>
                <c:pt idx="570">
                  <c:v>-269.96172864092</c:v>
                </c:pt>
                <c:pt idx="571">
                  <c:v>-269.979670869439</c:v>
                </c:pt>
                <c:pt idx="572">
                  <c:v>-269.997563821939</c:v>
                </c:pt>
                <c:pt idx="573">
                  <c:v>-270.015407895551</c:v>
                </c:pt>
                <c:pt idx="574">
                  <c:v>-270.033203483119</c:v>
                </c:pt>
                <c:pt idx="575">
                  <c:v>-270.05095097325</c:v>
                </c:pt>
                <c:pt idx="576">
                  <c:v>-270.068650750375</c:v>
                </c:pt>
                <c:pt idx="577">
                  <c:v>-270.086303194805</c:v>
                </c:pt>
                <c:pt idx="578">
                  <c:v>-270.103908682782</c:v>
                </c:pt>
                <c:pt idx="579">
                  <c:v>-270.121467586539</c:v>
                </c:pt>
                <c:pt idx="580">
                  <c:v>-270.138980274347</c:v>
                </c:pt>
                <c:pt idx="581">
                  <c:v>-270.156447110572</c:v>
                </c:pt>
                <c:pt idx="582">
                  <c:v>-270.173868455725</c:v>
                </c:pt>
                <c:pt idx="583">
                  <c:v>-270.19124466651</c:v>
                </c:pt>
                <c:pt idx="584">
                  <c:v>-270.20857609588</c:v>
                </c:pt>
                <c:pt idx="585">
                  <c:v>-270.225863093079</c:v>
                </c:pt>
                <c:pt idx="586">
                  <c:v>-270.243106003698</c:v>
                </c:pt>
                <c:pt idx="587">
                  <c:v>-270.260305169714</c:v>
                </c:pt>
                <c:pt idx="588">
                  <c:v>-270.277460929545</c:v>
                </c:pt>
                <c:pt idx="589">
                  <c:v>-270.294573618091</c:v>
                </c:pt>
                <c:pt idx="590">
                  <c:v>-270.31164356678</c:v>
                </c:pt>
                <c:pt idx="591">
                  <c:v>-270.328671103615</c:v>
                </c:pt>
                <c:pt idx="592">
                  <c:v>-270.345656553216</c:v>
                </c:pt>
                <c:pt idx="593">
                  <c:v>-270.362600236866</c:v>
                </c:pt>
                <c:pt idx="594">
                  <c:v>-270.379502472547</c:v>
                </c:pt>
                <c:pt idx="595">
                  <c:v>-270.396363574992</c:v>
                </c:pt>
                <c:pt idx="596">
                  <c:v>-270.413183855718</c:v>
                </c:pt>
                <c:pt idx="597">
                  <c:v>-270.429963623072</c:v>
                </c:pt>
                <c:pt idx="598">
                  <c:v>-270.446703182266</c:v>
                </c:pt>
                <c:pt idx="599">
                  <c:v>-270.463402835422</c:v>
                </c:pt>
                <c:pt idx="600">
                  <c:v>-270.480062881609</c:v>
                </c:pt>
                <c:pt idx="601">
                  <c:v>-270.496683616879</c:v>
                </c:pt>
                <c:pt idx="602">
                  <c:v>-270.513265334307</c:v>
                </c:pt>
                <c:pt idx="603">
                  <c:v>-270.52980832403</c:v>
                </c:pt>
                <c:pt idx="604">
                  <c:v>-270.546312873279</c:v>
                </c:pt>
                <c:pt idx="605">
                  <c:v>-270.562779266418</c:v>
                </c:pt>
                <c:pt idx="606">
                  <c:v>-271.342995026443</c:v>
                </c:pt>
                <c:pt idx="607">
                  <c:v>-272.055504982781</c:v>
                </c:pt>
                <c:pt idx="608">
                  <c:v>-272.718416467507</c:v>
                </c:pt>
                <c:pt idx="609">
                  <c:v>-273.343785830001</c:v>
                </c:pt>
                <c:pt idx="610">
                  <c:v>-273.939940517342</c:v>
                </c:pt>
                <c:pt idx="611">
                  <c:v>-274.512808540961</c:v>
                </c:pt>
                <c:pt idx="612">
                  <c:v>-275.066717337729</c:v>
                </c:pt>
                <c:pt idx="613">
                  <c:v>-275.604893644143</c:v>
                </c:pt>
                <c:pt idx="614">
                  <c:v>-276.129787255358</c:v>
                </c:pt>
                <c:pt idx="615">
                  <c:v>-276.643287040374</c:v>
                </c:pt>
                <c:pt idx="616">
                  <c:v>-277.146868847451</c:v>
                </c:pt>
                <c:pt idx="617">
                  <c:v>-277.641699104952</c:v>
                </c:pt>
                <c:pt idx="618">
                  <c:v>-277.837508653777</c:v>
                </c:pt>
                <c:pt idx="619">
                  <c:v>-278.032116263606</c:v>
                </c:pt>
                <c:pt idx="620">
                  <c:v>-278.225568861502</c:v>
                </c:pt>
                <c:pt idx="621">
                  <c:v>-278.417909588296</c:v>
                </c:pt>
                <c:pt idx="622">
                  <c:v>-278.609178147125</c:v>
                </c:pt>
                <c:pt idx="623">
                  <c:v>-278.799411114693</c:v>
                </c:pt>
                <c:pt idx="624">
                  <c:v>-278.988642219832</c:v>
                </c:pt>
                <c:pt idx="625">
                  <c:v>-279.176902593299</c:v>
                </c:pt>
                <c:pt idx="626">
                  <c:v>-279.364220992224</c:v>
                </c:pt>
                <c:pt idx="627">
                  <c:v>-279.550624002161</c:v>
                </c:pt>
                <c:pt idx="628">
                  <c:v>-279.736136219294</c:v>
                </c:pt>
                <c:pt idx="629">
                  <c:v>-279.920780415062</c:v>
                </c:pt>
                <c:pt idx="630">
                  <c:v>-280.10457768513</c:v>
                </c:pt>
                <c:pt idx="631">
                  <c:v>-280.287547584421</c:v>
                </c:pt>
                <c:pt idx="632">
                  <c:v>-280.469708249717</c:v>
                </c:pt>
                <c:pt idx="633">
                  <c:v>-280.651076511132</c:v>
                </c:pt>
                <c:pt idx="634">
                  <c:v>-280.831667993626</c:v>
                </c:pt>
                <c:pt idx="635">
                  <c:v>-281.011497209577</c:v>
                </c:pt>
                <c:pt idx="636">
                  <c:v>-281.190577643324</c:v>
                </c:pt>
                <c:pt idx="637">
                  <c:v>-281.368921828468</c:v>
                </c:pt>
                <c:pt idx="638">
                  <c:v>-281.546541418661</c:v>
                </c:pt>
                <c:pt idx="639">
                  <c:v>-281.723447252501</c:v>
                </c:pt>
                <c:pt idx="640">
                  <c:v>-281.899649413098</c:v>
                </c:pt>
                <c:pt idx="641">
                  <c:v>-282.075157282824</c:v>
                </c:pt>
                <c:pt idx="642">
                  <c:v>-282.249979593673</c:v>
                </c:pt>
                <c:pt idx="643">
                  <c:v>-282.424124473666</c:v>
                </c:pt>
                <c:pt idx="644">
                  <c:v>-282.597599489622</c:v>
                </c:pt>
                <c:pt idx="645">
                  <c:v>-282.770411686654</c:v>
                </c:pt>
                <c:pt idx="646">
                  <c:v>-282.942567624651</c:v>
                </c:pt>
                <c:pt idx="647">
                  <c:v>-283.114073412033</c:v>
                </c:pt>
                <c:pt idx="648">
                  <c:v>-283.284934736984</c:v>
                </c:pt>
                <c:pt idx="649">
                  <c:v>-283.455156896415</c:v>
                </c:pt>
                <c:pt idx="650">
                  <c:v>-283.624744822807</c:v>
                </c:pt>
                <c:pt idx="651">
                  <c:v>-283.793703109142</c:v>
                </c:pt>
                <c:pt idx="652">
                  <c:v>-283.962036032058</c:v>
                </c:pt>
                <c:pt idx="653">
                  <c:v>-284.129747573383</c:v>
                </c:pt>
                <c:pt idx="654">
                  <c:v>-284.29684144017</c:v>
                </c:pt>
                <c:pt idx="655">
                  <c:v>-284.463321083357</c:v>
                </c:pt>
                <c:pt idx="656">
                  <c:v>-284.629189715151</c:v>
                </c:pt>
                <c:pt idx="657">
                  <c:v>-284.794450325251</c:v>
                </c:pt>
                <c:pt idx="658">
                  <c:v>-284.959105695973</c:v>
                </c:pt>
                <c:pt idx="659">
                  <c:v>-285.123158416385</c:v>
                </c:pt>
                <c:pt idx="660">
                  <c:v>-285.28661089551</c:v>
                </c:pt>
                <c:pt idx="661">
                  <c:v>-285.449465374671</c:v>
                </c:pt>
                <c:pt idx="662">
                  <c:v>-285.611723939039</c:v>
                </c:pt>
                <c:pt idx="663">
                  <c:v>-285.773388528443</c:v>
                </c:pt>
                <c:pt idx="664">
                  <c:v>-285.934460947494</c:v>
                </c:pt>
                <c:pt idx="665">
                  <c:v>-286.094942875071</c:v>
                </c:pt>
                <c:pt idx="666">
                  <c:v>-286.254835873211</c:v>
                </c:pt>
                <c:pt idx="667">
                  <c:v>-286.414141395448</c:v>
                </c:pt>
              </c:numCache>
            </c:numRef>
          </c:yVal>
        </c:ser>
        <c:ser>
          <c:idx val="1"/>
          <c:order val="1"/>
          <c:tx>
            <c:strRef>
              <c:f>"Fc1"</c:f>
              <c:strCache>
                <c:ptCount val="1"/>
                <c:pt idx="0">
                  <c:v>Fc1</c:v>
                </c:pt>
              </c:strCache>
            </c:strRef>
          </c:tx>
          <c:spPr>
            <a:solidFill>
              <a:srgbClr val="808080"/>
            </a:solidFill>
            <a:ln w="25560">
              <a:solidFill>
                <a:srgbClr val="808080"/>
              </a:solidFill>
              <a:custDash/>
              <a:round/>
            </a:ln>
          </c:spPr>
          <c:marker>
            <c:size val="7"/>
          </c:marker>
          <c:xVal>
            <c:numRef>
              <c:f>'Bode Plots Calculations'!$B$690:$B$691</c:f>
              <c:numCache>
                <c:formatCode>General</c:formatCode>
                <c:ptCount val="2"/>
                <c:pt idx="0">
                  <c:v>415</c:v>
                </c:pt>
                <c:pt idx="1">
                  <c:v>415</c:v>
                </c:pt>
              </c:numCache>
            </c:numRef>
          </c:xVal>
          <c:yVal>
            <c:numRef>
              <c:f>'Bode Plots Calculations'!$BG$690:$BG$691</c:f>
              <c:numCache>
                <c:formatCode>General</c:formatCode>
                <c:ptCount val="2"/>
                <c:pt idx="0">
                  <c:v>103.542372294183</c:v>
                </c:pt>
                <c:pt idx="1">
                  <c:v>-90</c:v>
                </c:pt>
              </c:numCache>
            </c:numRef>
          </c:yVal>
        </c:ser>
        <c:ser>
          <c:idx val="2"/>
          <c:order val="2"/>
          <c:tx>
            <c:strRef>
              <c:f>"Fc2"</c:f>
              <c:strCache>
                <c:ptCount val="1"/>
                <c:pt idx="0">
                  <c:v>Fc2</c:v>
                </c:pt>
              </c:strCache>
            </c:strRef>
          </c:tx>
          <c:spPr>
            <a:solidFill>
              <a:srgbClr val="808080"/>
            </a:solidFill>
            <a:ln w="25560">
              <a:solidFill>
                <a:srgbClr val="808080"/>
              </a:solidFill>
              <a:custDash/>
              <a:round/>
            </a:ln>
          </c:spPr>
          <c:marker>
            <c:size val="7"/>
          </c:marker>
          <c:xVal>
            <c:numRef>
              <c:f>'Bode Plots Calculations'!$B$688:$B$689</c:f>
              <c:numCache>
                <c:formatCode>General</c:formatCode>
                <c:ptCount val="2"/>
                <c:pt idx="0">
                  <c:v>415</c:v>
                </c:pt>
                <c:pt idx="1">
                  <c:v>1000</c:v>
                </c:pt>
              </c:numCache>
            </c:numRef>
          </c:xVal>
          <c:yVal>
            <c:numRef>
              <c:f>'Bode Plots Calculations'!$BG$688:$BG$689</c:f>
              <c:numCache>
                <c:formatCode>General</c:formatCode>
                <c:ptCount val="2"/>
                <c:pt idx="0">
                  <c:v>103.542372294183</c:v>
                </c:pt>
                <c:pt idx="1">
                  <c:v>103.542372294183</c:v>
                </c:pt>
              </c:numCache>
            </c:numRef>
          </c:yVal>
        </c:ser>
        <c:axId val="28371"/>
        <c:axId val="31815"/>
      </c:scatterChart>
      <c:valAx>
        <c:axId val="30370"/>
        <c:scaling>
          <c:orientation val="minMax"/>
          <c:logBase val="10"/>
          <c:max val="1000"/>
          <c:min val="1"/>
        </c:scaling>
        <c:delete val="0"/>
        <c:axPos val="b"/>
        <c:majorGridlines>
          <c:spPr>
            <a:ln w="3240">
              <a:solidFill>
                <a:srgbClr val="969696"/>
              </a:solidFill>
              <a:round/>
            </a:ln>
          </c:spPr>
        </c:majorGridlines>
        <c:minorGridlines>
          <c:spPr>
            <a:ln w="3240">
              <a:solidFill>
                <a:srgbClr val="969696"/>
              </a:solidFill>
              <a:round/>
            </a:ln>
          </c:spPr>
        </c:minorGridlines>
        <c:title>
          <c:tx>
            <c:rich>
              <a:bodyPr/>
              <a:lstStyle/>
              <a:p>
                <a:pPr>
                  <a:defRPr/>
                </a:pPr>
                <a:r>
                  <a:rPr b="1" sz="1200">
                    <a:solidFill>
                      <a:srgbClr val="000000"/>
                    </a:solidFill>
                    <a:latin typeface="Arial"/>
                    <a:ea typeface="Calibri"/>
                  </a:rPr>
                  <a:t>Frequency (kHz)</a:t>
                </a:r>
              </a:p>
            </c:rich>
          </c:tx>
          <c:layout/>
        </c:title>
        <c:majorTickMark val="in"/>
        <c:minorTickMark val="in"/>
        <c:tickLblPos val="nextTo"/>
        <c:spPr>
          <a:ln w="3240">
            <a:solidFill>
              <a:srgbClr val="000000"/>
            </a:solidFill>
            <a:round/>
          </a:ln>
        </c:spPr>
        <c:crossAx val="13972"/>
        <c:crossesAt val="-80"/>
      </c:valAx>
      <c:valAx>
        <c:axId val="13972"/>
        <c:scaling>
          <c:orientation val="minMax"/>
          <c:max val="40"/>
          <c:min val="-40"/>
        </c:scaling>
        <c:delete val="0"/>
        <c:axPos val="l"/>
        <c:majorGridlines>
          <c:spPr>
            <a:ln w="3240">
              <a:solidFill>
                <a:srgbClr val="969696"/>
              </a:solidFill>
              <a:round/>
            </a:ln>
          </c:spPr>
        </c:majorGridlines>
        <c:title>
          <c:tx>
            <c:rich>
              <a:bodyPr/>
              <a:lstStyle/>
              <a:p>
                <a:pPr>
                  <a:defRPr/>
                </a:pPr>
                <a:r>
                  <a:rPr b="1" sz="1200">
                    <a:solidFill>
                      <a:srgbClr val="ff0000"/>
                    </a:solidFill>
                    <a:latin typeface="Arial"/>
                    <a:ea typeface="Calibri"/>
                  </a:rPr>
                  <a:t>Gain (dB)</a:t>
                </a:r>
              </a:p>
            </c:rich>
          </c:tx>
          <c:layout/>
        </c:title>
        <c:majorTickMark val="out"/>
        <c:minorTickMark val="none"/>
        <c:tickLblPos val="nextTo"/>
        <c:spPr>
          <a:ln w="3240">
            <a:solidFill>
              <a:srgbClr val="000000"/>
            </a:solidFill>
            <a:round/>
          </a:ln>
        </c:spPr>
        <c:crossAx val="30370"/>
        <c:crossesAt val="1"/>
        <c:majorUnit val="10"/>
      </c:valAx>
      <c:valAx>
        <c:axId val="28371"/>
        <c:scaling>
          <c:orientation val="minMax"/>
          <c:logBase val="10"/>
          <c:max val="1000"/>
          <c:min val="1"/>
        </c:scaling>
        <c:delete val="0"/>
        <c:axPos val="b"/>
        <c:majorGridlines>
          <c:spPr>
            <a:ln w="3240">
              <a:solidFill>
                <a:srgbClr val="969696"/>
              </a:solidFill>
              <a:round/>
            </a:ln>
          </c:spPr>
        </c:majorGridlines>
        <c:minorGridlines>
          <c:spPr>
            <a:ln w="3240">
              <a:solidFill>
                <a:srgbClr val="969696"/>
              </a:solidFill>
              <a:round/>
            </a:ln>
          </c:spPr>
        </c:minorGridlines>
        <c:title>
          <c:tx>
            <c:rich>
              <a:bodyPr/>
              <a:lstStyle/>
              <a:p>
                <a:pPr>
                  <a:defRPr/>
                </a:pPr>
                <a:r>
                  <a:rPr b="1" sz="1200">
                    <a:solidFill>
                      <a:srgbClr val="000000"/>
                    </a:solidFill>
                    <a:latin typeface="Arial"/>
                    <a:ea typeface="Calibri"/>
                  </a:rPr>
                  <a:t>Frequency (kHz)</a:t>
                </a:r>
              </a:p>
            </c:rich>
          </c:tx>
          <c:layout/>
        </c:title>
        <c:majorTickMark val="in"/>
        <c:minorTickMark val="in"/>
        <c:tickLblPos val="nextTo"/>
        <c:spPr>
          <a:ln w="3240">
            <a:solidFill>
              <a:srgbClr val="000000"/>
            </a:solidFill>
            <a:round/>
          </a:ln>
        </c:spPr>
        <c:crossAx val="31815"/>
        <c:crossesAt val="-80"/>
      </c:valAx>
      <c:valAx>
        <c:axId val="31815"/>
        <c:scaling>
          <c:orientation val="minMax"/>
          <c:max val="0"/>
          <c:min val="-180"/>
        </c:scaling>
        <c:delete val="0"/>
        <c:axPos val="l"/>
        <c:title>
          <c:tx>
            <c:rich>
              <a:bodyPr/>
              <a:lstStyle/>
              <a:p>
                <a:pPr>
                  <a:defRPr/>
                </a:pPr>
                <a:r>
                  <a:rPr b="1" sz="1200">
                    <a:solidFill>
                      <a:srgbClr val="002060"/>
                    </a:solidFill>
                    <a:latin typeface="Arial"/>
                    <a:ea typeface="Calibri"/>
                  </a:rPr>
                  <a:t>Phase  (°)</a:t>
                </a:r>
              </a:p>
            </c:rich>
          </c:tx>
          <c:layout/>
        </c:title>
        <c:majorTickMark val="cross"/>
        <c:minorTickMark val="none"/>
        <c:tickLblPos val="nextTo"/>
        <c:spPr>
          <a:ln w="3240">
            <a:solidFill>
              <a:srgbClr val="000000"/>
            </a:solidFill>
            <a:round/>
          </a:ln>
        </c:spPr>
        <c:crossAx val="28371"/>
        <c:crosses val="max"/>
        <c:majorUnit val="45"/>
      </c:valAx>
      <c:spPr>
        <a:noFill/>
        <a:ln w="12600">
          <a:solidFill>
            <a:srgbClr val="808080"/>
          </a:solidFill>
          <a:round/>
        </a:ln>
      </c:spPr>
    </c:plotArea>
    <c:legend>
      <c:legendPos val="r"/>
      <c:overlay val="0"/>
      <c:spPr>
        <a:noFill/>
        <a:ln w="25560">
          <a:noFill/>
        </a:ln>
      </c:spPr>
    </c:legend>
    <c:plotVisOnly val="1"/>
  </c:chart>
  <c:spPr>
    <a:noFill/>
    <a:ln w="9360">
      <a:solidFill>
        <a:srgbClr val="808080"/>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b="1">
                <a:solidFill>
                  <a:srgbClr val="000000"/>
                </a:solidFill>
                <a:latin typeface="Arial"/>
                <a:ea typeface="Calibri"/>
              </a:rPr>
              <a:t>, VIN = VIN(nom)</a:t>
            </a:r>
          </a:p>
        </c:rich>
      </c:tx>
      <c:layout/>
    </c:title>
    <c:plotArea>
      <c:layout/>
      <c:lineChart>
        <c:grouping val="standard"/>
        <c:ser>
          <c:idx val="0"/>
          <c:order val="0"/>
          <c:tx>
            <c:strRef>
              <c:f>" Efficiency"</c:f>
              <c:strCache>
                <c:ptCount val="1"/>
                <c:pt idx="0">
                  <c:v> Efficiency</c:v>
                </c:pt>
              </c:strCache>
            </c:strRef>
          </c:tx>
          <c:spPr>
            <a:solidFill>
              <a:srgbClr val="ff0000"/>
            </a:solidFill>
            <a:ln w="38160">
              <a:solidFill>
                <a:srgbClr val="ff0000"/>
              </a:solidFill>
              <a:round/>
            </a:ln>
          </c:spPr>
          <c:marker>
            <c:symbol val="none"/>
          </c:marker>
          <c:dLbls>
            <c:showLegendKey val="0"/>
            <c:showVal val="0"/>
            <c:showCatName val="0"/>
            <c:showSerName val="0"/>
            <c:showPercent val="0"/>
          </c:dLbls>
          <c:cat>
            <c:strRef>
              <c:f>'Power Calculations'!$H$9:$H$109</c:f>
              <c:strCache>
                <c:ptCount val="101"/>
                <c:pt idx="0">
                  <c:v>0</c:v>
                </c:pt>
                <c:pt idx="1">
                  <c:v>0.02</c:v>
                </c:pt>
                <c:pt idx="2">
                  <c:v>0.04</c:v>
                </c:pt>
                <c:pt idx="3">
                  <c:v>0.06</c:v>
                </c:pt>
                <c:pt idx="4">
                  <c:v>0.08</c:v>
                </c:pt>
                <c:pt idx="5">
                  <c:v>0.1</c:v>
                </c:pt>
                <c:pt idx="6">
                  <c:v>0.12</c:v>
                </c:pt>
                <c:pt idx="7">
                  <c:v>0.14</c:v>
                </c:pt>
                <c:pt idx="8">
                  <c:v>0.16</c:v>
                </c:pt>
                <c:pt idx="9">
                  <c:v>0.18</c:v>
                </c:pt>
                <c:pt idx="10">
                  <c:v>0.2</c:v>
                </c:pt>
                <c:pt idx="11">
                  <c:v>0.22</c:v>
                </c:pt>
                <c:pt idx="12">
                  <c:v>0.24</c:v>
                </c:pt>
                <c:pt idx="13">
                  <c:v>0.26</c:v>
                </c:pt>
                <c:pt idx="14">
                  <c:v>0.28</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c:v>
                </c:pt>
                <c:pt idx="29">
                  <c:v>0.58</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c:v>
                </c:pt>
                <c:pt idx="56">
                  <c:v>1.12</c:v>
                </c:pt>
                <c:pt idx="57">
                  <c:v>1.14</c:v>
                </c:pt>
                <c:pt idx="58">
                  <c:v>1.16</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strCache>
            </c:strRef>
          </c:cat>
          <c:val>
            <c:numRef>
              <c:f>'Power Calculations'!$AP$9:$AP$109</c:f>
              <c:numCache>
                <c:formatCode>General</c:formatCode>
                <c:ptCount val="101"/>
                <c:pt idx="0">
                  <c:v>0</c:v>
                </c:pt>
                <c:pt idx="1">
                  <c:v>12.6082312391997</c:v>
                </c:pt>
                <c:pt idx="2">
                  <c:v>22.3694421142577</c:v>
                </c:pt>
                <c:pt idx="3">
                  <c:v>30.1495958000167</c:v>
                </c:pt>
                <c:pt idx="4">
                  <c:v>36.4957907810202</c:v>
                </c:pt>
                <c:pt idx="5">
                  <c:v>41.770654564536</c:v>
                </c:pt>
                <c:pt idx="6">
                  <c:v>46.2240492784742</c:v>
                </c:pt>
                <c:pt idx="7">
                  <c:v>50.0337427828512</c:v>
                </c:pt>
                <c:pt idx="8">
                  <c:v>53.329661471005</c:v>
                </c:pt>
                <c:pt idx="9">
                  <c:v>56.2089697701854</c:v>
                </c:pt>
                <c:pt idx="10">
                  <c:v>58.7457842521781</c:v>
                </c:pt>
                <c:pt idx="11">
                  <c:v>60.9976248877041</c:v>
                </c:pt>
                <c:pt idx="12">
                  <c:v>63.0098142751099</c:v>
                </c:pt>
                <c:pt idx="13">
                  <c:v>64.8185480030739</c:v>
                </c:pt>
                <c:pt idx="14">
                  <c:v>66.4530820096678</c:v>
                </c:pt>
                <c:pt idx="15">
                  <c:v>67.9373196529856</c:v>
                </c:pt>
                <c:pt idx="16">
                  <c:v>69.2909822839299</c:v>
                </c:pt>
                <c:pt idx="17">
                  <c:v>70.5304854966991</c:v>
                </c:pt>
                <c:pt idx="18">
                  <c:v>71.6696039210498</c:v>
                </c:pt>
                <c:pt idx="19">
                  <c:v>72.7199817887854</c:v>
                </c:pt>
                <c:pt idx="20">
                  <c:v>73.6915294627321</c:v>
                </c:pt>
                <c:pt idx="21">
                  <c:v>74.5927345776734</c:v>
                </c:pt>
                <c:pt idx="22">
                  <c:v>75.4260233199034</c:v>
                </c:pt>
                <c:pt idx="23">
                  <c:v>76.2026139414909</c:v>
                </c:pt>
                <c:pt idx="24">
                  <c:v>76.9282450345501</c:v>
                </c:pt>
                <c:pt idx="25">
                  <c:v>77.6077228480065</c:v>
                </c:pt>
                <c:pt idx="26">
                  <c:v>78.2452676483409</c:v>
                </c:pt>
                <c:pt idx="27">
                  <c:v>78.8446003819195</c:v>
                </c:pt>
                <c:pt idx="28">
                  <c:v>79.4090143991376</c:v>
                </c:pt>
                <c:pt idx="29">
                  <c:v>79.9414351605661</c:v>
                </c:pt>
                <c:pt idx="30">
                  <c:v>80.4444702106153</c:v>
                </c:pt>
                <c:pt idx="31">
                  <c:v>80.9204512206263</c:v>
                </c:pt>
                <c:pt idx="32">
                  <c:v>81.3714695318566</c:v>
                </c:pt>
                <c:pt idx="33">
                  <c:v>81.7994063413526</c:v>
                </c:pt>
                <c:pt idx="34">
                  <c:v>82.2059584496349</c:v>
                </c:pt>
                <c:pt idx="35">
                  <c:v>82.5926603132824</c:v>
                </c:pt>
                <c:pt idx="36">
                  <c:v>82.9609030066378</c:v>
                </c:pt>
                <c:pt idx="37">
                  <c:v>83.3119505865153</c:v>
                </c:pt>
                <c:pt idx="38">
                  <c:v>83.6469542656161</c:v>
                </c:pt>
                <c:pt idx="39">
                  <c:v>83.9669647295029</c:v>
                </c:pt>
                <c:pt idx="40">
                  <c:v>84.2729428747588</c:v>
                </c:pt>
                <c:pt idx="41">
                  <c:v>84.5657691994949</c:v>
                </c:pt>
                <c:pt idx="42">
                  <c:v>84.8462520394862</c:v>
                </c:pt>
                <c:pt idx="43">
                  <c:v>85.1151348121678</c:v>
                </c:pt>
                <c:pt idx="44">
                  <c:v>85.3731024051829</c:v>
                </c:pt>
                <c:pt idx="45">
                  <c:v>85.620786825063</c:v>
                </c:pt>
                <c:pt idx="46">
                  <c:v>85.8587722041153</c:v>
                </c:pt>
                <c:pt idx="47">
                  <c:v>86.0875992490072</c:v>
                </c:pt>
                <c:pt idx="48">
                  <c:v>86.3077692023545</c:v>
                </c:pt>
                <c:pt idx="49">
                  <c:v>86.5197473783956</c:v>
                </c:pt>
                <c:pt idx="50">
                  <c:v>86.7239663252347</c:v>
                </c:pt>
                <c:pt idx="51">
                  <c:v>86.9208286588711</c:v>
                </c:pt>
                <c:pt idx="52">
                  <c:v>87.1107096080837</c:v>
                </c:pt>
                <c:pt idx="53">
                  <c:v>87.2939593040111</c:v>
                </c:pt>
                <c:pt idx="54">
                  <c:v>87.4709048438178</c:v>
                </c:pt>
                <c:pt idx="55">
                  <c:v>87.6418521540309</c:v>
                </c:pt>
                <c:pt idx="56">
                  <c:v>87.8070876758755</c:v>
                </c:pt>
                <c:pt idx="57">
                  <c:v>87.9668798921347</c:v>
                </c:pt>
                <c:pt idx="58">
                  <c:v>88.1214807126523</c:v>
                </c:pt>
                <c:pt idx="59">
                  <c:v>88.2711267335135</c:v>
                </c:pt>
                <c:pt idx="60">
                  <c:v>88.41604038314</c:v>
                </c:pt>
                <c:pt idx="61">
                  <c:v>88.5564309669733</c:v>
                </c:pt>
                <c:pt idx="62">
                  <c:v>88.6924956210623</c:v>
                </c:pt>
                <c:pt idx="63">
                  <c:v>88.8244201836916</c:v>
                </c:pt>
                <c:pt idx="64">
                  <c:v>88.9523799931501</c:v>
                </c:pt>
                <c:pt idx="65">
                  <c:v>89.0765406188429</c:v>
                </c:pt>
                <c:pt idx="66">
                  <c:v>89.197058532153</c:v>
                </c:pt>
                <c:pt idx="67">
                  <c:v>89.314081722767</c:v>
                </c:pt>
                <c:pt idx="68">
                  <c:v>89.4277502655696</c:v>
                </c:pt>
                <c:pt idx="69">
                  <c:v>89.5381968426691</c:v>
                </c:pt>
                <c:pt idx="70">
                  <c:v>89.6455472246443</c:v>
                </c:pt>
                <c:pt idx="71">
                  <c:v>89.7499207146818</c:v>
                </c:pt>
                <c:pt idx="72">
                  <c:v>89.8514305588984</c:v>
                </c:pt>
                <c:pt idx="73">
                  <c:v>89.9501843258157</c:v>
                </c:pt>
                <c:pt idx="74">
                  <c:v>90.0462842576593</c:v>
                </c:pt>
                <c:pt idx="75">
                  <c:v>90.1398275958922</c:v>
                </c:pt>
                <c:pt idx="76">
                  <c:v>90.2309068831615</c:v>
                </c:pt>
                <c:pt idx="77">
                  <c:v>90.3196102436285</c:v>
                </c:pt>
                <c:pt idx="78">
                  <c:v>90.4060216434648</c:v>
                </c:pt>
                <c:pt idx="79">
                  <c:v>90.4902211331354</c:v>
                </c:pt>
                <c:pt idx="80">
                  <c:v>90.5722850729343</c:v>
                </c:pt>
                <c:pt idx="81">
                  <c:v>90.6522863431095</c:v>
                </c:pt>
                <c:pt idx="82">
                  <c:v>90.7302945397922</c:v>
                </c:pt>
                <c:pt idx="83">
                  <c:v>90.8063761578353</c:v>
                </c:pt>
                <c:pt idx="84">
                  <c:v>90.8805947615714</c:v>
                </c:pt>
                <c:pt idx="85">
                  <c:v>90.9530111444116</c:v>
                </c:pt>
                <c:pt idx="86">
                  <c:v>91.023683478126</c:v>
                </c:pt>
                <c:pt idx="87">
                  <c:v>91.0926674525758</c:v>
                </c:pt>
                <c:pt idx="88">
                  <c:v>91.160016406603</c:v>
                </c:pt>
                <c:pt idx="89">
                  <c:v>91.2257814507223</c:v>
                </c:pt>
                <c:pt idx="90">
                  <c:v>91.29001158221</c:v>
                </c:pt>
                <c:pt idx="91">
                  <c:v>91.3527537931312</c:v>
                </c:pt>
                <c:pt idx="92">
                  <c:v>91.4140531718087</c:v>
                </c:pt>
                <c:pt idx="93">
                  <c:v>91.473952998191</c:v>
                </c:pt>
                <c:pt idx="94">
                  <c:v>91.5324948335443</c:v>
                </c:pt>
                <c:pt idx="95">
                  <c:v>91.5897186048589</c:v>
                </c:pt>
                <c:pt idx="96">
                  <c:v>91.6456626843295</c:v>
                </c:pt>
                <c:pt idx="97">
                  <c:v>91.7003639642408</c:v>
                </c:pt>
                <c:pt idx="98">
                  <c:v>91.7538579275672</c:v>
                </c:pt>
                <c:pt idx="99">
                  <c:v>91.8061787145682</c:v>
                </c:pt>
                <c:pt idx="100">
                  <c:v>91.8573591856433</c:v>
                </c:pt>
              </c:numCache>
            </c:numRef>
          </c:val>
        </c:ser>
        <c:marker val="0"/>
        <c:axId val="5638"/>
        <c:axId val="5220"/>
      </c:lineChart>
      <c:lineChart>
        <c:grouping val="standard"/>
        <c:ser>
          <c:idx val="0"/>
          <c:order val="0"/>
          <c:tx>
            <c:strRef>
              <c:f>" Inductor Copper Loss"</c:f>
              <c:strCache>
                <c:ptCount val="1"/>
                <c:pt idx="0">
                  <c:v> Inductor Copper Loss</c:v>
                </c:pt>
              </c:strCache>
            </c:strRef>
          </c:tx>
          <c:spPr>
            <a:solidFill>
              <a:srgbClr val="800080"/>
            </a:solidFill>
            <a:ln w="38160">
              <a:solidFill>
                <a:srgbClr val="800080"/>
              </a:solidFill>
              <a:custDash/>
              <a:round/>
            </a:ln>
          </c:spPr>
          <c:marker>
            <c:symbol val="none"/>
          </c:marker>
          <c:dLbls>
            <c:showLegendKey val="0"/>
            <c:showVal val="0"/>
            <c:showCatName val="0"/>
            <c:showSerName val="0"/>
            <c:showPercent val="0"/>
          </c:dLbls>
          <c:cat>
            <c:strRef>
              <c:f>'Power Calculations'!$H$9:$H$109</c:f>
              <c:strCache>
                <c:ptCount val="101"/>
                <c:pt idx="0">
                  <c:v>0</c:v>
                </c:pt>
                <c:pt idx="1">
                  <c:v>0.02</c:v>
                </c:pt>
                <c:pt idx="2">
                  <c:v>0.04</c:v>
                </c:pt>
                <c:pt idx="3">
                  <c:v>0.06</c:v>
                </c:pt>
                <c:pt idx="4">
                  <c:v>0.08</c:v>
                </c:pt>
                <c:pt idx="5">
                  <c:v>0.1</c:v>
                </c:pt>
                <c:pt idx="6">
                  <c:v>0.12</c:v>
                </c:pt>
                <c:pt idx="7">
                  <c:v>0.14</c:v>
                </c:pt>
                <c:pt idx="8">
                  <c:v>0.16</c:v>
                </c:pt>
                <c:pt idx="9">
                  <c:v>0.18</c:v>
                </c:pt>
                <c:pt idx="10">
                  <c:v>0.2</c:v>
                </c:pt>
                <c:pt idx="11">
                  <c:v>0.22</c:v>
                </c:pt>
                <c:pt idx="12">
                  <c:v>0.24</c:v>
                </c:pt>
                <c:pt idx="13">
                  <c:v>0.26</c:v>
                </c:pt>
                <c:pt idx="14">
                  <c:v>0.28</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c:v>
                </c:pt>
                <c:pt idx="29">
                  <c:v>0.58</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c:v>
                </c:pt>
                <c:pt idx="56">
                  <c:v>1.12</c:v>
                </c:pt>
                <c:pt idx="57">
                  <c:v>1.14</c:v>
                </c:pt>
                <c:pt idx="58">
                  <c:v>1.16</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strCache>
            </c:strRef>
          </c:cat>
          <c:val>
            <c:numRef>
              <c:f>'Power Calculations'!$N$9:$N$109</c:f>
              <c:numCache>
                <c:formatCode>General</c:formatCode>
                <c:ptCount val="101"/>
                <c:pt idx="0">
                  <c:v>0.00135362913857396</c:v>
                </c:pt>
                <c:pt idx="1">
                  <c:v>0.0013630609900999</c:v>
                </c:pt>
                <c:pt idx="2">
                  <c:v>0.00139089694524491</c:v>
                </c:pt>
                <c:pt idx="3">
                  <c:v>0.00143713724988542</c:v>
                </c:pt>
                <c:pt idx="4">
                  <c:v>0.00150178231246768</c:v>
                </c:pt>
                <c:pt idx="5">
                  <c:v>0.00158483270401682</c:v>
                </c:pt>
                <c:pt idx="6">
                  <c:v>0.00168628915814945</c:v>
                </c:pt>
                <c:pt idx="7">
                  <c:v>0.00180615257108984</c:v>
                </c:pt>
                <c:pt idx="8">
                  <c:v>0.00194442400168976</c:v>
                </c:pt>
                <c:pt idx="9">
                  <c:v>0.00210110467145181</c:v>
                </c:pt>
                <c:pt idx="10">
                  <c:v>0.00227619596455644</c:v>
                </c:pt>
                <c:pt idx="11">
                  <c:v>0.0024696994278925</c:v>
                </c:pt>
                <c:pt idx="12">
                  <c:v>0.00268161677109142</c:v>
                </c:pt>
                <c:pt idx="13">
                  <c:v>0.00291194986656498</c:v>
                </c:pt>
                <c:pt idx="14">
                  <c:v>0.00316070074954667</c:v>
                </c:pt>
                <c:pt idx="15">
                  <c:v>0.00342787161813662</c:v>
                </c:pt>
                <c:pt idx="16">
                  <c:v>0.00371346483335026</c:v>
                </c:pt>
                <c:pt idx="17">
                  <c:v>0.00401748291917039</c:v>
                </c:pt>
                <c:pt idx="18">
                  <c:v>0.00433992856260301</c:v>
                </c:pt>
                <c:pt idx="19">
                  <c:v>0.00468080461373673</c:v>
                </c:pt>
                <c:pt idx="20">
                  <c:v>0.0050401140858057</c:v>
                </c:pt>
                <c:pt idx="21">
                  <c:v>0.00541786015525629</c:v>
                </c:pt>
                <c:pt idx="22">
                  <c:v>0.00581404616181728</c:v>
                </c:pt>
                <c:pt idx="23">
                  <c:v>0.00622867560857372</c:v>
                </c:pt>
                <c:pt idx="24">
                  <c:v>0.00666175216204441</c:v>
                </c:pt>
                <c:pt idx="25">
                  <c:v>0.00711327965226298</c:v>
                </c:pt>
                <c:pt idx="26">
                  <c:v>0.00758326207286262</c:v>
                </c:pt>
                <c:pt idx="27">
                  <c:v>0.00807170358116447</c:v>
                </c:pt>
                <c:pt idx="28">
                  <c:v>0.00857860849826955</c:v>
                </c:pt>
                <c:pt idx="29">
                  <c:v>0.00910398130915446</c:v>
                </c:pt>
                <c:pt idx="30">
                  <c:v>0.00964782666277063</c:v>
                </c:pt>
                <c:pt idx="31">
                  <c:v>0.0102101493721472</c:v>
                </c:pt>
                <c:pt idx="32">
                  <c:v>0.0107909544144978</c:v>
                </c:pt>
                <c:pt idx="33">
                  <c:v>0.0113902469313305</c:v>
                </c:pt>
                <c:pt idx="34">
                  <c:v>0.0120080322285618</c:v>
                </c:pt>
                <c:pt idx="35">
                  <c:v>0.0126443157766343</c:v>
                </c:pt>
                <c:pt idx="36">
                  <c:v>0.0132991032106379</c:v>
                </c:pt>
                <c:pt idx="37">
                  <c:v>0.0139724003304348</c:v>
                </c:pt>
                <c:pt idx="38">
                  <c:v>0.0146642131007877</c:v>
                </c:pt>
                <c:pt idx="39">
                  <c:v>0.0153745476514925</c:v>
                </c:pt>
                <c:pt idx="40">
                  <c:v>0.0161034102775141</c:v>
                </c:pt>
                <c:pt idx="41">
                  <c:v>0.0168508074391261</c:v>
                </c:pt>
                <c:pt idx="42">
                  <c:v>0.0176167457620542</c:v>
                </c:pt>
                <c:pt idx="43">
                  <c:v>0.0184012320376232</c:v>
                </c:pt>
                <c:pt idx="44">
                  <c:v>0.0192042732229078</c:v>
                </c:pt>
                <c:pt idx="45">
                  <c:v>0.0200258764408872</c:v>
                </c:pt>
                <c:pt idx="46">
                  <c:v>0.0208660489806033</c:v>
                </c:pt>
                <c:pt idx="47">
                  <c:v>0.0217247982973226</c:v>
                </c:pt>
                <c:pt idx="48">
                  <c:v>0.0226021320127022</c:v>
                </c:pt>
                <c:pt idx="49">
                  <c:v>0.0234980579149588</c:v>
                </c:pt>
                <c:pt idx="50">
                  <c:v>0.0244125839590423</c:v>
                </c:pt>
                <c:pt idx="51">
                  <c:v>0.0253457182668128</c:v>
                </c:pt>
                <c:pt idx="52">
                  <c:v>0.0262974691272212</c:v>
                </c:pt>
                <c:pt idx="53">
                  <c:v>0.0272678449964936</c:v>
                </c:pt>
                <c:pt idx="54">
                  <c:v>0.0282568544983199</c:v>
                </c:pt>
                <c:pt idx="55">
                  <c:v>0.029264506424046</c:v>
                </c:pt>
                <c:pt idx="56">
                  <c:v>0.0302908097328692</c:v>
                </c:pt>
                <c:pt idx="57">
                  <c:v>0.0313357735520384</c:v>
                </c:pt>
                <c:pt idx="58">
                  <c:v>0.0323994071770576</c:v>
                </c:pt>
                <c:pt idx="59">
                  <c:v>0.0334817200718929</c:v>
                </c:pt>
                <c:pt idx="60">
                  <c:v>0.0345827218691842</c:v>
                </c:pt>
                <c:pt idx="61">
                  <c:v>0.0357024223704598</c:v>
                </c:pt>
                <c:pt idx="62">
                  <c:v>0.0368408315463555</c:v>
                </c:pt>
                <c:pt idx="63">
                  <c:v>0.0379979595368376</c:v>
                </c:pt>
                <c:pt idx="64">
                  <c:v>0.039173816651429</c:v>
                </c:pt>
                <c:pt idx="65">
                  <c:v>0.0403684133694403</c:v>
                </c:pt>
                <c:pt idx="66">
                  <c:v>0.0415817603402034</c:v>
                </c:pt>
                <c:pt idx="67">
                  <c:v>0.0428138683833109</c:v>
                </c:pt>
                <c:pt idx="68">
                  <c:v>0.0440647484888572</c:v>
                </c:pt>
                <c:pt idx="69">
                  <c:v>0.0453344118176854</c:v>
                </c:pt>
                <c:pt idx="70">
                  <c:v>0.046622869701637</c:v>
                </c:pt>
                <c:pt idx="71">
                  <c:v>0.0479301336438062</c:v>
                </c:pt>
                <c:pt idx="72">
                  <c:v>0.0492562153187973</c:v>
                </c:pt>
                <c:pt idx="73">
                  <c:v>0.0506011265729873</c:v>
                </c:pt>
                <c:pt idx="74">
                  <c:v>0.0519648794247912</c:v>
                </c:pt>
                <c:pt idx="75">
                  <c:v>0.0533474860649323</c:v>
                </c:pt>
                <c:pt idx="76">
                  <c:v>0.0547489588567158</c:v>
                </c:pt>
                <c:pt idx="77">
                  <c:v>0.0561693103363068</c:v>
                </c:pt>
                <c:pt idx="78">
                  <c:v>0.0576085532130122</c:v>
                </c:pt>
                <c:pt idx="79">
                  <c:v>0.0590667003695666</c:v>
                </c:pt>
                <c:pt idx="80">
                  <c:v>0.0605437648624223</c:v>
                </c:pt>
                <c:pt idx="81">
                  <c:v>0.0620397599220431</c:v>
                </c:pt>
                <c:pt idx="82">
                  <c:v>0.0635546989532029</c:v>
                </c:pt>
                <c:pt idx="83">
                  <c:v>0.0650885955352874</c:v>
                </c:pt>
                <c:pt idx="84">
                  <c:v>0.0666414634226004</c:v>
                </c:pt>
                <c:pt idx="85">
                  <c:v>0.0682133165446747</c:v>
                </c:pt>
                <c:pt idx="86">
                  <c:v>0.0698041690065858</c:v>
                </c:pt>
                <c:pt idx="87">
                  <c:v>0.0714140350892711</c:v>
                </c:pt>
                <c:pt idx="88">
                  <c:v>0.0730429292498525</c:v>
                </c:pt>
                <c:pt idx="89">
                  <c:v>0.0746908661219634</c:v>
                </c:pt>
                <c:pt idx="90">
                  <c:v>0.0763578605160797</c:v>
                </c:pt>
                <c:pt idx="91">
                  <c:v>0.0780439274198551</c:v>
                </c:pt>
                <c:pt idx="92">
                  <c:v>0.0797490819984606</c:v>
                </c:pt>
                <c:pt idx="93">
                  <c:v>0.0814733395949283</c:v>
                </c:pt>
                <c:pt idx="94">
                  <c:v>0.0832167157304995</c:v>
                </c:pt>
                <c:pt idx="95">
                  <c:v>0.0849792261049763</c:v>
                </c:pt>
                <c:pt idx="96">
                  <c:v>0.0867608865970789</c:v>
                </c:pt>
                <c:pt idx="97">
                  <c:v>0.0885617132648054</c:v>
                </c:pt>
                <c:pt idx="98">
                  <c:v>0.0903817223457976</c:v>
                </c:pt>
                <c:pt idx="99">
                  <c:v>0.0922209302577099</c:v>
                </c:pt>
                <c:pt idx="100">
                  <c:v>0.0940793535985833</c:v>
                </c:pt>
              </c:numCache>
            </c:numRef>
          </c:val>
        </c:ser>
        <c:ser>
          <c:idx val="1"/>
          <c:order val="1"/>
          <c:tx>
            <c:strRef>
              <c:f>" High-Side MOSFET Loss"</c:f>
              <c:strCache>
                <c:ptCount val="1"/>
                <c:pt idx="0">
                  <c:v> High-Side MOSFET Loss</c:v>
                </c:pt>
              </c:strCache>
            </c:strRef>
          </c:tx>
          <c:spPr>
            <a:solidFill>
              <a:srgbClr val="808000"/>
            </a:solidFill>
            <a:ln w="38160">
              <a:solidFill>
                <a:srgbClr val="808000"/>
              </a:solidFill>
              <a:custDash/>
              <a:round/>
            </a:ln>
          </c:spPr>
          <c:marker>
            <c:symbol val="none"/>
          </c:marker>
          <c:dLbls>
            <c:showLegendKey val="0"/>
            <c:showVal val="0"/>
            <c:showCatName val="0"/>
            <c:showSerName val="0"/>
            <c:showPercent val="0"/>
          </c:dLbls>
          <c:cat>
            <c:strRef>
              <c:f>'Power Calculations'!$H$9:$H$109</c:f>
              <c:strCache>
                <c:ptCount val="101"/>
                <c:pt idx="0">
                  <c:v>0</c:v>
                </c:pt>
                <c:pt idx="1">
                  <c:v>0.02</c:v>
                </c:pt>
                <c:pt idx="2">
                  <c:v>0.04</c:v>
                </c:pt>
                <c:pt idx="3">
                  <c:v>0.06</c:v>
                </c:pt>
                <c:pt idx="4">
                  <c:v>0.08</c:v>
                </c:pt>
                <c:pt idx="5">
                  <c:v>0.1</c:v>
                </c:pt>
                <c:pt idx="6">
                  <c:v>0.12</c:v>
                </c:pt>
                <c:pt idx="7">
                  <c:v>0.14</c:v>
                </c:pt>
                <c:pt idx="8">
                  <c:v>0.16</c:v>
                </c:pt>
                <c:pt idx="9">
                  <c:v>0.18</c:v>
                </c:pt>
                <c:pt idx="10">
                  <c:v>0.2</c:v>
                </c:pt>
                <c:pt idx="11">
                  <c:v>0.22</c:v>
                </c:pt>
                <c:pt idx="12">
                  <c:v>0.24</c:v>
                </c:pt>
                <c:pt idx="13">
                  <c:v>0.26</c:v>
                </c:pt>
                <c:pt idx="14">
                  <c:v>0.28</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c:v>
                </c:pt>
                <c:pt idx="29">
                  <c:v>0.58</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c:v>
                </c:pt>
                <c:pt idx="56">
                  <c:v>1.12</c:v>
                </c:pt>
                <c:pt idx="57">
                  <c:v>1.14</c:v>
                </c:pt>
                <c:pt idx="58">
                  <c:v>1.16</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strCache>
            </c:strRef>
          </c:cat>
          <c:val>
            <c:numRef>
              <c:f>'Power Calculations'!$Y$9:$Y$109</c:f>
              <c:numCache>
                <c:formatCode>General</c:formatCode>
                <c:ptCount val="101"/>
                <c:pt idx="0">
                  <c:v>0.00509817845135017</c:v>
                </c:pt>
                <c:pt idx="1">
                  <c:v>0.0057709037009644</c:v>
                </c:pt>
                <c:pt idx="2">
                  <c:v>0.0064449645633066</c:v>
                </c:pt>
                <c:pt idx="3">
                  <c:v>0.00712036191945427</c:v>
                </c:pt>
                <c:pt idx="4">
                  <c:v>0.00779709665281537</c:v>
                </c:pt>
                <c:pt idx="5">
                  <c:v>0.00847516964913159</c:v>
                </c:pt>
                <c:pt idx="6">
                  <c:v>0.00915458179648168</c:v>
                </c:pt>
                <c:pt idx="7">
                  <c:v>0.00983533398528471</c:v>
                </c:pt>
                <c:pt idx="8">
                  <c:v>0.0105174271083034</c:v>
                </c:pt>
                <c:pt idx="9">
                  <c:v>0.0112008620606474</c:v>
                </c:pt>
                <c:pt idx="10">
                  <c:v>0.0118856397397767</c:v>
                </c:pt>
                <c:pt idx="11">
                  <c:v>0.0125717610455049</c:v>
                </c:pt>
                <c:pt idx="12">
                  <c:v>0.0132592268800026</c:v>
                </c:pt>
                <c:pt idx="13">
                  <c:v>0.0139480381478007</c:v>
                </c:pt>
                <c:pt idx="14">
                  <c:v>0.0146381957557939</c:v>
                </c:pt>
                <c:pt idx="15">
                  <c:v>0.015329700613244</c:v>
                </c:pt>
                <c:pt idx="16">
                  <c:v>0.0160225536317831</c:v>
                </c:pt>
                <c:pt idx="17">
                  <c:v>0.0167167557254175</c:v>
                </c:pt>
                <c:pt idx="18">
                  <c:v>0.0174123078105306</c:v>
                </c:pt>
                <c:pt idx="19">
                  <c:v>0.0181092108058868</c:v>
                </c:pt>
                <c:pt idx="20">
                  <c:v>0.0188074656326343</c:v>
                </c:pt>
                <c:pt idx="21">
                  <c:v>0.0195070732143093</c:v>
                </c:pt>
                <c:pt idx="22">
                  <c:v>0.0204347149588289</c:v>
                </c:pt>
                <c:pt idx="23">
                  <c:v>0.0213746291498868</c:v>
                </c:pt>
                <c:pt idx="24">
                  <c:v>0.0223159019275488</c:v>
                </c:pt>
                <c:pt idx="25">
                  <c:v>0.0232585344162725</c:v>
                </c:pt>
                <c:pt idx="26">
                  <c:v>0.0242025277429953</c:v>
                </c:pt>
                <c:pt idx="27">
                  <c:v>0.0251478830371386</c:v>
                </c:pt>
                <c:pt idx="28">
                  <c:v>0.0260946014306113</c:v>
                </c:pt>
                <c:pt idx="29">
                  <c:v>0.0270426840578144</c:v>
                </c:pt>
                <c:pt idx="30">
                  <c:v>0.0279921320556448</c:v>
                </c:pt>
                <c:pt idx="31">
                  <c:v>0.0289429465634996</c:v>
                </c:pt>
                <c:pt idx="32">
                  <c:v>0.0298951287232798</c:v>
                </c:pt>
                <c:pt idx="33">
                  <c:v>0.0308486796793949</c:v>
                </c:pt>
                <c:pt idx="34">
                  <c:v>0.0318036005787666</c:v>
                </c:pt>
                <c:pt idx="35">
                  <c:v>0.0327598925708331</c:v>
                </c:pt>
                <c:pt idx="36">
                  <c:v>0.0337175568075533</c:v>
                </c:pt>
                <c:pt idx="37">
                  <c:v>0.0346765944434111</c:v>
                </c:pt>
                <c:pt idx="38">
                  <c:v>0.0356370066354189</c:v>
                </c:pt>
                <c:pt idx="39">
                  <c:v>0.0365987945431226</c:v>
                </c:pt>
                <c:pt idx="40">
                  <c:v>0.0375619593286054</c:v>
                </c:pt>
                <c:pt idx="41">
                  <c:v>0.0385265021564919</c:v>
                </c:pt>
                <c:pt idx="42">
                  <c:v>0.0394924241939525</c:v>
                </c:pt>
                <c:pt idx="43">
                  <c:v>0.0404597266107076</c:v>
                </c:pt>
                <c:pt idx="44">
                  <c:v>0.0414284105790318</c:v>
                </c:pt>
                <c:pt idx="45">
                  <c:v>0.0423984772737581</c:v>
                </c:pt>
                <c:pt idx="46">
                  <c:v>0.0433699278722825</c:v>
                </c:pt>
                <c:pt idx="47">
                  <c:v>0.0443427635545675</c:v>
                </c:pt>
                <c:pt idx="48">
                  <c:v>0.0453169855031474</c:v>
                </c:pt>
                <c:pt idx="49">
                  <c:v>0.0462925949031317</c:v>
                </c:pt>
                <c:pt idx="50">
                  <c:v>0.0472695929422102</c:v>
                </c:pt>
                <c:pt idx="51">
                  <c:v>0.0482479808106565</c:v>
                </c:pt>
                <c:pt idx="52">
                  <c:v>0.049227759701333</c:v>
                </c:pt>
                <c:pt idx="53">
                  <c:v>0.0502089308096951</c:v>
                </c:pt>
                <c:pt idx="54">
                  <c:v>0.0511914953337952</c:v>
                </c:pt>
                <c:pt idx="55">
                  <c:v>0.0521754544742876</c:v>
                </c:pt>
                <c:pt idx="56">
                  <c:v>0.0531608094344326</c:v>
                </c:pt>
                <c:pt idx="57">
                  <c:v>0.0541475614201008</c:v>
                </c:pt>
                <c:pt idx="58">
                  <c:v>0.0551357116397778</c:v>
                </c:pt>
                <c:pt idx="59">
                  <c:v>0.0561252613045683</c:v>
                </c:pt>
                <c:pt idx="60">
                  <c:v>0.0571162116282011</c:v>
                </c:pt>
                <c:pt idx="61">
                  <c:v>0.0581085638270326</c:v>
                </c:pt>
                <c:pt idx="62">
                  <c:v>0.0591023191200524</c:v>
                </c:pt>
                <c:pt idx="63">
                  <c:v>0.0600974787288868</c:v>
                </c:pt>
                <c:pt idx="64">
                  <c:v>0.0610940438778038</c:v>
                </c:pt>
                <c:pt idx="65">
                  <c:v>0.0620920157937177</c:v>
                </c:pt>
                <c:pt idx="66">
                  <c:v>0.0630913957061932</c:v>
                </c:pt>
                <c:pt idx="67">
                  <c:v>0.0640921848474502</c:v>
                </c:pt>
                <c:pt idx="68">
                  <c:v>0.0650943844523682</c:v>
                </c:pt>
                <c:pt idx="69">
                  <c:v>0.0660979957584911</c:v>
                </c:pt>
                <c:pt idx="70">
                  <c:v>0.0671030200060315</c:v>
                </c:pt>
                <c:pt idx="71">
                  <c:v>0.0681094584378755</c:v>
                </c:pt>
                <c:pt idx="72">
                  <c:v>0.069117312299587</c:v>
                </c:pt>
                <c:pt idx="73">
                  <c:v>0.0701265828394127</c:v>
                </c:pt>
                <c:pt idx="74">
                  <c:v>0.0711372713082861</c:v>
                </c:pt>
                <c:pt idx="75">
                  <c:v>0.0721493789598332</c:v>
                </c:pt>
                <c:pt idx="76">
                  <c:v>0.0731629070503758</c:v>
                </c:pt>
                <c:pt idx="77">
                  <c:v>0.0741778568389373</c:v>
                </c:pt>
                <c:pt idx="78">
                  <c:v>0.0751942295872467</c:v>
                </c:pt>
                <c:pt idx="79">
                  <c:v>0.0762120265597436</c:v>
                </c:pt>
                <c:pt idx="80">
                  <c:v>0.0772312490235828</c:v>
                </c:pt>
                <c:pt idx="81">
                  <c:v>0.078251898248639</c:v>
                </c:pt>
                <c:pt idx="82">
                  <c:v>0.0792739755075114</c:v>
                </c:pt>
                <c:pt idx="83">
                  <c:v>0.0802974820755288</c:v>
                </c:pt>
                <c:pt idx="84">
                  <c:v>0.0813224192307539</c:v>
                </c:pt>
                <c:pt idx="85">
                  <c:v>0.0823487882539887</c:v>
                </c:pt>
                <c:pt idx="86">
                  <c:v>0.0833765904287784</c:v>
                </c:pt>
                <c:pt idx="87">
                  <c:v>0.084405827041417</c:v>
                </c:pt>
                <c:pt idx="88">
                  <c:v>0.0854364993809517</c:v>
                </c:pt>
                <c:pt idx="89">
                  <c:v>0.0864686087391877</c:v>
                </c:pt>
                <c:pt idx="90">
                  <c:v>0.0875021564106933</c:v>
                </c:pt>
                <c:pt idx="91">
                  <c:v>0.0885371436928045</c:v>
                </c:pt>
                <c:pt idx="92">
                  <c:v>0.08957357188563</c:v>
                </c:pt>
                <c:pt idx="93">
                  <c:v>0.090611442292056</c:v>
                </c:pt>
                <c:pt idx="94">
                  <c:v>0.091650756217751</c:v>
                </c:pt>
                <c:pt idx="95">
                  <c:v>0.0926915149711711</c:v>
                </c:pt>
                <c:pt idx="96">
                  <c:v>0.0937337198635645</c:v>
                </c:pt>
                <c:pt idx="97">
                  <c:v>0.0947773722089765</c:v>
                </c:pt>
                <c:pt idx="98">
                  <c:v>0.0958224733242546</c:v>
                </c:pt>
                <c:pt idx="99">
                  <c:v>0.0968690245290534</c:v>
                </c:pt>
                <c:pt idx="100">
                  <c:v>0.0979170271458395</c:v>
                </c:pt>
              </c:numCache>
            </c:numRef>
          </c:val>
        </c:ser>
        <c:ser>
          <c:idx val="2"/>
          <c:order val="2"/>
          <c:tx>
            <c:strRef>
              <c:f>" Low-Side MOSFET Loss"</c:f>
              <c:strCache>
                <c:ptCount val="1"/>
                <c:pt idx="0">
                  <c:v> Low-Side MOSFET Loss</c:v>
                </c:pt>
              </c:strCache>
            </c:strRef>
          </c:tx>
          <c:spPr>
            <a:solidFill>
              <a:srgbClr val="002060"/>
            </a:solidFill>
            <a:ln w="38160">
              <a:solidFill>
                <a:srgbClr val="002060"/>
              </a:solidFill>
              <a:custDash/>
              <a:round/>
            </a:ln>
          </c:spPr>
          <c:marker>
            <c:symbol val="none"/>
          </c:marker>
          <c:dLbls>
            <c:showLegendKey val="0"/>
            <c:showVal val="0"/>
            <c:showCatName val="0"/>
            <c:showSerName val="0"/>
            <c:showPercent val="0"/>
          </c:dLbls>
          <c:cat>
            <c:strRef>
              <c:f>'Power Calculations'!$H$9:$H$109</c:f>
              <c:strCache>
                <c:ptCount val="101"/>
                <c:pt idx="0">
                  <c:v>0</c:v>
                </c:pt>
                <c:pt idx="1">
                  <c:v>0.02</c:v>
                </c:pt>
                <c:pt idx="2">
                  <c:v>0.04</c:v>
                </c:pt>
                <c:pt idx="3">
                  <c:v>0.06</c:v>
                </c:pt>
                <c:pt idx="4">
                  <c:v>0.08</c:v>
                </c:pt>
                <c:pt idx="5">
                  <c:v>0.1</c:v>
                </c:pt>
                <c:pt idx="6">
                  <c:v>0.12</c:v>
                </c:pt>
                <c:pt idx="7">
                  <c:v>0.14</c:v>
                </c:pt>
                <c:pt idx="8">
                  <c:v>0.16</c:v>
                </c:pt>
                <c:pt idx="9">
                  <c:v>0.18</c:v>
                </c:pt>
                <c:pt idx="10">
                  <c:v>0.2</c:v>
                </c:pt>
                <c:pt idx="11">
                  <c:v>0.22</c:v>
                </c:pt>
                <c:pt idx="12">
                  <c:v>0.24</c:v>
                </c:pt>
                <c:pt idx="13">
                  <c:v>0.26</c:v>
                </c:pt>
                <c:pt idx="14">
                  <c:v>0.28</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c:v>
                </c:pt>
                <c:pt idx="29">
                  <c:v>0.58</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c:v>
                </c:pt>
                <c:pt idx="56">
                  <c:v>1.12</c:v>
                </c:pt>
                <c:pt idx="57">
                  <c:v>1.14</c:v>
                </c:pt>
                <c:pt idx="58">
                  <c:v>1.16</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strCache>
            </c:strRef>
          </c:cat>
          <c:val>
            <c:numRef>
              <c:f>'Power Calculations'!$AC$9:$AC$109</c:f>
              <c:numCache>
                <c:formatCode>General</c:formatCode>
                <c:ptCount val="101"/>
                <c:pt idx="0">
                  <c:v>0.00910598692170442</c:v>
                </c:pt>
                <c:pt idx="1">
                  <c:v>0.00953828659160399</c:v>
                </c:pt>
                <c:pt idx="2">
                  <c:v>0.00997122752519851</c:v>
                </c:pt>
                <c:pt idx="3">
                  <c:v>0.0104048098074237</c:v>
                </c:pt>
                <c:pt idx="4">
                  <c:v>0.010839033523678</c:v>
                </c:pt>
                <c:pt idx="5">
                  <c:v>0.0112738987598229</c:v>
                </c:pt>
                <c:pt idx="6">
                  <c:v>0.0117094056021828</c:v>
                </c:pt>
                <c:pt idx="7">
                  <c:v>0.012145554137545</c:v>
                </c:pt>
                <c:pt idx="8">
                  <c:v>0.0125823444531596</c:v>
                </c:pt>
                <c:pt idx="9">
                  <c:v>0.0130197766367398</c:v>
                </c:pt>
                <c:pt idx="10">
                  <c:v>0.0134578507764617</c:v>
                </c:pt>
                <c:pt idx="11">
                  <c:v>0.0138965669609642</c:v>
                </c:pt>
                <c:pt idx="12">
                  <c:v>0.0143359252793493</c:v>
                </c:pt>
                <c:pt idx="13">
                  <c:v>0.014775925821182</c:v>
                </c:pt>
                <c:pt idx="14">
                  <c:v>0.0152165686764902</c:v>
                </c:pt>
                <c:pt idx="15">
                  <c:v>0.0156578539357648</c:v>
                </c:pt>
                <c:pt idx="16">
                  <c:v>0.0160997816899598</c:v>
                </c:pt>
                <c:pt idx="17">
                  <c:v>0.016542352030492</c:v>
                </c:pt>
                <c:pt idx="18">
                  <c:v>0.0169855650492416</c:v>
                </c:pt>
                <c:pt idx="19">
                  <c:v>0.0174294208385515</c:v>
                </c:pt>
                <c:pt idx="20">
                  <c:v>0.0178739194912279</c:v>
                </c:pt>
                <c:pt idx="21">
                  <c:v>0.01831906110054</c:v>
                </c:pt>
                <c:pt idx="22">
                  <c:v>0.0187648457602201</c:v>
                </c:pt>
                <c:pt idx="23">
                  <c:v>0.0192112735644639</c:v>
                </c:pt>
                <c:pt idx="24">
                  <c:v>0.0196583446079298</c:v>
                </c:pt>
                <c:pt idx="25">
                  <c:v>0.0201060589857396</c:v>
                </c:pt>
                <c:pt idx="26">
                  <c:v>0.0205544167934785</c:v>
                </c:pt>
                <c:pt idx="27">
                  <c:v>0.0210034181271947</c:v>
                </c:pt>
                <c:pt idx="28">
                  <c:v>0.0214530630833995</c:v>
                </c:pt>
                <c:pt idx="29">
                  <c:v>0.0219033517590679</c:v>
                </c:pt>
                <c:pt idx="30">
                  <c:v>0.0223542842516377</c:v>
                </c:pt>
                <c:pt idx="31">
                  <c:v>0.0228058606590106</c:v>
                </c:pt>
                <c:pt idx="32">
                  <c:v>0.0232580810795511</c:v>
                </c:pt>
                <c:pt idx="33">
                  <c:v>0.0237109456120874</c:v>
                </c:pt>
                <c:pt idx="34">
                  <c:v>0.024164454355911</c:v>
                </c:pt>
                <c:pt idx="35">
                  <c:v>0.024618607410777</c:v>
                </c:pt>
                <c:pt idx="36">
                  <c:v>0.0250734048769037</c:v>
                </c:pt>
                <c:pt idx="37">
                  <c:v>0.0255288468549733</c:v>
                </c:pt>
                <c:pt idx="38">
                  <c:v>0.0259849334461311</c:v>
                </c:pt>
                <c:pt idx="39">
                  <c:v>0.0264416647519862</c:v>
                </c:pt>
                <c:pt idx="40">
                  <c:v>0.0268990408746115</c:v>
                </c:pt>
                <c:pt idx="41">
                  <c:v>0.0273570619165431</c:v>
                </c:pt>
                <c:pt idx="42">
                  <c:v>0.0278157279807811</c:v>
                </c:pt>
                <c:pt idx="43">
                  <c:v>0.0282750391707892</c:v>
                </c:pt>
                <c:pt idx="44">
                  <c:v>0.0287349955904951</c:v>
                </c:pt>
                <c:pt idx="45">
                  <c:v>0.0291955973442898</c:v>
                </c:pt>
                <c:pt idx="46">
                  <c:v>0.0296568445370286</c:v>
                </c:pt>
                <c:pt idx="47">
                  <c:v>0.0301187372740306</c:v>
                </c:pt>
                <c:pt idx="48">
                  <c:v>0.0305812756610785</c:v>
                </c:pt>
                <c:pt idx="49">
                  <c:v>0.0310444598044193</c:v>
                </c:pt>
                <c:pt idx="50">
                  <c:v>0.0315082898107638</c:v>
                </c:pt>
                <c:pt idx="51">
                  <c:v>0.0319727657872871</c:v>
                </c:pt>
                <c:pt idx="52">
                  <c:v>0.0324378878416281</c:v>
                </c:pt>
                <c:pt idx="53">
                  <c:v>0.0329036560818901</c:v>
                </c:pt>
                <c:pt idx="54">
                  <c:v>0.0333700706166403</c:v>
                </c:pt>
                <c:pt idx="55">
                  <c:v>0.0338371315549103</c:v>
                </c:pt>
                <c:pt idx="56">
                  <c:v>0.034304839006196</c:v>
                </c:pt>
                <c:pt idx="57">
                  <c:v>0.0347731930804577</c:v>
                </c:pt>
                <c:pt idx="58">
                  <c:v>0.0352421938881199</c:v>
                </c:pt>
                <c:pt idx="59">
                  <c:v>0.0357118415400715</c:v>
                </c:pt>
                <c:pt idx="60">
                  <c:v>0.0361821361476661</c:v>
                </c:pt>
                <c:pt idx="61">
                  <c:v>0.0366530778227218</c:v>
                </c:pt>
                <c:pt idx="62">
                  <c:v>0.0371246666775211</c:v>
                </c:pt>
                <c:pt idx="63">
                  <c:v>0.0375969028248113</c:v>
                </c:pt>
                <c:pt idx="64">
                  <c:v>0.0380697863778044</c:v>
                </c:pt>
                <c:pt idx="65">
                  <c:v>0.038543317450177</c:v>
                </c:pt>
                <c:pt idx="66">
                  <c:v>0.0390174961560707</c:v>
                </c:pt>
                <c:pt idx="67">
                  <c:v>0.0394923226100919</c:v>
                </c:pt>
                <c:pt idx="68">
                  <c:v>0.0399677969273119</c:v>
                </c:pt>
                <c:pt idx="69">
                  <c:v>0.0404439192232671</c:v>
                </c:pt>
                <c:pt idx="70">
                  <c:v>0.0409206896139587</c:v>
                </c:pt>
                <c:pt idx="71">
                  <c:v>0.0413981082158532</c:v>
                </c:pt>
                <c:pt idx="72">
                  <c:v>0.0418761751458824</c:v>
                </c:pt>
                <c:pt idx="73">
                  <c:v>0.0423548905214429</c:v>
                </c:pt>
                <c:pt idx="74">
                  <c:v>0.0428342544603971</c:v>
                </c:pt>
                <c:pt idx="75">
                  <c:v>0.0433142670810724</c:v>
                </c:pt>
                <c:pt idx="76">
                  <c:v>0.0437949285022618</c:v>
                </c:pt>
                <c:pt idx="77">
                  <c:v>0.0442762388432237</c:v>
                </c:pt>
                <c:pt idx="78">
                  <c:v>0.0447581982236821</c:v>
                </c:pt>
                <c:pt idx="79">
                  <c:v>0.0452408067638268</c:v>
                </c:pt>
                <c:pt idx="80">
                  <c:v>0.0457240645843128</c:v>
                </c:pt>
                <c:pt idx="81">
                  <c:v>0.0462079718062615</c:v>
                </c:pt>
                <c:pt idx="82">
                  <c:v>0.0466925285512597</c:v>
                </c:pt>
                <c:pt idx="83">
                  <c:v>0.0471777349413602</c:v>
                </c:pt>
                <c:pt idx="84">
                  <c:v>0.0476635910990819</c:v>
                </c:pt>
                <c:pt idx="85">
                  <c:v>0.0481500971474096</c:v>
                </c:pt>
                <c:pt idx="86">
                  <c:v>0.0486372532097943</c:v>
                </c:pt>
                <c:pt idx="87">
                  <c:v>0.0491250594101533</c:v>
                </c:pt>
                <c:pt idx="88">
                  <c:v>0.0496135158728699</c:v>
                </c:pt>
                <c:pt idx="89">
                  <c:v>0.0501026227227941</c:v>
                </c:pt>
                <c:pt idx="90">
                  <c:v>0.050592380085242</c:v>
                </c:pt>
                <c:pt idx="91">
                  <c:v>0.0510827880859964</c:v>
                </c:pt>
                <c:pt idx="92">
                  <c:v>0.0515738468513068</c:v>
                </c:pt>
                <c:pt idx="93">
                  <c:v>0.052065556507889</c:v>
                </c:pt>
                <c:pt idx="94">
                  <c:v>0.0525579171829258</c:v>
                </c:pt>
                <c:pt idx="95">
                  <c:v>0.053050929004067</c:v>
                </c:pt>
                <c:pt idx="96">
                  <c:v>0.0535445920994288</c:v>
                </c:pt>
                <c:pt idx="97">
                  <c:v>0.0540389065975949</c:v>
                </c:pt>
                <c:pt idx="98">
                  <c:v>0.0545338726276159</c:v>
                </c:pt>
                <c:pt idx="99">
                  <c:v>0.0550294903190093</c:v>
                </c:pt>
                <c:pt idx="100">
                  <c:v>0.0555257598017604</c:v>
                </c:pt>
              </c:numCache>
            </c:numRef>
          </c:val>
        </c:ser>
        <c:marker val="0"/>
        <c:axId val="16549"/>
        <c:axId val="26437"/>
      </c:lineChart>
      <c:catAx>
        <c:axId val="5638"/>
        <c:scaling>
          <c:orientation val="minMax"/>
        </c:scaling>
        <c:delete val="0"/>
        <c:axPos val="b"/>
        <c:majorGridlines>
          <c:spPr>
            <a:ln w="15840">
              <a:solidFill>
                <a:srgbClr val="969696"/>
              </a:solidFill>
              <a:round/>
            </a:ln>
          </c:spPr>
        </c:majorGridlines>
        <c:minorGridlines>
          <c:spPr>
            <a:ln w="15840">
              <a:solidFill>
                <a:srgbClr val="969696"/>
              </a:solidFill>
              <a:round/>
            </a:ln>
          </c:spPr>
        </c:minorGridlines>
        <c:title>
          <c:tx>
            <c:rich>
              <a:bodyPr/>
              <a:lstStyle/>
              <a:p>
                <a:pPr>
                  <a:defRPr/>
                </a:pPr>
                <a:r>
                  <a:rPr b="1" sz="1200">
                    <a:solidFill>
                      <a:srgbClr val="0000ff"/>
                    </a:solidFill>
                    <a:latin typeface="Arial"/>
                    <a:ea typeface="Calibri"/>
                  </a:rPr>
                  <a:t>Load Current (A)</a:t>
                </a:r>
              </a:p>
            </c:rich>
          </c:tx>
          <c:layout/>
        </c:title>
        <c:majorTickMark val="in"/>
        <c:minorTickMark val="in"/>
        <c:tickLblPos val="nextTo"/>
        <c:spPr>
          <a:ln w="3240">
            <a:solidFill>
              <a:srgbClr val="000000"/>
            </a:solidFill>
            <a:round/>
          </a:ln>
        </c:spPr>
        <c:crossAx val="5220"/>
        <c:crosses val="autoZero"/>
        <c:auto val="1"/>
        <c:lblAlgn val="ctr"/>
        <c:lblOffset val="100"/>
      </c:catAx>
      <c:valAx>
        <c:axId val="5220"/>
        <c:scaling>
          <c:orientation val="minMax"/>
          <c:max val="100"/>
          <c:min val="65"/>
        </c:scaling>
        <c:delete val="0"/>
        <c:axPos val="l"/>
        <c:majorGridlines>
          <c:spPr>
            <a:ln w="15840">
              <a:solidFill>
                <a:srgbClr val="808080"/>
              </a:solidFill>
              <a:round/>
            </a:ln>
          </c:spPr>
        </c:majorGridlines>
        <c:minorGridlines>
          <c:spPr>
            <a:ln w="15840">
              <a:solidFill>
                <a:srgbClr val="808080"/>
              </a:solidFill>
              <a:round/>
            </a:ln>
          </c:spPr>
        </c:minorGridlines>
        <c:title>
          <c:tx>
            <c:rich>
              <a:bodyPr/>
              <a:lstStyle/>
              <a:p>
                <a:pPr>
                  <a:defRPr/>
                </a:pPr>
                <a:r>
                  <a:rPr b="1" sz="1200">
                    <a:solidFill>
                      <a:srgbClr val="ff0000"/>
                    </a:solidFill>
                    <a:latin typeface="Arial"/>
                    <a:ea typeface="Calibri"/>
                  </a:rPr>
                  <a:t>Efficiency  (%)</a:t>
                </a:r>
              </a:p>
            </c:rich>
          </c:tx>
          <c:layout/>
        </c:title>
        <c:majorTickMark val="out"/>
        <c:minorTickMark val="none"/>
        <c:tickLblPos val="nextTo"/>
        <c:spPr>
          <a:ln w="3240">
            <a:solidFill>
              <a:srgbClr val="000000"/>
            </a:solidFill>
            <a:round/>
          </a:ln>
        </c:spPr>
        <c:crossAx val="5638"/>
        <c:crossesAt val="0"/>
        <c:majorUnit val="5"/>
        <c:minorUnit val="2.5"/>
      </c:valAx>
      <c:catAx>
        <c:axId val="16549"/>
        <c:scaling>
          <c:orientation val="minMax"/>
        </c:scaling>
        <c:delete val="0"/>
        <c:axPos val="b"/>
        <c:majorGridlines>
          <c:spPr>
            <a:ln w="15840">
              <a:solidFill>
                <a:srgbClr val="969696"/>
              </a:solidFill>
              <a:round/>
            </a:ln>
          </c:spPr>
        </c:majorGridlines>
        <c:minorGridlines>
          <c:spPr>
            <a:ln w="15840">
              <a:solidFill>
                <a:srgbClr val="969696"/>
              </a:solidFill>
              <a:round/>
            </a:ln>
          </c:spPr>
        </c:minorGridlines>
        <c:title>
          <c:tx>
            <c:rich>
              <a:bodyPr/>
              <a:lstStyle/>
              <a:p>
                <a:pPr>
                  <a:defRPr/>
                </a:pPr>
                <a:r>
                  <a:rPr b="1" sz="1200">
                    <a:solidFill>
                      <a:srgbClr val="0000ff"/>
                    </a:solidFill>
                    <a:latin typeface="Arial"/>
                    <a:ea typeface="Calibri"/>
                  </a:rPr>
                  <a:t>Load Current (A)</a:t>
                </a:r>
              </a:p>
            </c:rich>
          </c:tx>
          <c:layout/>
        </c:title>
        <c:majorTickMark val="in"/>
        <c:minorTickMark val="in"/>
        <c:tickLblPos val="nextTo"/>
        <c:spPr>
          <a:ln w="3240">
            <a:solidFill>
              <a:srgbClr val="000000"/>
            </a:solidFill>
            <a:round/>
          </a:ln>
        </c:spPr>
        <c:crossAx val="26437"/>
        <c:crosses val="autoZero"/>
        <c:auto val="1"/>
        <c:lblAlgn val="ctr"/>
        <c:lblOffset val="100"/>
      </c:catAx>
      <c:valAx>
        <c:axId val="26437"/>
        <c:scaling>
          <c:orientation val="minMax"/>
        </c:scaling>
        <c:delete val="0"/>
        <c:axPos val="l"/>
        <c:title>
          <c:tx>
            <c:rich>
              <a:bodyPr/>
              <a:lstStyle/>
              <a:p>
                <a:pPr>
                  <a:defRPr/>
                </a:pPr>
                <a:r>
                  <a:rPr b="1" sz="1200">
                    <a:solidFill>
                      <a:srgbClr val="000000"/>
                    </a:solidFill>
                    <a:latin typeface="Arial"/>
                    <a:ea typeface="Arial"/>
                  </a:rPr>
                  <a:t>Power Loss (W)</a:t>
                </a:r>
              </a:p>
            </c:rich>
          </c:tx>
          <c:layout/>
        </c:title>
        <c:majorTickMark val="out"/>
        <c:minorTickMark val="none"/>
        <c:tickLblPos val="nextTo"/>
        <c:spPr>
          <a:ln w="9360">
            <a:solidFill>
              <a:srgbClr val="878787"/>
            </a:solidFill>
            <a:round/>
          </a:ln>
        </c:spPr>
        <c:crossAx val="16549"/>
        <c:crosses val="max"/>
      </c:valAx>
      <c:spPr>
        <a:noFill/>
        <a:ln w="25560">
          <a:noFill/>
        </a:ln>
      </c:spPr>
    </c:plotArea>
    <c:legend>
      <c:legendPos val="t"/>
      <c:overlay val="0"/>
      <c:spPr>
        <a:solidFill>
          <a:srgbClr val="ffffff"/>
        </a:solidFill>
        <a:ln w="25560">
          <a:noFill/>
        </a:ln>
      </c:spPr>
    </c:legend>
    <c:plotVisOnly val="1"/>
  </c:chart>
  <c:spPr>
    <a:noFill/>
    <a:ln w="9360">
      <a:solidFill>
        <a:srgbClr val="808080"/>
      </a:solidFill>
      <a:round/>
    </a:ln>
  </c:spPr>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b="1" sz="825">
                <a:solidFill>
                  <a:srgbClr val="000000"/>
                </a:solidFill>
                <a:latin typeface="Arial"/>
                <a:ea typeface="Arial"/>
              </a:rPr>
              <a:t>Open Loop Response</a:t>
            </a:r>
          </a:p>
        </c:rich>
      </c:tx>
      <c:layout/>
    </c:title>
    <c:plotArea>
      <c:layout/>
      <c:scatterChart>
        <c:scatterStyle val="lineMarker"/>
        <c:varyColors val="0"/>
        <c:ser>
          <c:idx val="0"/>
          <c:order val="0"/>
          <c:tx>
            <c:strRef>
              <c:f>"Gain"</c:f>
              <c:strCache>
                <c:ptCount val="1"/>
                <c:pt idx="0">
                  <c:v>Gain</c:v>
                </c:pt>
              </c:strCache>
            </c:strRef>
          </c:tx>
          <c:spPr>
            <a:solidFill>
              <a:srgbClr val="000000"/>
            </a:solidFill>
            <a:ln w="12600">
              <a:solidFill>
                <a:srgbClr val="000000"/>
              </a:solidFill>
              <a:custDash/>
              <a:round/>
            </a:ln>
          </c:spPr>
          <c:marker>
            <c:size val="7"/>
          </c:marker>
          <c:xVal>
            <c:numRef>
              <c:f>'Bode Plots Calculations'!$A$9:$A$676</c:f>
              <c:numCache>
                <c:formatCode>General</c:formatCode>
                <c:ptCount val="668"/>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1500</c:v>
                </c:pt>
                <c:pt idx="29">
                  <c:v>2000</c:v>
                </c:pt>
                <c:pt idx="30">
                  <c:v>2500</c:v>
                </c:pt>
                <c:pt idx="31">
                  <c:v>3000</c:v>
                </c:pt>
                <c:pt idx="32">
                  <c:v>3500</c:v>
                </c:pt>
                <c:pt idx="33">
                  <c:v>4000</c:v>
                </c:pt>
                <c:pt idx="34">
                  <c:v>4500</c:v>
                </c:pt>
                <c:pt idx="35">
                  <c:v>5000</c:v>
                </c:pt>
                <c:pt idx="36">
                  <c:v>5500</c:v>
                </c:pt>
                <c:pt idx="37">
                  <c:v>6000</c:v>
                </c:pt>
                <c:pt idx="38">
                  <c:v>6500</c:v>
                </c:pt>
                <c:pt idx="39">
                  <c:v>7000</c:v>
                </c:pt>
                <c:pt idx="40">
                  <c:v>7500</c:v>
                </c:pt>
                <c:pt idx="41">
                  <c:v>8000</c:v>
                </c:pt>
                <c:pt idx="42">
                  <c:v>8500</c:v>
                </c:pt>
                <c:pt idx="43">
                  <c:v>9000</c:v>
                </c:pt>
                <c:pt idx="44">
                  <c:v>9500</c:v>
                </c:pt>
                <c:pt idx="45">
                  <c:v>10000</c:v>
                </c:pt>
                <c:pt idx="46">
                  <c:v>10500</c:v>
                </c:pt>
                <c:pt idx="47">
                  <c:v>11000</c:v>
                </c:pt>
                <c:pt idx="48">
                  <c:v>11500</c:v>
                </c:pt>
                <c:pt idx="49">
                  <c:v>12000</c:v>
                </c:pt>
                <c:pt idx="50">
                  <c:v>12500</c:v>
                </c:pt>
                <c:pt idx="51">
                  <c:v>13000</c:v>
                </c:pt>
                <c:pt idx="52">
                  <c:v>13500</c:v>
                </c:pt>
                <c:pt idx="53">
                  <c:v>14000</c:v>
                </c:pt>
                <c:pt idx="54">
                  <c:v>14500</c:v>
                </c:pt>
                <c:pt idx="55">
                  <c:v>15000</c:v>
                </c:pt>
                <c:pt idx="56">
                  <c:v>15500</c:v>
                </c:pt>
                <c:pt idx="57">
                  <c:v>16000</c:v>
                </c:pt>
                <c:pt idx="58">
                  <c:v>16500</c:v>
                </c:pt>
                <c:pt idx="59">
                  <c:v>17000</c:v>
                </c:pt>
                <c:pt idx="60">
                  <c:v>17500</c:v>
                </c:pt>
                <c:pt idx="61">
                  <c:v>18000</c:v>
                </c:pt>
                <c:pt idx="62">
                  <c:v>18500</c:v>
                </c:pt>
                <c:pt idx="63">
                  <c:v>19000</c:v>
                </c:pt>
                <c:pt idx="64">
                  <c:v>19500</c:v>
                </c:pt>
                <c:pt idx="65">
                  <c:v>20000</c:v>
                </c:pt>
                <c:pt idx="66">
                  <c:v>20500</c:v>
                </c:pt>
                <c:pt idx="67">
                  <c:v>21000</c:v>
                </c:pt>
                <c:pt idx="68">
                  <c:v>21500</c:v>
                </c:pt>
                <c:pt idx="69">
                  <c:v>22000</c:v>
                </c:pt>
                <c:pt idx="70">
                  <c:v>22500</c:v>
                </c:pt>
                <c:pt idx="71">
                  <c:v>23000</c:v>
                </c:pt>
                <c:pt idx="72">
                  <c:v>23500</c:v>
                </c:pt>
                <c:pt idx="73">
                  <c:v>24000</c:v>
                </c:pt>
                <c:pt idx="74">
                  <c:v>24500</c:v>
                </c:pt>
                <c:pt idx="75">
                  <c:v>25000</c:v>
                </c:pt>
                <c:pt idx="76">
                  <c:v>25500</c:v>
                </c:pt>
                <c:pt idx="77">
                  <c:v>26000</c:v>
                </c:pt>
                <c:pt idx="78">
                  <c:v>26500</c:v>
                </c:pt>
                <c:pt idx="79">
                  <c:v>27000</c:v>
                </c:pt>
                <c:pt idx="80">
                  <c:v>27500</c:v>
                </c:pt>
                <c:pt idx="81">
                  <c:v>28000</c:v>
                </c:pt>
                <c:pt idx="82">
                  <c:v>28500</c:v>
                </c:pt>
                <c:pt idx="83">
                  <c:v>29000</c:v>
                </c:pt>
                <c:pt idx="84">
                  <c:v>29500</c:v>
                </c:pt>
                <c:pt idx="85">
                  <c:v>30000</c:v>
                </c:pt>
                <c:pt idx="86">
                  <c:v>30500</c:v>
                </c:pt>
                <c:pt idx="87">
                  <c:v>31000</c:v>
                </c:pt>
                <c:pt idx="88">
                  <c:v>31500</c:v>
                </c:pt>
                <c:pt idx="89">
                  <c:v>32000</c:v>
                </c:pt>
                <c:pt idx="90">
                  <c:v>32500</c:v>
                </c:pt>
                <c:pt idx="91">
                  <c:v>33000</c:v>
                </c:pt>
                <c:pt idx="92">
                  <c:v>33500</c:v>
                </c:pt>
                <c:pt idx="93">
                  <c:v>34000</c:v>
                </c:pt>
                <c:pt idx="94">
                  <c:v>34500</c:v>
                </c:pt>
                <c:pt idx="95">
                  <c:v>35000</c:v>
                </c:pt>
                <c:pt idx="96">
                  <c:v>35500</c:v>
                </c:pt>
                <c:pt idx="97">
                  <c:v>36000</c:v>
                </c:pt>
                <c:pt idx="98">
                  <c:v>36500</c:v>
                </c:pt>
                <c:pt idx="99">
                  <c:v>37000</c:v>
                </c:pt>
                <c:pt idx="100">
                  <c:v>37500</c:v>
                </c:pt>
                <c:pt idx="101">
                  <c:v>38000</c:v>
                </c:pt>
                <c:pt idx="102">
                  <c:v>38500</c:v>
                </c:pt>
                <c:pt idx="103">
                  <c:v>39000</c:v>
                </c:pt>
                <c:pt idx="104">
                  <c:v>39500</c:v>
                </c:pt>
                <c:pt idx="105">
                  <c:v>40000</c:v>
                </c:pt>
                <c:pt idx="106">
                  <c:v>40500</c:v>
                </c:pt>
                <c:pt idx="107">
                  <c:v>41000</c:v>
                </c:pt>
                <c:pt idx="108">
                  <c:v>41500</c:v>
                </c:pt>
                <c:pt idx="109">
                  <c:v>42000</c:v>
                </c:pt>
                <c:pt idx="110">
                  <c:v>42500</c:v>
                </c:pt>
                <c:pt idx="111">
                  <c:v>43000</c:v>
                </c:pt>
                <c:pt idx="112">
                  <c:v>43500</c:v>
                </c:pt>
                <c:pt idx="113">
                  <c:v>44000</c:v>
                </c:pt>
                <c:pt idx="114">
                  <c:v>44500</c:v>
                </c:pt>
                <c:pt idx="115">
                  <c:v>45000</c:v>
                </c:pt>
                <c:pt idx="116">
                  <c:v>45500</c:v>
                </c:pt>
                <c:pt idx="117">
                  <c:v>46000</c:v>
                </c:pt>
                <c:pt idx="118">
                  <c:v>46500</c:v>
                </c:pt>
                <c:pt idx="119">
                  <c:v>47000</c:v>
                </c:pt>
                <c:pt idx="120">
                  <c:v>47500</c:v>
                </c:pt>
                <c:pt idx="121">
                  <c:v>48000</c:v>
                </c:pt>
                <c:pt idx="122">
                  <c:v>48500</c:v>
                </c:pt>
                <c:pt idx="123">
                  <c:v>49000</c:v>
                </c:pt>
                <c:pt idx="124">
                  <c:v>49500</c:v>
                </c:pt>
                <c:pt idx="125">
                  <c:v>50000</c:v>
                </c:pt>
                <c:pt idx="126">
                  <c:v>50500</c:v>
                </c:pt>
                <c:pt idx="127">
                  <c:v>51000</c:v>
                </c:pt>
                <c:pt idx="128">
                  <c:v>51500</c:v>
                </c:pt>
                <c:pt idx="129">
                  <c:v>52000</c:v>
                </c:pt>
                <c:pt idx="130">
                  <c:v>52500</c:v>
                </c:pt>
                <c:pt idx="131">
                  <c:v>53000</c:v>
                </c:pt>
                <c:pt idx="132">
                  <c:v>53500</c:v>
                </c:pt>
                <c:pt idx="133">
                  <c:v>54000</c:v>
                </c:pt>
                <c:pt idx="134">
                  <c:v>54500</c:v>
                </c:pt>
                <c:pt idx="135">
                  <c:v>55000</c:v>
                </c:pt>
                <c:pt idx="136">
                  <c:v>55500</c:v>
                </c:pt>
                <c:pt idx="137">
                  <c:v>56000</c:v>
                </c:pt>
                <c:pt idx="138">
                  <c:v>56500</c:v>
                </c:pt>
                <c:pt idx="139">
                  <c:v>57000</c:v>
                </c:pt>
                <c:pt idx="140">
                  <c:v>57500</c:v>
                </c:pt>
                <c:pt idx="141">
                  <c:v>58000</c:v>
                </c:pt>
                <c:pt idx="142">
                  <c:v>58500</c:v>
                </c:pt>
                <c:pt idx="143">
                  <c:v>59000</c:v>
                </c:pt>
                <c:pt idx="144">
                  <c:v>59500</c:v>
                </c:pt>
                <c:pt idx="145">
                  <c:v>60000</c:v>
                </c:pt>
                <c:pt idx="146">
                  <c:v>60500</c:v>
                </c:pt>
                <c:pt idx="147">
                  <c:v>61000</c:v>
                </c:pt>
                <c:pt idx="148">
                  <c:v>61500</c:v>
                </c:pt>
                <c:pt idx="149">
                  <c:v>62000</c:v>
                </c:pt>
                <c:pt idx="150">
                  <c:v>62500</c:v>
                </c:pt>
                <c:pt idx="151">
                  <c:v>63000</c:v>
                </c:pt>
                <c:pt idx="152">
                  <c:v>63500</c:v>
                </c:pt>
                <c:pt idx="153">
                  <c:v>64000</c:v>
                </c:pt>
                <c:pt idx="154">
                  <c:v>64500</c:v>
                </c:pt>
                <c:pt idx="155">
                  <c:v>65000</c:v>
                </c:pt>
                <c:pt idx="156">
                  <c:v>65500</c:v>
                </c:pt>
                <c:pt idx="157">
                  <c:v>66000</c:v>
                </c:pt>
                <c:pt idx="158">
                  <c:v>66500</c:v>
                </c:pt>
                <c:pt idx="159">
                  <c:v>67000</c:v>
                </c:pt>
                <c:pt idx="160">
                  <c:v>67500</c:v>
                </c:pt>
                <c:pt idx="161">
                  <c:v>68000</c:v>
                </c:pt>
                <c:pt idx="162">
                  <c:v>68500</c:v>
                </c:pt>
                <c:pt idx="163">
                  <c:v>69000</c:v>
                </c:pt>
                <c:pt idx="164">
                  <c:v>69500</c:v>
                </c:pt>
                <c:pt idx="165">
                  <c:v>70000</c:v>
                </c:pt>
                <c:pt idx="166">
                  <c:v>70500</c:v>
                </c:pt>
                <c:pt idx="167">
                  <c:v>71000</c:v>
                </c:pt>
                <c:pt idx="168">
                  <c:v>71500</c:v>
                </c:pt>
                <c:pt idx="169">
                  <c:v>72000</c:v>
                </c:pt>
                <c:pt idx="170">
                  <c:v>72500</c:v>
                </c:pt>
                <c:pt idx="171">
                  <c:v>73000</c:v>
                </c:pt>
                <c:pt idx="172">
                  <c:v>73500</c:v>
                </c:pt>
                <c:pt idx="173">
                  <c:v>74000</c:v>
                </c:pt>
                <c:pt idx="174">
                  <c:v>74500</c:v>
                </c:pt>
                <c:pt idx="175">
                  <c:v>75000</c:v>
                </c:pt>
                <c:pt idx="176">
                  <c:v>75500</c:v>
                </c:pt>
                <c:pt idx="177">
                  <c:v>76000</c:v>
                </c:pt>
                <c:pt idx="178">
                  <c:v>76500</c:v>
                </c:pt>
                <c:pt idx="179">
                  <c:v>77000</c:v>
                </c:pt>
                <c:pt idx="180">
                  <c:v>77500</c:v>
                </c:pt>
                <c:pt idx="181">
                  <c:v>78000</c:v>
                </c:pt>
                <c:pt idx="182">
                  <c:v>78500</c:v>
                </c:pt>
                <c:pt idx="183">
                  <c:v>79000</c:v>
                </c:pt>
                <c:pt idx="184">
                  <c:v>79500</c:v>
                </c:pt>
                <c:pt idx="185">
                  <c:v>80000</c:v>
                </c:pt>
                <c:pt idx="186">
                  <c:v>80500</c:v>
                </c:pt>
                <c:pt idx="187">
                  <c:v>81000</c:v>
                </c:pt>
                <c:pt idx="188">
                  <c:v>81500</c:v>
                </c:pt>
                <c:pt idx="189">
                  <c:v>82000</c:v>
                </c:pt>
                <c:pt idx="190">
                  <c:v>82500</c:v>
                </c:pt>
                <c:pt idx="191">
                  <c:v>83000</c:v>
                </c:pt>
                <c:pt idx="192">
                  <c:v>83500</c:v>
                </c:pt>
                <c:pt idx="193">
                  <c:v>84000</c:v>
                </c:pt>
                <c:pt idx="194">
                  <c:v>84500</c:v>
                </c:pt>
                <c:pt idx="195">
                  <c:v>85000</c:v>
                </c:pt>
                <c:pt idx="196">
                  <c:v>85500</c:v>
                </c:pt>
                <c:pt idx="197">
                  <c:v>86000</c:v>
                </c:pt>
                <c:pt idx="198">
                  <c:v>86500</c:v>
                </c:pt>
                <c:pt idx="199">
                  <c:v>87000</c:v>
                </c:pt>
                <c:pt idx="200">
                  <c:v>87500</c:v>
                </c:pt>
                <c:pt idx="201">
                  <c:v>88000</c:v>
                </c:pt>
                <c:pt idx="202">
                  <c:v>88500</c:v>
                </c:pt>
                <c:pt idx="203">
                  <c:v>89000</c:v>
                </c:pt>
                <c:pt idx="204">
                  <c:v>89500</c:v>
                </c:pt>
                <c:pt idx="205">
                  <c:v>90000</c:v>
                </c:pt>
                <c:pt idx="206">
                  <c:v>90500</c:v>
                </c:pt>
                <c:pt idx="207">
                  <c:v>91000</c:v>
                </c:pt>
                <c:pt idx="208">
                  <c:v>91500</c:v>
                </c:pt>
                <c:pt idx="209">
                  <c:v>92000</c:v>
                </c:pt>
                <c:pt idx="210">
                  <c:v>92500</c:v>
                </c:pt>
                <c:pt idx="211">
                  <c:v>93000</c:v>
                </c:pt>
                <c:pt idx="212">
                  <c:v>93500</c:v>
                </c:pt>
                <c:pt idx="213">
                  <c:v>94000</c:v>
                </c:pt>
                <c:pt idx="214">
                  <c:v>94500</c:v>
                </c:pt>
                <c:pt idx="215">
                  <c:v>95000</c:v>
                </c:pt>
                <c:pt idx="216">
                  <c:v>95500</c:v>
                </c:pt>
                <c:pt idx="217">
                  <c:v>96000</c:v>
                </c:pt>
                <c:pt idx="218">
                  <c:v>96500</c:v>
                </c:pt>
                <c:pt idx="219">
                  <c:v>97000</c:v>
                </c:pt>
                <c:pt idx="220">
                  <c:v>97500</c:v>
                </c:pt>
                <c:pt idx="221">
                  <c:v>98000</c:v>
                </c:pt>
                <c:pt idx="222">
                  <c:v>98500</c:v>
                </c:pt>
                <c:pt idx="223">
                  <c:v>99000</c:v>
                </c:pt>
                <c:pt idx="224">
                  <c:v>99500</c:v>
                </c:pt>
                <c:pt idx="225">
                  <c:v>100000</c:v>
                </c:pt>
                <c:pt idx="226">
                  <c:v>105000</c:v>
                </c:pt>
                <c:pt idx="227">
                  <c:v>110000</c:v>
                </c:pt>
                <c:pt idx="228">
                  <c:v>115000</c:v>
                </c:pt>
                <c:pt idx="229">
                  <c:v>120000</c:v>
                </c:pt>
                <c:pt idx="230">
                  <c:v>125000</c:v>
                </c:pt>
                <c:pt idx="231">
                  <c:v>130000</c:v>
                </c:pt>
                <c:pt idx="232">
                  <c:v>135000</c:v>
                </c:pt>
                <c:pt idx="233">
                  <c:v>140000</c:v>
                </c:pt>
                <c:pt idx="234">
                  <c:v>145000</c:v>
                </c:pt>
                <c:pt idx="235">
                  <c:v>150000</c:v>
                </c:pt>
                <c:pt idx="236">
                  <c:v>155000</c:v>
                </c:pt>
                <c:pt idx="237">
                  <c:v>160000</c:v>
                </c:pt>
                <c:pt idx="238">
                  <c:v>165000</c:v>
                </c:pt>
                <c:pt idx="239">
                  <c:v>170000</c:v>
                </c:pt>
                <c:pt idx="240">
                  <c:v>175000</c:v>
                </c:pt>
                <c:pt idx="241">
                  <c:v>180000</c:v>
                </c:pt>
                <c:pt idx="242">
                  <c:v>185000</c:v>
                </c:pt>
                <c:pt idx="243">
                  <c:v>190000</c:v>
                </c:pt>
                <c:pt idx="244">
                  <c:v>195000</c:v>
                </c:pt>
                <c:pt idx="245">
                  <c:v>200000</c:v>
                </c:pt>
                <c:pt idx="246">
                  <c:v>205000</c:v>
                </c:pt>
                <c:pt idx="247">
                  <c:v>210000</c:v>
                </c:pt>
                <c:pt idx="248">
                  <c:v>215000</c:v>
                </c:pt>
                <c:pt idx="249">
                  <c:v>220000</c:v>
                </c:pt>
                <c:pt idx="250">
                  <c:v>225000</c:v>
                </c:pt>
                <c:pt idx="251">
                  <c:v>230000</c:v>
                </c:pt>
                <c:pt idx="252">
                  <c:v>235000</c:v>
                </c:pt>
                <c:pt idx="253">
                  <c:v>240000</c:v>
                </c:pt>
                <c:pt idx="254">
                  <c:v>245000</c:v>
                </c:pt>
                <c:pt idx="255">
                  <c:v>250000</c:v>
                </c:pt>
                <c:pt idx="256">
                  <c:v>255000</c:v>
                </c:pt>
                <c:pt idx="257">
                  <c:v>260000</c:v>
                </c:pt>
                <c:pt idx="258">
                  <c:v>265000</c:v>
                </c:pt>
                <c:pt idx="259">
                  <c:v>270000</c:v>
                </c:pt>
                <c:pt idx="260">
                  <c:v>275000</c:v>
                </c:pt>
                <c:pt idx="261">
                  <c:v>280000</c:v>
                </c:pt>
                <c:pt idx="262">
                  <c:v>285000</c:v>
                </c:pt>
                <c:pt idx="263">
                  <c:v>290000</c:v>
                </c:pt>
                <c:pt idx="264">
                  <c:v>295000</c:v>
                </c:pt>
                <c:pt idx="265">
                  <c:v>300000</c:v>
                </c:pt>
                <c:pt idx="266">
                  <c:v>305000</c:v>
                </c:pt>
                <c:pt idx="267">
                  <c:v>310000</c:v>
                </c:pt>
                <c:pt idx="268">
                  <c:v>315000</c:v>
                </c:pt>
                <c:pt idx="269">
                  <c:v>320000</c:v>
                </c:pt>
                <c:pt idx="270">
                  <c:v>325000</c:v>
                </c:pt>
                <c:pt idx="271">
                  <c:v>330000</c:v>
                </c:pt>
                <c:pt idx="272">
                  <c:v>335000</c:v>
                </c:pt>
                <c:pt idx="273">
                  <c:v>340000</c:v>
                </c:pt>
                <c:pt idx="274">
                  <c:v>345000</c:v>
                </c:pt>
                <c:pt idx="275">
                  <c:v>350000</c:v>
                </c:pt>
                <c:pt idx="276">
                  <c:v>355000</c:v>
                </c:pt>
                <c:pt idx="277">
                  <c:v>360000</c:v>
                </c:pt>
                <c:pt idx="278">
                  <c:v>365000</c:v>
                </c:pt>
                <c:pt idx="279">
                  <c:v>370000</c:v>
                </c:pt>
                <c:pt idx="280">
                  <c:v>375000</c:v>
                </c:pt>
                <c:pt idx="281">
                  <c:v>380000</c:v>
                </c:pt>
                <c:pt idx="282">
                  <c:v>385000</c:v>
                </c:pt>
                <c:pt idx="283">
                  <c:v>390000</c:v>
                </c:pt>
                <c:pt idx="284">
                  <c:v>395000</c:v>
                </c:pt>
                <c:pt idx="285">
                  <c:v>400000</c:v>
                </c:pt>
                <c:pt idx="286">
                  <c:v>405000</c:v>
                </c:pt>
                <c:pt idx="287">
                  <c:v>410000</c:v>
                </c:pt>
                <c:pt idx="288">
                  <c:v>415000</c:v>
                </c:pt>
                <c:pt idx="289">
                  <c:v>420000</c:v>
                </c:pt>
                <c:pt idx="290">
                  <c:v>425000</c:v>
                </c:pt>
                <c:pt idx="291">
                  <c:v>430000</c:v>
                </c:pt>
                <c:pt idx="292">
                  <c:v>435000</c:v>
                </c:pt>
                <c:pt idx="293">
                  <c:v>440000</c:v>
                </c:pt>
                <c:pt idx="294">
                  <c:v>445000</c:v>
                </c:pt>
                <c:pt idx="295">
                  <c:v>450000</c:v>
                </c:pt>
                <c:pt idx="296">
                  <c:v>455000</c:v>
                </c:pt>
                <c:pt idx="297">
                  <c:v>460000</c:v>
                </c:pt>
                <c:pt idx="298">
                  <c:v>465000</c:v>
                </c:pt>
                <c:pt idx="299">
                  <c:v>470000</c:v>
                </c:pt>
                <c:pt idx="300">
                  <c:v>475000</c:v>
                </c:pt>
                <c:pt idx="301">
                  <c:v>480000</c:v>
                </c:pt>
                <c:pt idx="302">
                  <c:v>485000</c:v>
                </c:pt>
                <c:pt idx="303">
                  <c:v>490000</c:v>
                </c:pt>
                <c:pt idx="304">
                  <c:v>495000</c:v>
                </c:pt>
                <c:pt idx="305">
                  <c:v>500000</c:v>
                </c:pt>
                <c:pt idx="306">
                  <c:v>505000</c:v>
                </c:pt>
                <c:pt idx="307">
                  <c:v>510000</c:v>
                </c:pt>
                <c:pt idx="308">
                  <c:v>515000</c:v>
                </c:pt>
                <c:pt idx="309">
                  <c:v>520000</c:v>
                </c:pt>
                <c:pt idx="310">
                  <c:v>525000</c:v>
                </c:pt>
                <c:pt idx="311">
                  <c:v>530000</c:v>
                </c:pt>
                <c:pt idx="312">
                  <c:v>535000</c:v>
                </c:pt>
                <c:pt idx="313">
                  <c:v>540000</c:v>
                </c:pt>
                <c:pt idx="314">
                  <c:v>545000</c:v>
                </c:pt>
                <c:pt idx="315">
                  <c:v>550000</c:v>
                </c:pt>
                <c:pt idx="316">
                  <c:v>555000</c:v>
                </c:pt>
                <c:pt idx="317">
                  <c:v>560000</c:v>
                </c:pt>
                <c:pt idx="318">
                  <c:v>565000</c:v>
                </c:pt>
                <c:pt idx="319">
                  <c:v>570000</c:v>
                </c:pt>
                <c:pt idx="320">
                  <c:v>575000</c:v>
                </c:pt>
                <c:pt idx="321">
                  <c:v>580000</c:v>
                </c:pt>
                <c:pt idx="322">
                  <c:v>585000</c:v>
                </c:pt>
                <c:pt idx="323">
                  <c:v>590000</c:v>
                </c:pt>
                <c:pt idx="324">
                  <c:v>595000</c:v>
                </c:pt>
                <c:pt idx="325">
                  <c:v>600000</c:v>
                </c:pt>
                <c:pt idx="326">
                  <c:v>605000</c:v>
                </c:pt>
                <c:pt idx="327">
                  <c:v>610000</c:v>
                </c:pt>
                <c:pt idx="328">
                  <c:v>615000</c:v>
                </c:pt>
                <c:pt idx="329">
                  <c:v>620000</c:v>
                </c:pt>
                <c:pt idx="330">
                  <c:v>625000</c:v>
                </c:pt>
                <c:pt idx="331">
                  <c:v>630000</c:v>
                </c:pt>
                <c:pt idx="332">
                  <c:v>635000</c:v>
                </c:pt>
                <c:pt idx="333">
                  <c:v>640000</c:v>
                </c:pt>
                <c:pt idx="334">
                  <c:v>645000</c:v>
                </c:pt>
                <c:pt idx="335">
                  <c:v>650000</c:v>
                </c:pt>
                <c:pt idx="336">
                  <c:v>655000</c:v>
                </c:pt>
                <c:pt idx="337">
                  <c:v>660000</c:v>
                </c:pt>
                <c:pt idx="338">
                  <c:v>665000</c:v>
                </c:pt>
                <c:pt idx="339">
                  <c:v>670000</c:v>
                </c:pt>
                <c:pt idx="340">
                  <c:v>675000</c:v>
                </c:pt>
                <c:pt idx="341">
                  <c:v>680000</c:v>
                </c:pt>
                <c:pt idx="342">
                  <c:v>685000</c:v>
                </c:pt>
                <c:pt idx="343">
                  <c:v>690000</c:v>
                </c:pt>
                <c:pt idx="344">
                  <c:v>695000</c:v>
                </c:pt>
                <c:pt idx="345">
                  <c:v>700000</c:v>
                </c:pt>
                <c:pt idx="346">
                  <c:v>705000</c:v>
                </c:pt>
                <c:pt idx="347">
                  <c:v>710000</c:v>
                </c:pt>
                <c:pt idx="348">
                  <c:v>715000</c:v>
                </c:pt>
                <c:pt idx="349">
                  <c:v>720000</c:v>
                </c:pt>
                <c:pt idx="350">
                  <c:v>725000</c:v>
                </c:pt>
                <c:pt idx="351">
                  <c:v>730000</c:v>
                </c:pt>
                <c:pt idx="352">
                  <c:v>735000</c:v>
                </c:pt>
                <c:pt idx="353">
                  <c:v>740000</c:v>
                </c:pt>
                <c:pt idx="354">
                  <c:v>745000</c:v>
                </c:pt>
                <c:pt idx="355">
                  <c:v>750000</c:v>
                </c:pt>
                <c:pt idx="356">
                  <c:v>755000</c:v>
                </c:pt>
                <c:pt idx="357">
                  <c:v>760000</c:v>
                </c:pt>
                <c:pt idx="358">
                  <c:v>765000</c:v>
                </c:pt>
                <c:pt idx="359">
                  <c:v>770000</c:v>
                </c:pt>
                <c:pt idx="360">
                  <c:v>775000</c:v>
                </c:pt>
                <c:pt idx="361">
                  <c:v>780000</c:v>
                </c:pt>
                <c:pt idx="362">
                  <c:v>785000</c:v>
                </c:pt>
                <c:pt idx="363">
                  <c:v>790000</c:v>
                </c:pt>
                <c:pt idx="364">
                  <c:v>795000</c:v>
                </c:pt>
                <c:pt idx="365">
                  <c:v>800000</c:v>
                </c:pt>
                <c:pt idx="366">
                  <c:v>805000</c:v>
                </c:pt>
                <c:pt idx="367">
                  <c:v>810000</c:v>
                </c:pt>
                <c:pt idx="368">
                  <c:v>815000</c:v>
                </c:pt>
                <c:pt idx="369">
                  <c:v>820000</c:v>
                </c:pt>
                <c:pt idx="370">
                  <c:v>825000</c:v>
                </c:pt>
                <c:pt idx="371">
                  <c:v>830000</c:v>
                </c:pt>
                <c:pt idx="372">
                  <c:v>835000</c:v>
                </c:pt>
                <c:pt idx="373">
                  <c:v>840000</c:v>
                </c:pt>
                <c:pt idx="374">
                  <c:v>845000</c:v>
                </c:pt>
                <c:pt idx="375">
                  <c:v>850000</c:v>
                </c:pt>
                <c:pt idx="376">
                  <c:v>855000</c:v>
                </c:pt>
                <c:pt idx="377">
                  <c:v>860000</c:v>
                </c:pt>
                <c:pt idx="378">
                  <c:v>865000</c:v>
                </c:pt>
                <c:pt idx="379">
                  <c:v>870000</c:v>
                </c:pt>
                <c:pt idx="380">
                  <c:v>875000</c:v>
                </c:pt>
                <c:pt idx="381">
                  <c:v>880000</c:v>
                </c:pt>
                <c:pt idx="382">
                  <c:v>885000</c:v>
                </c:pt>
                <c:pt idx="383">
                  <c:v>890000</c:v>
                </c:pt>
                <c:pt idx="384">
                  <c:v>895000</c:v>
                </c:pt>
                <c:pt idx="385">
                  <c:v>900000</c:v>
                </c:pt>
                <c:pt idx="386">
                  <c:v>905000</c:v>
                </c:pt>
                <c:pt idx="387">
                  <c:v>910000</c:v>
                </c:pt>
                <c:pt idx="388">
                  <c:v>915000</c:v>
                </c:pt>
                <c:pt idx="389">
                  <c:v>920000</c:v>
                </c:pt>
                <c:pt idx="390">
                  <c:v>925000</c:v>
                </c:pt>
                <c:pt idx="391">
                  <c:v>930000</c:v>
                </c:pt>
                <c:pt idx="392">
                  <c:v>935000</c:v>
                </c:pt>
                <c:pt idx="393">
                  <c:v>940000</c:v>
                </c:pt>
                <c:pt idx="394">
                  <c:v>945000</c:v>
                </c:pt>
                <c:pt idx="395">
                  <c:v>950000</c:v>
                </c:pt>
                <c:pt idx="396">
                  <c:v>955000</c:v>
                </c:pt>
                <c:pt idx="397">
                  <c:v>960000</c:v>
                </c:pt>
                <c:pt idx="398">
                  <c:v>965000</c:v>
                </c:pt>
                <c:pt idx="399">
                  <c:v>970000</c:v>
                </c:pt>
                <c:pt idx="400">
                  <c:v>975000</c:v>
                </c:pt>
                <c:pt idx="401">
                  <c:v>980000</c:v>
                </c:pt>
                <c:pt idx="402">
                  <c:v>985000</c:v>
                </c:pt>
                <c:pt idx="403">
                  <c:v>990000</c:v>
                </c:pt>
                <c:pt idx="404">
                  <c:v>995000</c:v>
                </c:pt>
                <c:pt idx="405">
                  <c:v>1000000</c:v>
                </c:pt>
                <c:pt idx="406">
                  <c:v>1005000</c:v>
                </c:pt>
                <c:pt idx="407">
                  <c:v>1010000</c:v>
                </c:pt>
                <c:pt idx="408">
                  <c:v>1015000</c:v>
                </c:pt>
                <c:pt idx="409">
                  <c:v>1020000</c:v>
                </c:pt>
                <c:pt idx="410">
                  <c:v>1025000</c:v>
                </c:pt>
                <c:pt idx="411">
                  <c:v>1030000</c:v>
                </c:pt>
                <c:pt idx="412">
                  <c:v>1035000</c:v>
                </c:pt>
                <c:pt idx="413">
                  <c:v>1040000</c:v>
                </c:pt>
                <c:pt idx="414">
                  <c:v>1045000</c:v>
                </c:pt>
                <c:pt idx="415">
                  <c:v>1050000</c:v>
                </c:pt>
                <c:pt idx="416">
                  <c:v>1055000</c:v>
                </c:pt>
                <c:pt idx="417">
                  <c:v>1060000</c:v>
                </c:pt>
                <c:pt idx="418">
                  <c:v>1065000</c:v>
                </c:pt>
                <c:pt idx="419">
                  <c:v>1070000</c:v>
                </c:pt>
                <c:pt idx="420">
                  <c:v>1075000</c:v>
                </c:pt>
                <c:pt idx="421">
                  <c:v>1080000</c:v>
                </c:pt>
                <c:pt idx="422">
                  <c:v>1085000</c:v>
                </c:pt>
                <c:pt idx="423">
                  <c:v>1090000</c:v>
                </c:pt>
                <c:pt idx="424">
                  <c:v>1095000</c:v>
                </c:pt>
                <c:pt idx="425">
                  <c:v>1100000</c:v>
                </c:pt>
                <c:pt idx="426">
                  <c:v>1105000</c:v>
                </c:pt>
                <c:pt idx="427">
                  <c:v>1110000</c:v>
                </c:pt>
                <c:pt idx="428">
                  <c:v>1115000</c:v>
                </c:pt>
                <c:pt idx="429">
                  <c:v>1120000</c:v>
                </c:pt>
                <c:pt idx="430">
                  <c:v>1125000</c:v>
                </c:pt>
                <c:pt idx="431">
                  <c:v>1130000</c:v>
                </c:pt>
                <c:pt idx="432">
                  <c:v>1135000</c:v>
                </c:pt>
                <c:pt idx="433">
                  <c:v>1140000</c:v>
                </c:pt>
                <c:pt idx="434">
                  <c:v>1145000</c:v>
                </c:pt>
                <c:pt idx="435">
                  <c:v>1150000</c:v>
                </c:pt>
                <c:pt idx="436">
                  <c:v>1155000</c:v>
                </c:pt>
                <c:pt idx="437">
                  <c:v>1160000</c:v>
                </c:pt>
                <c:pt idx="438">
                  <c:v>1165000</c:v>
                </c:pt>
                <c:pt idx="439">
                  <c:v>1170000</c:v>
                </c:pt>
                <c:pt idx="440">
                  <c:v>1175000</c:v>
                </c:pt>
                <c:pt idx="441">
                  <c:v>1180000</c:v>
                </c:pt>
                <c:pt idx="442">
                  <c:v>1185000</c:v>
                </c:pt>
                <c:pt idx="443">
                  <c:v>1190000</c:v>
                </c:pt>
                <c:pt idx="444">
                  <c:v>1195000</c:v>
                </c:pt>
                <c:pt idx="445">
                  <c:v>1200000</c:v>
                </c:pt>
                <c:pt idx="446">
                  <c:v>1205000</c:v>
                </c:pt>
                <c:pt idx="447">
                  <c:v>1210000</c:v>
                </c:pt>
                <c:pt idx="448">
                  <c:v>1215000</c:v>
                </c:pt>
                <c:pt idx="449">
                  <c:v>1220000</c:v>
                </c:pt>
                <c:pt idx="450">
                  <c:v>1225000</c:v>
                </c:pt>
                <c:pt idx="451">
                  <c:v>1230000</c:v>
                </c:pt>
                <c:pt idx="452">
                  <c:v>1235000</c:v>
                </c:pt>
                <c:pt idx="453">
                  <c:v>1240000</c:v>
                </c:pt>
                <c:pt idx="454">
                  <c:v>1245000</c:v>
                </c:pt>
                <c:pt idx="455">
                  <c:v>1250000</c:v>
                </c:pt>
                <c:pt idx="456">
                  <c:v>1255000</c:v>
                </c:pt>
                <c:pt idx="457">
                  <c:v>1260000</c:v>
                </c:pt>
                <c:pt idx="458">
                  <c:v>1265000</c:v>
                </c:pt>
                <c:pt idx="459">
                  <c:v>1270000</c:v>
                </c:pt>
                <c:pt idx="460">
                  <c:v>1275000</c:v>
                </c:pt>
                <c:pt idx="461">
                  <c:v>1280000</c:v>
                </c:pt>
                <c:pt idx="462">
                  <c:v>1285000</c:v>
                </c:pt>
                <c:pt idx="463">
                  <c:v>1290000</c:v>
                </c:pt>
                <c:pt idx="464">
                  <c:v>1295000</c:v>
                </c:pt>
                <c:pt idx="465">
                  <c:v>1300000</c:v>
                </c:pt>
                <c:pt idx="466">
                  <c:v>1305000</c:v>
                </c:pt>
                <c:pt idx="467">
                  <c:v>1310000</c:v>
                </c:pt>
                <c:pt idx="468">
                  <c:v>1315000</c:v>
                </c:pt>
                <c:pt idx="469">
                  <c:v>1320000</c:v>
                </c:pt>
                <c:pt idx="470">
                  <c:v>1325000</c:v>
                </c:pt>
                <c:pt idx="471">
                  <c:v>1330000</c:v>
                </c:pt>
                <c:pt idx="472">
                  <c:v>1335000</c:v>
                </c:pt>
                <c:pt idx="473">
                  <c:v>1340000</c:v>
                </c:pt>
                <c:pt idx="474">
                  <c:v>1345000</c:v>
                </c:pt>
                <c:pt idx="475">
                  <c:v>1350000</c:v>
                </c:pt>
                <c:pt idx="476">
                  <c:v>1355000</c:v>
                </c:pt>
                <c:pt idx="477">
                  <c:v>1360000</c:v>
                </c:pt>
                <c:pt idx="478">
                  <c:v>1365000</c:v>
                </c:pt>
                <c:pt idx="479">
                  <c:v>1370000</c:v>
                </c:pt>
                <c:pt idx="480">
                  <c:v>1375000</c:v>
                </c:pt>
                <c:pt idx="481">
                  <c:v>1380000</c:v>
                </c:pt>
                <c:pt idx="482">
                  <c:v>1385000</c:v>
                </c:pt>
                <c:pt idx="483">
                  <c:v>1390000</c:v>
                </c:pt>
                <c:pt idx="484">
                  <c:v>1395000</c:v>
                </c:pt>
                <c:pt idx="485">
                  <c:v>1400000</c:v>
                </c:pt>
                <c:pt idx="486">
                  <c:v>1405000</c:v>
                </c:pt>
                <c:pt idx="487">
                  <c:v>1410000</c:v>
                </c:pt>
                <c:pt idx="488">
                  <c:v>1415000</c:v>
                </c:pt>
                <c:pt idx="489">
                  <c:v>1420000</c:v>
                </c:pt>
                <c:pt idx="490">
                  <c:v>1425000</c:v>
                </c:pt>
                <c:pt idx="491">
                  <c:v>1430000</c:v>
                </c:pt>
                <c:pt idx="492">
                  <c:v>1435000</c:v>
                </c:pt>
                <c:pt idx="493">
                  <c:v>1440000</c:v>
                </c:pt>
                <c:pt idx="494">
                  <c:v>1445000</c:v>
                </c:pt>
                <c:pt idx="495">
                  <c:v>1450000</c:v>
                </c:pt>
                <c:pt idx="496">
                  <c:v>1455000</c:v>
                </c:pt>
                <c:pt idx="497">
                  <c:v>1460000</c:v>
                </c:pt>
                <c:pt idx="498">
                  <c:v>1465000</c:v>
                </c:pt>
                <c:pt idx="499">
                  <c:v>1470000</c:v>
                </c:pt>
                <c:pt idx="500">
                  <c:v>1475000</c:v>
                </c:pt>
                <c:pt idx="501">
                  <c:v>1480000</c:v>
                </c:pt>
                <c:pt idx="502">
                  <c:v>1485000</c:v>
                </c:pt>
                <c:pt idx="503">
                  <c:v>1490000</c:v>
                </c:pt>
                <c:pt idx="504">
                  <c:v>1495000</c:v>
                </c:pt>
                <c:pt idx="505">
                  <c:v>1500000</c:v>
                </c:pt>
                <c:pt idx="506">
                  <c:v>1505000</c:v>
                </c:pt>
                <c:pt idx="507">
                  <c:v>1510000</c:v>
                </c:pt>
                <c:pt idx="508">
                  <c:v>1515000</c:v>
                </c:pt>
                <c:pt idx="509">
                  <c:v>1520000</c:v>
                </c:pt>
                <c:pt idx="510">
                  <c:v>1525000</c:v>
                </c:pt>
                <c:pt idx="511">
                  <c:v>1530000</c:v>
                </c:pt>
                <c:pt idx="512">
                  <c:v>1535000</c:v>
                </c:pt>
                <c:pt idx="513">
                  <c:v>1540000</c:v>
                </c:pt>
                <c:pt idx="514">
                  <c:v>1545000</c:v>
                </c:pt>
                <c:pt idx="515">
                  <c:v>1550000</c:v>
                </c:pt>
                <c:pt idx="516">
                  <c:v>1555000</c:v>
                </c:pt>
                <c:pt idx="517">
                  <c:v>1560000</c:v>
                </c:pt>
                <c:pt idx="518">
                  <c:v>1565000</c:v>
                </c:pt>
                <c:pt idx="519">
                  <c:v>1570000</c:v>
                </c:pt>
                <c:pt idx="520">
                  <c:v>1575000</c:v>
                </c:pt>
                <c:pt idx="521">
                  <c:v>1580000</c:v>
                </c:pt>
                <c:pt idx="522">
                  <c:v>1585000</c:v>
                </c:pt>
                <c:pt idx="523">
                  <c:v>1590000</c:v>
                </c:pt>
                <c:pt idx="524">
                  <c:v>1595000</c:v>
                </c:pt>
                <c:pt idx="525">
                  <c:v>1600000</c:v>
                </c:pt>
                <c:pt idx="526">
                  <c:v>1605000</c:v>
                </c:pt>
                <c:pt idx="527">
                  <c:v>1610000</c:v>
                </c:pt>
                <c:pt idx="528">
                  <c:v>1615000</c:v>
                </c:pt>
                <c:pt idx="529">
                  <c:v>1620000</c:v>
                </c:pt>
                <c:pt idx="530">
                  <c:v>1625000</c:v>
                </c:pt>
                <c:pt idx="531">
                  <c:v>1630000</c:v>
                </c:pt>
                <c:pt idx="532">
                  <c:v>1635000</c:v>
                </c:pt>
                <c:pt idx="533">
                  <c:v>1640000</c:v>
                </c:pt>
                <c:pt idx="534">
                  <c:v>1645000</c:v>
                </c:pt>
                <c:pt idx="535">
                  <c:v>1650000</c:v>
                </c:pt>
                <c:pt idx="536">
                  <c:v>1655000</c:v>
                </c:pt>
                <c:pt idx="537">
                  <c:v>1660000</c:v>
                </c:pt>
                <c:pt idx="538">
                  <c:v>1665000</c:v>
                </c:pt>
                <c:pt idx="539">
                  <c:v>1670000</c:v>
                </c:pt>
                <c:pt idx="540">
                  <c:v>1675000</c:v>
                </c:pt>
                <c:pt idx="541">
                  <c:v>1680000</c:v>
                </c:pt>
                <c:pt idx="542">
                  <c:v>1685000</c:v>
                </c:pt>
                <c:pt idx="543">
                  <c:v>1690000</c:v>
                </c:pt>
                <c:pt idx="544">
                  <c:v>1695000</c:v>
                </c:pt>
                <c:pt idx="545">
                  <c:v>1700000</c:v>
                </c:pt>
                <c:pt idx="546">
                  <c:v>1705000</c:v>
                </c:pt>
                <c:pt idx="547">
                  <c:v>1710000</c:v>
                </c:pt>
                <c:pt idx="548">
                  <c:v>1715000</c:v>
                </c:pt>
                <c:pt idx="549">
                  <c:v>1720000</c:v>
                </c:pt>
                <c:pt idx="550">
                  <c:v>1725000</c:v>
                </c:pt>
                <c:pt idx="551">
                  <c:v>1730000</c:v>
                </c:pt>
                <c:pt idx="552">
                  <c:v>1735000</c:v>
                </c:pt>
                <c:pt idx="553">
                  <c:v>1740000</c:v>
                </c:pt>
                <c:pt idx="554">
                  <c:v>1745000</c:v>
                </c:pt>
                <c:pt idx="555">
                  <c:v>1750000</c:v>
                </c:pt>
                <c:pt idx="556">
                  <c:v>1755000</c:v>
                </c:pt>
                <c:pt idx="557">
                  <c:v>1760000</c:v>
                </c:pt>
                <c:pt idx="558">
                  <c:v>1765000</c:v>
                </c:pt>
                <c:pt idx="559">
                  <c:v>1770000</c:v>
                </c:pt>
                <c:pt idx="560">
                  <c:v>1775000</c:v>
                </c:pt>
                <c:pt idx="561">
                  <c:v>1780000</c:v>
                </c:pt>
                <c:pt idx="562">
                  <c:v>1785000</c:v>
                </c:pt>
                <c:pt idx="563">
                  <c:v>1790000</c:v>
                </c:pt>
                <c:pt idx="564">
                  <c:v>1795000</c:v>
                </c:pt>
                <c:pt idx="565">
                  <c:v>1800000</c:v>
                </c:pt>
                <c:pt idx="566">
                  <c:v>1805000</c:v>
                </c:pt>
                <c:pt idx="567">
                  <c:v>1810000</c:v>
                </c:pt>
                <c:pt idx="568">
                  <c:v>1815000</c:v>
                </c:pt>
                <c:pt idx="569">
                  <c:v>1820000</c:v>
                </c:pt>
                <c:pt idx="570">
                  <c:v>1825000</c:v>
                </c:pt>
                <c:pt idx="571">
                  <c:v>1830000</c:v>
                </c:pt>
                <c:pt idx="572">
                  <c:v>1835000</c:v>
                </c:pt>
                <c:pt idx="573">
                  <c:v>1840000</c:v>
                </c:pt>
                <c:pt idx="574">
                  <c:v>1845000</c:v>
                </c:pt>
                <c:pt idx="575">
                  <c:v>1850000</c:v>
                </c:pt>
                <c:pt idx="576">
                  <c:v>1855000</c:v>
                </c:pt>
                <c:pt idx="577">
                  <c:v>1860000</c:v>
                </c:pt>
                <c:pt idx="578">
                  <c:v>1865000</c:v>
                </c:pt>
                <c:pt idx="579">
                  <c:v>1870000</c:v>
                </c:pt>
                <c:pt idx="580">
                  <c:v>1875000</c:v>
                </c:pt>
                <c:pt idx="581">
                  <c:v>1880000</c:v>
                </c:pt>
                <c:pt idx="582">
                  <c:v>1885000</c:v>
                </c:pt>
                <c:pt idx="583">
                  <c:v>1890000</c:v>
                </c:pt>
                <c:pt idx="584">
                  <c:v>1895000</c:v>
                </c:pt>
                <c:pt idx="585">
                  <c:v>1900000</c:v>
                </c:pt>
                <c:pt idx="586">
                  <c:v>1905000</c:v>
                </c:pt>
                <c:pt idx="587">
                  <c:v>1910000</c:v>
                </c:pt>
                <c:pt idx="588">
                  <c:v>1915000</c:v>
                </c:pt>
                <c:pt idx="589">
                  <c:v>1920000</c:v>
                </c:pt>
                <c:pt idx="590">
                  <c:v>1925000</c:v>
                </c:pt>
                <c:pt idx="591">
                  <c:v>1930000</c:v>
                </c:pt>
                <c:pt idx="592">
                  <c:v>1935000</c:v>
                </c:pt>
                <c:pt idx="593">
                  <c:v>1940000</c:v>
                </c:pt>
                <c:pt idx="594">
                  <c:v>1945000</c:v>
                </c:pt>
                <c:pt idx="595">
                  <c:v>1950000</c:v>
                </c:pt>
                <c:pt idx="596">
                  <c:v>1955000</c:v>
                </c:pt>
                <c:pt idx="597">
                  <c:v>1960000</c:v>
                </c:pt>
                <c:pt idx="598">
                  <c:v>1965000</c:v>
                </c:pt>
                <c:pt idx="599">
                  <c:v>1970000</c:v>
                </c:pt>
                <c:pt idx="600">
                  <c:v>1975000</c:v>
                </c:pt>
                <c:pt idx="601">
                  <c:v>1980000</c:v>
                </c:pt>
                <c:pt idx="602">
                  <c:v>1985000</c:v>
                </c:pt>
                <c:pt idx="603">
                  <c:v>1990000</c:v>
                </c:pt>
                <c:pt idx="604">
                  <c:v>1995000</c:v>
                </c:pt>
                <c:pt idx="605">
                  <c:v>2000000</c:v>
                </c:pt>
                <c:pt idx="606">
                  <c:v>2250000</c:v>
                </c:pt>
                <c:pt idx="607">
                  <c:v>2500000</c:v>
                </c:pt>
                <c:pt idx="608">
                  <c:v>2750000</c:v>
                </c:pt>
                <c:pt idx="609">
                  <c:v>3000000</c:v>
                </c:pt>
                <c:pt idx="610">
                  <c:v>3250000</c:v>
                </c:pt>
                <c:pt idx="611">
                  <c:v>3500000</c:v>
                </c:pt>
                <c:pt idx="612">
                  <c:v>3750000</c:v>
                </c:pt>
                <c:pt idx="613">
                  <c:v>4000000</c:v>
                </c:pt>
                <c:pt idx="614">
                  <c:v>4250000</c:v>
                </c:pt>
                <c:pt idx="615">
                  <c:v>4500000</c:v>
                </c:pt>
                <c:pt idx="616">
                  <c:v>4750000</c:v>
                </c:pt>
                <c:pt idx="617">
                  <c:v>5000000</c:v>
                </c:pt>
                <c:pt idx="618">
                  <c:v>5100000</c:v>
                </c:pt>
                <c:pt idx="619">
                  <c:v>5200000</c:v>
                </c:pt>
                <c:pt idx="620">
                  <c:v>5300000</c:v>
                </c:pt>
                <c:pt idx="621">
                  <c:v>5400000</c:v>
                </c:pt>
                <c:pt idx="622">
                  <c:v>5500000</c:v>
                </c:pt>
                <c:pt idx="623">
                  <c:v>5600000</c:v>
                </c:pt>
                <c:pt idx="624">
                  <c:v>5700000</c:v>
                </c:pt>
                <c:pt idx="625">
                  <c:v>5800000</c:v>
                </c:pt>
                <c:pt idx="626">
                  <c:v>5900000</c:v>
                </c:pt>
                <c:pt idx="627">
                  <c:v>6000000</c:v>
                </c:pt>
                <c:pt idx="628">
                  <c:v>6100000</c:v>
                </c:pt>
                <c:pt idx="629">
                  <c:v>6200000</c:v>
                </c:pt>
                <c:pt idx="630">
                  <c:v>6300000</c:v>
                </c:pt>
                <c:pt idx="631">
                  <c:v>6400000</c:v>
                </c:pt>
                <c:pt idx="632">
                  <c:v>6500000</c:v>
                </c:pt>
                <c:pt idx="633">
                  <c:v>6600000</c:v>
                </c:pt>
                <c:pt idx="634">
                  <c:v>6700000</c:v>
                </c:pt>
                <c:pt idx="635">
                  <c:v>6800000</c:v>
                </c:pt>
                <c:pt idx="636">
                  <c:v>6900000</c:v>
                </c:pt>
                <c:pt idx="637">
                  <c:v>7000000</c:v>
                </c:pt>
                <c:pt idx="638">
                  <c:v>7100000</c:v>
                </c:pt>
                <c:pt idx="639">
                  <c:v>7200000</c:v>
                </c:pt>
                <c:pt idx="640">
                  <c:v>7300000</c:v>
                </c:pt>
                <c:pt idx="641">
                  <c:v>7400000</c:v>
                </c:pt>
                <c:pt idx="642">
                  <c:v>7500000</c:v>
                </c:pt>
                <c:pt idx="643">
                  <c:v>7600000</c:v>
                </c:pt>
                <c:pt idx="644">
                  <c:v>7700000</c:v>
                </c:pt>
                <c:pt idx="645">
                  <c:v>7800000</c:v>
                </c:pt>
                <c:pt idx="646">
                  <c:v>7900000</c:v>
                </c:pt>
                <c:pt idx="647">
                  <c:v>8000000</c:v>
                </c:pt>
                <c:pt idx="648">
                  <c:v>8100000</c:v>
                </c:pt>
                <c:pt idx="649">
                  <c:v>8200000</c:v>
                </c:pt>
                <c:pt idx="650">
                  <c:v>8300000</c:v>
                </c:pt>
                <c:pt idx="651">
                  <c:v>8400000</c:v>
                </c:pt>
                <c:pt idx="652">
                  <c:v>8500000</c:v>
                </c:pt>
                <c:pt idx="653">
                  <c:v>8600000</c:v>
                </c:pt>
                <c:pt idx="654">
                  <c:v>8700000</c:v>
                </c:pt>
                <c:pt idx="655">
                  <c:v>8800000</c:v>
                </c:pt>
                <c:pt idx="656">
                  <c:v>8900000</c:v>
                </c:pt>
                <c:pt idx="657">
                  <c:v>9000000</c:v>
                </c:pt>
                <c:pt idx="658">
                  <c:v>9100000</c:v>
                </c:pt>
                <c:pt idx="659">
                  <c:v>9200000</c:v>
                </c:pt>
                <c:pt idx="660">
                  <c:v>9300000</c:v>
                </c:pt>
                <c:pt idx="661">
                  <c:v>9400000</c:v>
                </c:pt>
                <c:pt idx="662">
                  <c:v>9500000</c:v>
                </c:pt>
                <c:pt idx="663">
                  <c:v>9600000</c:v>
                </c:pt>
                <c:pt idx="664">
                  <c:v>9700000</c:v>
                </c:pt>
                <c:pt idx="665">
                  <c:v>9800000</c:v>
                </c:pt>
                <c:pt idx="666">
                  <c:v>9900000</c:v>
                </c:pt>
                <c:pt idx="667">
                  <c:v>10000000</c:v>
                </c:pt>
              </c:numCache>
            </c:numRef>
          </c:xVal>
          <c:yVal>
            <c:numRef>
              <c:f>'Bode Plots Calculations'!$X$9:$X$676</c:f>
              <c:numCache>
                <c:formatCode>General</c:formatCode>
                <c:ptCount val="668"/>
                <c:pt idx="0">
                  <c:v>94.4309666162047</c:v>
                </c:pt>
                <c:pt idx="1">
                  <c:v>88.4203588720865</c:v>
                </c:pt>
                <c:pt idx="2">
                  <c:v>84.9151363864194</c:v>
                </c:pt>
                <c:pt idx="3">
                  <c:v>82.4394993096917</c:v>
                </c:pt>
                <c:pt idx="4">
                  <c:v>80.5308674724672</c:v>
                </c:pt>
                <c:pt idx="5">
                  <c:v>78.9831104630534</c:v>
                </c:pt>
                <c:pt idx="6">
                  <c:v>77.6861856021995</c:v>
                </c:pt>
                <c:pt idx="7">
                  <c:v>76.5743211547215</c:v>
                </c:pt>
                <c:pt idx="8">
                  <c:v>75.6050087433435</c:v>
                </c:pt>
                <c:pt idx="9">
                  <c:v>74.7491425548338</c:v>
                </c:pt>
                <c:pt idx="10">
                  <c:v>69.5709815033871</c:v>
                </c:pt>
                <c:pt idx="11">
                  <c:v>67.1680739159839</c:v>
                </c:pt>
                <c:pt idx="12">
                  <c:v>65.8683741900613</c:v>
                </c:pt>
                <c:pt idx="13">
                  <c:v>65.1035183988903</c:v>
                </c:pt>
                <c:pt idx="14">
                  <c:v>64.6236403848904</c:v>
                </c:pt>
                <c:pt idx="15">
                  <c:v>64.3063780862942</c:v>
                </c:pt>
                <c:pt idx="16">
                  <c:v>64.0873124140269</c:v>
                </c:pt>
                <c:pt idx="17">
                  <c:v>63.9304608062244</c:v>
                </c:pt>
                <c:pt idx="18">
                  <c:v>63.814674935081</c:v>
                </c:pt>
                <c:pt idx="19">
                  <c:v>63.4218741970876</c:v>
                </c:pt>
                <c:pt idx="20">
                  <c:v>63.3442983658181</c:v>
                </c:pt>
                <c:pt idx="21">
                  <c:v>63.3159028682025</c:v>
                </c:pt>
                <c:pt idx="22">
                  <c:v>63.3016926713388</c:v>
                </c:pt>
                <c:pt idx="23">
                  <c:v>63.2928882911888</c:v>
                </c:pt>
                <c:pt idx="24">
                  <c:v>63.28646093245</c:v>
                </c:pt>
                <c:pt idx="25">
                  <c:v>63.2811414091632</c:v>
                </c:pt>
                <c:pt idx="26">
                  <c:v>63.2763227384147</c:v>
                </c:pt>
                <c:pt idx="27">
                  <c:v>63.2716854717146</c:v>
                </c:pt>
                <c:pt idx="28">
                  <c:v>63.2468648680933</c:v>
                </c:pt>
                <c:pt idx="29">
                  <c:v>63.215741809301</c:v>
                </c:pt>
                <c:pt idx="30">
                  <c:v>63.1771895046376</c:v>
                </c:pt>
                <c:pt idx="31">
                  <c:v>63.1312493558049</c:v>
                </c:pt>
                <c:pt idx="32">
                  <c:v>63.0782652881123</c:v>
                </c:pt>
                <c:pt idx="33">
                  <c:v>63.0187090609874</c:v>
                </c:pt>
                <c:pt idx="34">
                  <c:v>62.9531240616801</c:v>
                </c:pt>
                <c:pt idx="35">
                  <c:v>62.8820984437469</c:v>
                </c:pt>
                <c:pt idx="36">
                  <c:v>62.8062477372993</c:v>
                </c:pt>
                <c:pt idx="37">
                  <c:v>62.7262014719275</c:v>
                </c:pt>
                <c:pt idx="38">
                  <c:v>62.642592120689</c:v>
                </c:pt>
                <c:pt idx="39">
                  <c:v>62.5560458015236</c:v>
                </c:pt>
                <c:pt idx="40">
                  <c:v>62.467174525817</c:v>
                </c:pt>
                <c:pt idx="41">
                  <c:v>62.3765698838743</c:v>
                </c:pt>
                <c:pt idx="42">
                  <c:v>62.28479807124</c:v>
                </c:pt>
                <c:pt idx="43">
                  <c:v>62.192396147721</c:v>
                </c:pt>
                <c:pt idx="44">
                  <c:v>62.0998694050573</c:v>
                </c:pt>
                <c:pt idx="45">
                  <c:v>62.007689707604</c:v>
                </c:pt>
                <c:pt idx="46">
                  <c:v>61.9162946654514</c:v>
                </c:pt>
                <c:pt idx="47">
                  <c:v>61.8260875009069</c:v>
                </c:pt>
                <c:pt idx="48">
                  <c:v>61.7374374759809</c:v>
                </c:pt>
                <c:pt idx="49">
                  <c:v>61.6506807589663</c:v>
                </c:pt>
                <c:pt idx="50">
                  <c:v>61.5661216209368</c:v>
                </c:pt>
                <c:pt idx="51">
                  <c:v>61.4840338667918</c:v>
                </c:pt>
                <c:pt idx="52">
                  <c:v>61.4046624193818</c:v>
                </c:pt>
                <c:pt idx="53">
                  <c:v>61.328224988577</c:v>
                </c:pt>
                <c:pt idx="54">
                  <c:v>61.2549137694268</c:v>
                </c:pt>
                <c:pt idx="55">
                  <c:v>61.1848971245378</c:v>
                </c:pt>
                <c:pt idx="56">
                  <c:v>61.1183212153642</c:v>
                </c:pt>
                <c:pt idx="57">
                  <c:v>61.0553115552332</c:v>
                </c:pt>
                <c:pt idx="58">
                  <c:v>60.9959744636991</c:v>
                </c:pt>
                <c:pt idx="59">
                  <c:v>60.9403984073329</c:v>
                </c:pt>
                <c:pt idx="60">
                  <c:v>60.8886552164464</c:v>
                </c:pt>
                <c:pt idx="61">
                  <c:v>60.8408011706668</c:v>
                </c:pt>
                <c:pt idx="62">
                  <c:v>60.7968779488592</c:v>
                </c:pt>
                <c:pt idx="63">
                  <c:v>60.7569134407772</c:v>
                </c:pt>
                <c:pt idx="64">
                  <c:v>60.7209224191307</c:v>
                </c:pt>
                <c:pt idx="65">
                  <c:v>60.6889070716106</c:v>
                </c:pt>
                <c:pt idx="66">
                  <c:v>60.6608573928961</c:v>
                </c:pt>
                <c:pt idx="67">
                  <c:v>60.6367514368926</c:v>
                </c:pt>
                <c:pt idx="68">
                  <c:v>60.6165554294763</c:v>
                </c:pt>
                <c:pt idx="69">
                  <c:v>60.6002237419417</c:v>
                </c:pt>
                <c:pt idx="70">
                  <c:v>60.5876987252184</c:v>
                </c:pt>
                <c:pt idx="71">
                  <c:v>60.5789104048254</c:v>
                </c:pt>
                <c:pt idx="72">
                  <c:v>60.5737760365175</c:v>
                </c:pt>
                <c:pt idx="73">
                  <c:v>60.5721995227411</c:v>
                </c:pt>
                <c:pt idx="74">
                  <c:v>60.5740706904153</c:v>
                </c:pt>
                <c:pt idx="75">
                  <c:v>60.5792644312884</c:v>
                </c:pt>
                <c:pt idx="76">
                  <c:v>60.5876397072793</c:v>
                </c:pt>
                <c:pt idx="77">
                  <c:v>60.5990384249094</c:v>
                </c:pt>
                <c:pt idx="78">
                  <c:v>60.6132841852762</c:v>
                </c:pt>
                <c:pt idx="79">
                  <c:v>60.6301809191553</c:v>
                </c:pt>
                <c:pt idx="80">
                  <c:v>60.6495114208643</c:v>
                </c:pt>
                <c:pt idx="81">
                  <c:v>60.6710357996387</c:v>
                </c:pt>
                <c:pt idx="82">
                  <c:v>60.6944898735654</c:v>
                </c:pt>
                <c:pt idx="83">
                  <c:v>60.7195835387286</c:v>
                </c:pt>
                <c:pt idx="84">
                  <c:v>60.7459991551932</c:v>
                </c:pt>
                <c:pt idx="85">
                  <c:v>60.7733900018033</c:v>
                </c:pt>
                <c:pt idx="86">
                  <c:v>60.8013788634045</c:v>
                </c:pt>
                <c:pt idx="87">
                  <c:v>60.8295568267717</c:v>
                </c:pt>
                <c:pt idx="88">
                  <c:v>60.8574823748245</c:v>
                </c:pt>
                <c:pt idx="89">
                  <c:v>60.8846808819779</c:v>
                </c:pt>
                <c:pt idx="90">
                  <c:v>60.9106446257746</c:v>
                </c:pt>
                <c:pt idx="91">
                  <c:v>60.9348334400247</c:v>
                </c:pt>
                <c:pt idx="92">
                  <c:v>60.9566761409704</c:v>
                </c:pt>
                <c:pt idx="93">
                  <c:v>60.9755728586167</c:v>
                </c:pt>
                <c:pt idx="94">
                  <c:v>60.9908983982668</c:v>
                </c:pt>
                <c:pt idx="95">
                  <c:v>61.0020067403373</c:v>
                </c:pt>
                <c:pt idx="96">
                  <c:v>61.0082367577893</c:v>
                </c:pt>
                <c:pt idx="97">
                  <c:v>61.0089191886218</c:v>
                </c:pt>
                <c:pt idx="98">
                  <c:v>61.0033848453657</c:v>
                </c:pt>
                <c:pt idx="99">
                  <c:v>60.9909739753199</c:v>
                </c:pt>
                <c:pt idx="100">
                  <c:v>60.9710466070046</c:v>
                </c:pt>
                <c:pt idx="101">
                  <c:v>60.9429936345799</c:v>
                </c:pt>
                <c:pt idx="102">
                  <c:v>60.9062483093087</c:v>
                </c:pt>
                <c:pt idx="103">
                  <c:v>60.8602977336293</c:v>
                </c:pt>
                <c:pt idx="104">
                  <c:v>60.8046938979216</c:v>
                </c:pt>
                <c:pt idx="105">
                  <c:v>60.7390637711828</c:v>
                </c:pt>
                <c:pt idx="106">
                  <c:v>60.6631179614542</c:v>
                </c:pt>
                <c:pt idx="107">
                  <c:v>60.576657503864</c:v>
                </c:pt>
                <c:pt idx="108">
                  <c:v>60.4795784133677</c:v>
                </c:pt>
                <c:pt idx="109">
                  <c:v>60.3718737509353</c:v>
                </c:pt>
                <c:pt idx="110">
                  <c:v>60.2536330869829</c:v>
                </c:pt>
                <c:pt idx="111">
                  <c:v>60.1250393919578</c:v>
                </c:pt>
                <c:pt idx="112">
                  <c:v>59.9863635272523</c:v>
                </c:pt>
                <c:pt idx="113">
                  <c:v>59.8379566365451</c:v>
                </c:pt>
                <c:pt idx="114">
                  <c:v>59.6802408370758</c:v>
                </c:pt>
                <c:pt idx="115">
                  <c:v>59.5136986748432</c:v>
                </c:pt>
                <c:pt idx="116">
                  <c:v>59.3388618343996</c:v>
                </c:pt>
                <c:pt idx="117">
                  <c:v>59.1562995843287</c:v>
                </c:pt>
                <c:pt idx="118">
                  <c:v>58.9666073989234</c:v>
                </c:pt>
                <c:pt idx="119">
                  <c:v>58.7703961327421</c:v>
                </c:pt>
                <c:pt idx="120">
                  <c:v>58.5682820464838</c:v>
                </c:pt>
                <c:pt idx="121">
                  <c:v>58.3608778986522</c:v>
                </c:pt>
                <c:pt idx="122">
                  <c:v>58.1487852353195</c:v>
                </c:pt>
                <c:pt idx="123">
                  <c:v>57.9325879357012</c:v>
                </c:pt>
                <c:pt idx="124">
                  <c:v>57.7128470080247</c:v>
                </c:pt>
                <c:pt idx="125">
                  <c:v>57.4900965802032</c:v>
                </c:pt>
                <c:pt idx="126">
                  <c:v>57.2648409934252</c:v>
                </c:pt>
                <c:pt idx="127">
                  <c:v>57.0375528830692</c:v>
                </c:pt>
                <c:pt idx="128">
                  <c:v>56.8086721186899</c:v>
                </c:pt>
                <c:pt idx="129">
                  <c:v>56.5786054711859</c:v>
                </c:pt>
                <c:pt idx="130">
                  <c:v>56.3477268784972</c:v>
                </c:pt>
                <c:pt idx="131">
                  <c:v>56.1163781893115</c:v>
                </c:pt>
                <c:pt idx="132">
                  <c:v>55.8848702755085</c:v>
                </c:pt>
                <c:pt idx="133">
                  <c:v>55.65348441701</c:v>
                </c:pt>
                <c:pt idx="134">
                  <c:v>55.4224738762046</c:v>
                </c:pt>
                <c:pt idx="135">
                  <c:v>55.192065592366</c:v>
                </c:pt>
                <c:pt idx="136">
                  <c:v>54.962461938928</c:v>
                </c:pt>
                <c:pt idx="137">
                  <c:v>54.7338424977789</c:v>
                </c:pt>
                <c:pt idx="138">
                  <c:v>54.5063658147192</c:v>
                </c:pt>
                <c:pt idx="139">
                  <c:v>54.2801711088399</c:v>
                </c:pt>
                <c:pt idx="140">
                  <c:v>54.0553799158607</c:v>
                </c:pt>
                <c:pt idx="141">
                  <c:v>53.8320976515013</c:v>
                </c:pt>
                <c:pt idx="142">
                  <c:v>53.6104150858758</c:v>
                </c:pt>
                <c:pt idx="143">
                  <c:v>53.3904097238243</c:v>
                </c:pt>
                <c:pt idx="144">
                  <c:v>53.1721470891737</c:v>
                </c:pt>
                <c:pt idx="145">
                  <c:v>52.9556819132737</c:v>
                </c:pt>
                <c:pt idx="146">
                  <c:v>52.7410592299176</c:v>
                </c:pt>
                <c:pt idx="147">
                  <c:v>52.5283153800257</c:v>
                </c:pt>
                <c:pt idx="148">
                  <c:v>52.3174789303491</c:v>
                </c:pt>
                <c:pt idx="149">
                  <c:v>52.1085715110124</c:v>
                </c:pt>
                <c:pt idx="150">
                  <c:v>51.9016085770367</c:v>
                </c:pt>
                <c:pt idx="151">
                  <c:v>51.696600099114</c:v>
                </c:pt>
                <c:pt idx="152">
                  <c:v>51.4935511888951</c:v>
                </c:pt>
                <c:pt idx="153">
                  <c:v>51.2924626639385</c:v>
                </c:pt>
                <c:pt idx="154">
                  <c:v>51.093331557281</c:v>
                </c:pt>
                <c:pt idx="155">
                  <c:v>50.8961515763527</c:v>
                </c:pt>
                <c:pt idx="156">
                  <c:v>50.7009135156901</c:v>
                </c:pt>
                <c:pt idx="157">
                  <c:v>50.507605627613</c:v>
                </c:pt>
                <c:pt idx="158">
                  <c:v>50.3162139547399</c:v>
                </c:pt>
                <c:pt idx="159">
                  <c:v>50.1267226279223</c:v>
                </c:pt>
                <c:pt idx="160">
                  <c:v>49.9391141328943</c:v>
                </c:pt>
                <c:pt idx="161">
                  <c:v>49.7533695486604</c:v>
                </c:pt>
                <c:pt idx="162">
                  <c:v>49.5694687603835</c:v>
                </c:pt>
                <c:pt idx="163">
                  <c:v>49.387390649291</c:v>
                </c:pt>
                <c:pt idx="164">
                  <c:v>49.2071132618877</c:v>
                </c:pt>
                <c:pt idx="165">
                  <c:v>49.0286139605543</c:v>
                </c:pt>
                <c:pt idx="166">
                  <c:v>48.8518695574106</c:v>
                </c:pt>
                <c:pt idx="167">
                  <c:v>48.6768564331479</c:v>
                </c:pt>
                <c:pt idx="168">
                  <c:v>48.5035506423663</c:v>
                </c:pt>
                <c:pt idx="169">
                  <c:v>48.3319280068047</c:v>
                </c:pt>
                <c:pt idx="170">
                  <c:v>48.1619641977141</c:v>
                </c:pt>
                <c:pt idx="171">
                  <c:v>47.9936348085006</c:v>
                </c:pt>
                <c:pt idx="172">
                  <c:v>47.8269154186508</c:v>
                </c:pt>
                <c:pt idx="173">
                  <c:v>47.6617816498536</c:v>
                </c:pt>
                <c:pt idx="174">
                  <c:v>47.4982092151367</c:v>
                </c:pt>
                <c:pt idx="175">
                  <c:v>47.3361739617552</c:v>
                </c:pt>
                <c:pt idx="176">
                  <c:v>47.1756519084952</c:v>
                </c:pt>
                <c:pt idx="177">
                  <c:v>47.0166192779845</c:v>
                </c:pt>
                <c:pt idx="178">
                  <c:v>46.8590525245482</c:v>
                </c:pt>
                <c:pt idx="179">
                  <c:v>46.7029283580833</c:v>
                </c:pt>
                <c:pt idx="180">
                  <c:v>46.5482237643872</c:v>
                </c:pt>
                <c:pt idx="181">
                  <c:v>46.3949160223225</c:v>
                </c:pt>
                <c:pt idx="182">
                  <c:v>46.2429827181652</c:v>
                </c:pt>
                <c:pt idx="183">
                  <c:v>46.0924017574477</c:v>
                </c:pt>
                <c:pt idx="184">
                  <c:v>45.9431513745734</c:v>
                </c:pt>
                <c:pt idx="185">
                  <c:v>45.7952101404541</c:v>
                </c:pt>
                <c:pt idx="186">
                  <c:v>45.6485569683921</c:v>
                </c:pt>
                <c:pt idx="187">
                  <c:v>45.5031711184102</c:v>
                </c:pt>
                <c:pt idx="188">
                  <c:v>45.3590322002066</c:v>
                </c:pt>
                <c:pt idx="189">
                  <c:v>45.2161201748985</c:v>
                </c:pt>
                <c:pt idx="190">
                  <c:v>45.0744153556961</c:v>
                </c:pt>
                <c:pt idx="191">
                  <c:v>44.9338984076385</c:v>
                </c:pt>
                <c:pt idx="192">
                  <c:v>44.7945503465062</c:v>
                </c:pt>
                <c:pt idx="193">
                  <c:v>44.6563525370137</c:v>
                </c:pt>
                <c:pt idx="194">
                  <c:v>44.5192866903756</c:v>
                </c:pt>
                <c:pt idx="195">
                  <c:v>44.383334861328</c:v>
                </c:pt>
                <c:pt idx="196">
                  <c:v>44.2484794446809</c:v>
                </c:pt>
                <c:pt idx="197">
                  <c:v>44.1147031714668</c:v>
                </c:pt>
                <c:pt idx="198">
                  <c:v>43.981989104744</c:v>
                </c:pt>
                <c:pt idx="199">
                  <c:v>43.8503206351096</c:v>
                </c:pt>
                <c:pt idx="200">
                  <c:v>43.7196814759673</c:v>
                </c:pt>
                <c:pt idx="201">
                  <c:v>43.5900556585922</c:v>
                </c:pt>
                <c:pt idx="202">
                  <c:v>43.4614275270314</c:v>
                </c:pt>
                <c:pt idx="203">
                  <c:v>43.3337817328718</c:v>
                </c:pt>
                <c:pt idx="204">
                  <c:v>43.2071032299058</c:v>
                </c:pt>
                <c:pt idx="205">
                  <c:v>43.0813772687202</c:v>
                </c:pt>
                <c:pt idx="206">
                  <c:v>42.9565893912329</c:v>
                </c:pt>
                <c:pt idx="207">
                  <c:v>42.8327254251957</c:v>
                </c:pt>
                <c:pt idx="208">
                  <c:v>42.7097714786836</c:v>
                </c:pt>
                <c:pt idx="209">
                  <c:v>42.5877139345847</c:v>
                </c:pt>
                <c:pt idx="210">
                  <c:v>42.4665394451061</c:v>
                </c:pt>
                <c:pt idx="211">
                  <c:v>42.3462349263064</c:v>
                </c:pt>
                <c:pt idx="212">
                  <c:v>42.2267875526671</c:v>
                </c:pt>
                <c:pt idx="213">
                  <c:v>42.1081847517117</c:v>
                </c:pt>
                <c:pt idx="214">
                  <c:v>41.9904141986793</c:v>
                </c:pt>
                <c:pt idx="215">
                  <c:v>41.8734638112616</c:v>
                </c:pt>
                <c:pt idx="216">
                  <c:v>41.757321744408</c:v>
                </c:pt>
                <c:pt idx="217">
                  <c:v>41.6419763852034</c:v>
                </c:pt>
                <c:pt idx="218">
                  <c:v>41.5274163478243</c:v>
                </c:pt>
                <c:pt idx="219">
                  <c:v>41.4136304685756</c:v>
                </c:pt>
                <c:pt idx="220">
                  <c:v>41.3006078010108</c:v>
                </c:pt>
                <c:pt idx="221">
                  <c:v>41.1883376111394</c:v>
                </c:pt>
                <c:pt idx="222">
                  <c:v>41.076809372721</c:v>
                </c:pt>
                <c:pt idx="223">
                  <c:v>40.9660127626495</c:v>
                </c:pt>
                <c:pt idx="224">
                  <c:v>40.8559376564273</c:v>
                </c:pt>
                <c:pt idx="225">
                  <c:v>40.7465741237297</c:v>
                </c:pt>
                <c:pt idx="226">
                  <c:v>39.6900210779379</c:v>
                </c:pt>
                <c:pt idx="227">
                  <c:v>38.6949880093834</c:v>
                </c:pt>
                <c:pt idx="228">
                  <c:v>37.7541505481635</c:v>
                </c:pt>
                <c:pt idx="229">
                  <c:v>36.8613774210435</c:v>
                </c:pt>
                <c:pt idx="230">
                  <c:v>36.0114963966614</c:v>
                </c:pt>
                <c:pt idx="231">
                  <c:v>35.2001114888954</c:v>
                </c:pt>
                <c:pt idx="232">
                  <c:v>34.4234597409748</c:v>
                </c:pt>
                <c:pt idx="233">
                  <c:v>33.6782983919029</c:v>
                </c:pt>
                <c:pt idx="234">
                  <c:v>32.9618153759938</c:v>
                </c:pt>
                <c:pt idx="235">
                  <c:v>32.2715578115423</c:v>
                </c:pt>
                <c:pt idx="236">
                  <c:v>31.6053744375408</c:v>
                </c:pt>
                <c:pt idx="237">
                  <c:v>30.9613689367065</c:v>
                </c:pt>
                <c:pt idx="238">
                  <c:v>30.3378618149413</c:v>
                </c:pt>
                <c:pt idx="239">
                  <c:v>29.733359054108</c:v>
                </c:pt>
                <c:pt idx="240">
                  <c:v>29.1465261646777</c:v>
                </c:pt>
                <c:pt idx="241">
                  <c:v>28.5761665731853</c:v>
                </c:pt>
                <c:pt idx="242">
                  <c:v>28.0212035129079</c:v>
                </c:pt>
                <c:pt idx="243">
                  <c:v>27.4806647640413</c:v>
                </c:pt>
                <c:pt idx="244">
                  <c:v>26.9536697260406</c:v>
                </c:pt>
                <c:pt idx="245">
                  <c:v>26.4394184100534</c:v>
                </c:pt>
                <c:pt idx="246">
                  <c:v>25.9371820211647</c:v>
                </c:pt>
                <c:pt idx="247">
                  <c:v>25.4462948641157</c:v>
                </c:pt>
                <c:pt idx="248">
                  <c:v>24.9661473564743</c:v>
                </c:pt>
                <c:pt idx="249">
                  <c:v>24.4961799730652</c:v>
                </c:pt>
                <c:pt idx="250">
                  <c:v>24.035877977182</c:v>
                </c:pt>
                <c:pt idx="251">
                  <c:v>23.5847668194975</c:v>
                </c:pt>
                <c:pt idx="252">
                  <c:v>23.1424081060409</c:v>
                </c:pt>
                <c:pt idx="253">
                  <c:v>22.7083960531573</c:v>
                </c:pt>
                <c:pt idx="254">
                  <c:v>22.282354360831</c:v>
                </c:pt>
                <c:pt idx="255">
                  <c:v>21.8639334467597</c:v>
                </c:pt>
                <c:pt idx="256">
                  <c:v>21.4528079926075</c:v>
                </c:pt>
                <c:pt idx="257">
                  <c:v>21.0486747613179</c:v>
                </c:pt>
                <c:pt idx="258">
                  <c:v>20.6512506505521</c:v>
                </c:pt>
                <c:pt idx="259">
                  <c:v>20.2602709524544</c:v>
                </c:pt>
                <c:pt idx="260">
                  <c:v>19.8754877942434</c:v>
                </c:pt>
                <c:pt idx="261">
                  <c:v>19.4966687377275</c:v>
                </c:pt>
                <c:pt idx="262">
                  <c:v>19.1235955188766</c:v>
                </c:pt>
                <c:pt idx="263">
                  <c:v>18.7560629111392</c:v>
                </c:pt>
                <c:pt idx="264">
                  <c:v>18.3938776983681</c:v>
                </c:pt>
                <c:pt idx="265">
                  <c:v>18.0368577450622</c:v>
                </c:pt>
                <c:pt idx="266">
                  <c:v>17.6848311532062</c:v>
                </c:pt>
                <c:pt idx="267">
                  <c:v>17.3376354963415</c:v>
                </c:pt>
                <c:pt idx="268">
                  <c:v>16.9951171226554</c:v>
                </c:pt>
                <c:pt idx="269">
                  <c:v>16.6571305198737</c:v>
                </c:pt>
                <c:pt idx="270">
                  <c:v>16.3235377356039</c:v>
                </c:pt>
                <c:pt idx="271">
                  <c:v>15.9942078475179</c:v>
                </c:pt>
                <c:pt idx="272">
                  <c:v>15.6690164784125</c:v>
                </c:pt>
                <c:pt idx="273">
                  <c:v>15.3478453517474</c:v>
                </c:pt>
                <c:pt idx="274">
                  <c:v>15.0305818837514</c:v>
                </c:pt>
                <c:pt idx="275">
                  <c:v>14.7171188086175</c:v>
                </c:pt>
                <c:pt idx="276">
                  <c:v>14.4073538336826</c:v>
                </c:pt>
                <c:pt idx="277">
                  <c:v>14.1011893218197</c:v>
                </c:pt>
                <c:pt idx="278">
                  <c:v>13.7985319985602</c:v>
                </c:pt>
                <c:pt idx="279">
                  <c:v>13.4992926817196</c:v>
                </c:pt>
                <c:pt idx="280">
                  <c:v>13.2033860315308</c:v>
                </c:pt>
                <c:pt idx="281">
                  <c:v>12.9107303194842</c:v>
                </c:pt>
                <c:pt idx="282">
                  <c:v>12.6212472142576</c:v>
                </c:pt>
                <c:pt idx="283">
                  <c:v>12.3348615832735</c:v>
                </c:pt>
                <c:pt idx="284">
                  <c:v>12.0515013085646</c:v>
                </c:pt>
                <c:pt idx="285">
                  <c:v>11.7710971157527</c:v>
                </c:pt>
                <c:pt idx="286">
                  <c:v>11.493582415061</c:v>
                </c:pt>
                <c:pt idx="287">
                  <c:v>11.2188931533763</c:v>
                </c:pt>
                <c:pt idx="288">
                  <c:v>10.9469676764724</c:v>
                </c:pt>
                <c:pt idx="289">
                  <c:v>10.6777466005838</c:v>
                </c:pt>
                <c:pt idx="290">
                  <c:v>10.4111726925921</c:v>
                </c:pt>
                <c:pt idx="291">
                  <c:v>10.1471907581545</c:v>
                </c:pt>
                <c:pt idx="292">
                  <c:v>9.88574753715975</c:v>
                </c:pt>
                <c:pt idx="293">
                  <c:v>9.62679160595391</c:v>
                </c:pt>
                <c:pt idx="294">
                  <c:v>9.37027328582312</c:v>
                </c:pt>
                <c:pt idx="295">
                  <c:v>9.11614455726569</c:v>
                </c:pt>
                <c:pt idx="296">
                  <c:v>8.86435897962512</c:v>
                </c:pt>
                <c:pt idx="297">
                  <c:v>8.61487161569091</c:v>
                </c:pt>
                <c:pt idx="298">
                  <c:v>8.36763896090669</c:v>
                </c:pt>
                <c:pt idx="299">
                  <c:v>8.12261887685484</c:v>
                </c:pt>
                <c:pt idx="300">
                  <c:v>7.8797705287131</c:v>
                </c:pt>
                <c:pt idx="301">
                  <c:v>7.63905432640359</c:v>
                </c:pt>
                <c:pt idx="302">
                  <c:v>7.40043186917638</c:v>
                </c:pt>
                <c:pt idx="303">
                  <c:v>7.16386589339052</c:v>
                </c:pt>
                <c:pt idx="304">
                  <c:v>6.9293202232734</c:v>
                </c:pt>
                <c:pt idx="305">
                  <c:v>6.69675972445697</c:v>
                </c:pt>
                <c:pt idx="306">
                  <c:v>6.46615026010387</c:v>
                </c:pt>
                <c:pt idx="307">
                  <c:v>6.23745864945166</c:v>
                </c:pt>
                <c:pt idx="308">
                  <c:v>6.01065262861547</c:v>
                </c:pt>
                <c:pt idx="309">
                  <c:v>5.78570081350202</c:v>
                </c:pt>
                <c:pt idx="310">
                  <c:v>5.56257266469823</c:v>
                </c:pt>
                <c:pt idx="311">
                  <c:v>5.34123845420806</c:v>
                </c:pt>
                <c:pt idx="312">
                  <c:v>5.12166923392036</c:v>
                </c:pt>
                <c:pt idx="313">
                  <c:v>4.90383680569897</c:v>
                </c:pt>
                <c:pt idx="314">
                  <c:v>4.68771369299381</c:v>
                </c:pt>
                <c:pt idx="315">
                  <c:v>4.47327311387953</c:v>
                </c:pt>
                <c:pt idx="316">
                  <c:v>4.26048895543412</c:v>
                </c:pt>
                <c:pt idx="317">
                  <c:v>4.04933574937671</c:v>
                </c:pt>
                <c:pt idx="318">
                  <c:v>3.83978864888872</c:v>
                </c:pt>
                <c:pt idx="319">
                  <c:v>3.63182340654836</c:v>
                </c:pt>
                <c:pt idx="320">
                  <c:v>3.42541635331279</c:v>
                </c:pt>
                <c:pt idx="321">
                  <c:v>3.2205443784869</c:v>
                </c:pt>
                <c:pt idx="322">
                  <c:v>3.01718491062185</c:v>
                </c:pt>
                <c:pt idx="323">
                  <c:v>2.81531589929</c:v>
                </c:pt>
                <c:pt idx="324">
                  <c:v>2.61491579768676</c:v>
                </c:pt>
                <c:pt idx="325">
                  <c:v>2.41596354601281</c:v>
                </c:pt>
                <c:pt idx="326">
                  <c:v>2.21843855559345</c:v>
                </c:pt>
                <c:pt idx="327">
                  <c:v>2.02232069369429</c:v>
                </c:pt>
                <c:pt idx="328">
                  <c:v>1.82759026899556</c:v>
                </c:pt>
                <c:pt idx="329">
                  <c:v>1.63422801768923</c:v>
                </c:pt>
                <c:pt idx="330">
                  <c:v>1.44221509016569</c:v>
                </c:pt>
                <c:pt idx="331">
                  <c:v>1.25153303825887</c:v>
                </c:pt>
                <c:pt idx="332">
                  <c:v>1.06216380302021</c:v>
                </c:pt>
                <c:pt idx="333">
                  <c:v>0.874089702994287</c:v>
                </c:pt>
                <c:pt idx="334">
                  <c:v>0.687293422970061</c:v>
                </c:pt>
                <c:pt idx="335">
                  <c:v>0.501758003183548</c:v>
                </c:pt>
                <c:pt idx="336">
                  <c:v>0.317466828949125</c:v>
                </c:pt>
                <c:pt idx="337">
                  <c:v>0.134403620698003</c:v>
                </c:pt>
                <c:pt idx="338">
                  <c:v>-0.0474475755962793</c:v>
                </c:pt>
                <c:pt idx="339">
                  <c:v>-0.228102397624394</c:v>
                </c:pt>
                <c:pt idx="340">
                  <c:v>-0.407576175597591</c:v>
                </c:pt>
                <c:pt idx="341">
                  <c:v>-0.585883940770872</c:v>
                </c:pt>
                <c:pt idx="342">
                  <c:v>-0.763040433648698</c:v>
                </c:pt>
                <c:pt idx="343">
                  <c:v>-0.939060111888415</c:v>
                </c:pt>
                <c:pt idx="344">
                  <c:v>-1.11395715791536</c:v>
                </c:pt>
                <c:pt idx="345">
                  <c:v>-1.2877454862631</c:v>
                </c:pt>
                <c:pt idx="346">
                  <c:v>-1.46043875065143</c:v>
                </c:pt>
                <c:pt idx="347">
                  <c:v>-1.63205035081394</c:v>
                </c:pt>
                <c:pt idx="348">
                  <c:v>-1.80259343908662</c:v>
                </c:pt>
                <c:pt idx="349">
                  <c:v>-1.97208092676787</c:v>
                </c:pt>
                <c:pt idx="350">
                  <c:v>-2.14052549026034</c:v>
                </c:pt>
                <c:pt idx="351">
                  <c:v>-2.30793957700389</c:v>
                </c:pt>
                <c:pt idx="352">
                  <c:v>-2.47433541120881</c:v>
                </c:pt>
                <c:pt idx="353">
                  <c:v>-2.63972499939797</c:v>
                </c:pt>
                <c:pt idx="354">
                  <c:v>-2.80412013576582</c:v>
                </c:pt>
                <c:pt idx="355">
                  <c:v>-2.96753240736213</c:v>
                </c:pt>
                <c:pt idx="356">
                  <c:v>-3.12997319910775</c:v>
                </c:pt>
                <c:pt idx="357">
                  <c:v>-3.29145369864925</c:v>
                </c:pt>
                <c:pt idx="358">
                  <c:v>-3.45198490105914</c:v>
                </c:pt>
                <c:pt idx="359">
                  <c:v>-3.61157761338795</c:v>
                </c:pt>
                <c:pt idx="360">
                  <c:v>-3.77024245907394</c:v>
                </c:pt>
                <c:pt idx="361">
                  <c:v>-3.92798988221644</c:v>
                </c:pt>
                <c:pt idx="362">
                  <c:v>-4.08483015171785</c:v>
                </c:pt>
                <c:pt idx="363">
                  <c:v>-4.24077336529971</c:v>
                </c:pt>
                <c:pt idx="364">
                  <c:v>-4.39582945339762</c:v>
                </c:pt>
                <c:pt idx="365">
                  <c:v>-4.55000818293964</c:v>
                </c:pt>
                <c:pt idx="366">
                  <c:v>-4.70331916101262</c:v>
                </c:pt>
                <c:pt idx="367">
                  <c:v>-4.85577183842079</c:v>
                </c:pt>
                <c:pt idx="368">
                  <c:v>-5.00737551314051</c:v>
                </c:pt>
                <c:pt idx="369">
                  <c:v>-5.15813933367505</c:v>
                </c:pt>
                <c:pt idx="370">
                  <c:v>-5.30807230231326</c:v>
                </c:pt>
                <c:pt idx="371">
                  <c:v>-5.45718327829528</c:v>
                </c:pt>
                <c:pt idx="372">
                  <c:v>-5.60548098088907</c:v>
                </c:pt>
                <c:pt idx="373">
                  <c:v>-5.75297399238061</c:v>
                </c:pt>
                <c:pt idx="374">
                  <c:v>-5.899670760981</c:v>
                </c:pt>
                <c:pt idx="375">
                  <c:v>-6.04557960365343</c:v>
                </c:pt>
                <c:pt idx="376">
                  <c:v>-6.19070870886269</c:v>
                </c:pt>
                <c:pt idx="377">
                  <c:v>-6.33506613924998</c:v>
                </c:pt>
                <c:pt idx="378">
                  <c:v>-6.47865983423562</c:v>
                </c:pt>
                <c:pt idx="379">
                  <c:v>-6.62149761255204</c:v>
                </c:pt>
                <c:pt idx="380">
                  <c:v>-6.76358717470943</c:v>
                </c:pt>
                <c:pt idx="381">
                  <c:v>-6.90493610539641</c:v>
                </c:pt>
                <c:pt idx="382">
                  <c:v>-7.04555187581772</c:v>
                </c:pt>
                <c:pt idx="383">
                  <c:v>-7.18544184597112</c:v>
                </c:pt>
                <c:pt idx="384">
                  <c:v>-7.32461326686548</c:v>
                </c:pt>
                <c:pt idx="385">
                  <c:v>-7.4630732826819</c:v>
                </c:pt>
                <c:pt idx="386">
                  <c:v>-7.60082893287984</c:v>
                </c:pt>
                <c:pt idx="387">
                  <c:v>-7.73788715424987</c:v>
                </c:pt>
                <c:pt idx="388">
                  <c:v>-7.87425478291481</c:v>
                </c:pt>
                <c:pt idx="389">
                  <c:v>-8.00993855628091</c:v>
                </c:pt>
                <c:pt idx="390">
                  <c:v>-8.1449451149406</c:v>
                </c:pt>
                <c:pt idx="391">
                  <c:v>-8.27928100452826</c:v>
                </c:pt>
                <c:pt idx="392">
                  <c:v>-8.41295267753066</c:v>
                </c:pt>
                <c:pt idx="393">
                  <c:v>-8.54596649505313</c:v>
                </c:pt>
                <c:pt idx="394">
                  <c:v>-8.67832872854317</c:v>
                </c:pt>
                <c:pt idx="395">
                  <c:v>-8.81004556147251</c:v>
                </c:pt>
                <c:pt idx="396">
                  <c:v>-8.941123090979</c:v>
                </c:pt>
                <c:pt idx="397">
                  <c:v>-9.0715673294695</c:v>
                </c:pt>
                <c:pt idx="398">
                  <c:v>-9.20138420618492</c:v>
                </c:pt>
                <c:pt idx="399">
                  <c:v>-9.33057956872848</c:v>
                </c:pt>
                <c:pt idx="400">
                  <c:v>-9.45915918455839</c:v>
                </c:pt>
                <c:pt idx="401">
                  <c:v>-9.58712874244579</c:v>
                </c:pt>
                <c:pt idx="402">
                  <c:v>-9.71449385389916</c:v>
                </c:pt>
                <c:pt idx="403">
                  <c:v>-9.84126005455599</c:v>
                </c:pt>
                <c:pt idx="404">
                  <c:v>-9.96743280554267</c:v>
                </c:pt>
                <c:pt idx="405">
                  <c:v>-10.0930174948037</c:v>
                </c:pt>
                <c:pt idx="406">
                  <c:v>-10.2180194384006</c:v>
                </c:pt>
                <c:pt idx="407">
                  <c:v>-10.3424438817823</c:v>
                </c:pt>
                <c:pt idx="408">
                  <c:v>-10.4662960010262</c:v>
                </c:pt>
                <c:pt idx="409">
                  <c:v>-10.5895809040526</c:v>
                </c:pt>
                <c:pt idx="410">
                  <c:v>-10.712303631812</c:v>
                </c:pt>
                <c:pt idx="411">
                  <c:v>-10.8344691594461</c:v>
                </c:pt>
                <c:pt idx="412">
                  <c:v>-10.9560823974239</c:v>
                </c:pt>
                <c:pt idx="413">
                  <c:v>-11.0771481926524</c:v>
                </c:pt>
                <c:pt idx="414">
                  <c:v>-11.1976713295641</c:v>
                </c:pt>
                <c:pt idx="415">
                  <c:v>-11.3176565311808</c:v>
                </c:pt>
                <c:pt idx="416">
                  <c:v>-11.4371084601542</c:v>
                </c:pt>
                <c:pt idx="417">
                  <c:v>-11.5560317197849</c:v>
                </c:pt>
                <c:pt idx="418">
                  <c:v>-11.6744308550194</c:v>
                </c:pt>
                <c:pt idx="419">
                  <c:v>-11.7923103534268</c:v>
                </c:pt>
                <c:pt idx="420">
                  <c:v>-11.9096746461537</c:v>
                </c:pt>
                <c:pt idx="421">
                  <c:v>-12.0265281088605</c:v>
                </c:pt>
                <c:pt idx="422">
                  <c:v>-12.1428750626374</c:v>
                </c:pt>
                <c:pt idx="423">
                  <c:v>-12.258719774902</c:v>
                </c:pt>
                <c:pt idx="424">
                  <c:v>-12.3740664602775</c:v>
                </c:pt>
                <c:pt idx="425">
                  <c:v>-12.488919281454</c:v>
                </c:pt>
                <c:pt idx="426">
                  <c:v>-12.6032823500319</c:v>
                </c:pt>
                <c:pt idx="427">
                  <c:v>-12.7171597273475</c:v>
                </c:pt>
                <c:pt idx="428">
                  <c:v>-12.8305554252828</c:v>
                </c:pt>
                <c:pt idx="429">
                  <c:v>-12.9434734070582</c:v>
                </c:pt>
                <c:pt idx="430">
                  <c:v>-13.0559175880105</c:v>
                </c:pt>
                <c:pt idx="431">
                  <c:v>-13.1678918363536</c:v>
                </c:pt>
                <c:pt idx="432">
                  <c:v>-13.2793999739262</c:v>
                </c:pt>
                <c:pt idx="433">
                  <c:v>-13.3904457769226</c:v>
                </c:pt>
                <c:pt idx="434">
                  <c:v>-13.5010329766109</c:v>
                </c:pt>
                <c:pt idx="435">
                  <c:v>-13.6111652600358</c:v>
                </c:pt>
                <c:pt idx="436">
                  <c:v>-13.7208462707086</c:v>
                </c:pt>
                <c:pt idx="437">
                  <c:v>-13.8300796092834</c:v>
                </c:pt>
                <c:pt idx="438">
                  <c:v>-13.9388688342199</c:v>
                </c:pt>
                <c:pt idx="439">
                  <c:v>-14.0472174624342</c:v>
                </c:pt>
                <c:pt idx="440">
                  <c:v>-14.1551289699361</c:v>
                </c:pt>
                <c:pt idx="441">
                  <c:v>-14.2626067924556</c:v>
                </c:pt>
                <c:pt idx="442">
                  <c:v>-14.3696543260558</c:v>
                </c:pt>
                <c:pt idx="443">
                  <c:v>-14.4762749277355</c:v>
                </c:pt>
                <c:pt idx="444">
                  <c:v>-14.5824719160197</c:v>
                </c:pt>
                <c:pt idx="445">
                  <c:v>-14.6882485715397</c:v>
                </c:pt>
                <c:pt idx="446">
                  <c:v>-14.7936081376012</c:v>
                </c:pt>
                <c:pt idx="447">
                  <c:v>-14.8985538207431</c:v>
                </c:pt>
                <c:pt idx="448">
                  <c:v>-15.0030887912847</c:v>
                </c:pt>
                <c:pt idx="449">
                  <c:v>-15.1072161838641</c:v>
                </c:pt>
                <c:pt idx="450">
                  <c:v>-15.210939097965</c:v>
                </c:pt>
                <c:pt idx="451">
                  <c:v>-15.3142605984355</c:v>
                </c:pt>
                <c:pt idx="452">
                  <c:v>-15.4171837159964</c:v>
                </c:pt>
                <c:pt idx="453">
                  <c:v>-15.5197114477404</c:v>
                </c:pt>
                <c:pt idx="454">
                  <c:v>-15.6218467576224</c:v>
                </c:pt>
                <c:pt idx="455">
                  <c:v>-15.7235925769407</c:v>
                </c:pt>
                <c:pt idx="456">
                  <c:v>-15.8249518048101</c:v>
                </c:pt>
                <c:pt idx="457">
                  <c:v>-15.9259273086255</c:v>
                </c:pt>
                <c:pt idx="458">
                  <c:v>-16.0265219245182</c:v>
                </c:pt>
                <c:pt idx="459">
                  <c:v>-16.1267384578035</c:v>
                </c:pt>
                <c:pt idx="460">
                  <c:v>-16.2265796834206</c:v>
                </c:pt>
                <c:pt idx="461">
                  <c:v>-16.3260483463643</c:v>
                </c:pt>
                <c:pt idx="462">
                  <c:v>-16.4251471621097</c:v>
                </c:pt>
                <c:pt idx="463">
                  <c:v>-16.5238788170293</c:v>
                </c:pt>
                <c:pt idx="464">
                  <c:v>-16.6222459688021</c:v>
                </c:pt>
                <c:pt idx="465">
                  <c:v>-16.7202512468166</c:v>
                </c:pt>
                <c:pt idx="466">
                  <c:v>-16.8178972525659</c:v>
                </c:pt>
                <c:pt idx="467">
                  <c:v>-16.9151865600369</c:v>
                </c:pt>
                <c:pt idx="468">
                  <c:v>-17.0121217160914</c:v>
                </c:pt>
                <c:pt idx="469">
                  <c:v>-17.1087052408425</c:v>
                </c:pt>
                <c:pt idx="470">
                  <c:v>-17.2049396280227</c:v>
                </c:pt>
                <c:pt idx="471">
                  <c:v>-17.3008273453468</c:v>
                </c:pt>
                <c:pt idx="472">
                  <c:v>-17.3963708348686</c:v>
                </c:pt>
                <c:pt idx="473">
                  <c:v>-17.4915725133311</c:v>
                </c:pt>
                <c:pt idx="474">
                  <c:v>-17.5864347725109</c:v>
                </c:pt>
                <c:pt idx="475">
                  <c:v>-17.6809599795571</c:v>
                </c:pt>
                <c:pt idx="476">
                  <c:v>-17.7751504773244</c:v>
                </c:pt>
                <c:pt idx="477">
                  <c:v>-17.8690085846999</c:v>
                </c:pt>
                <c:pt idx="478">
                  <c:v>-17.9625365969259</c:v>
                </c:pt>
                <c:pt idx="479">
                  <c:v>-18.0557367859161</c:v>
                </c:pt>
                <c:pt idx="480">
                  <c:v>-18.1486114005668</c:v>
                </c:pt>
                <c:pt idx="481">
                  <c:v>-18.2411626670636</c:v>
                </c:pt>
                <c:pt idx="482">
                  <c:v>-18.3333927891821</c:v>
                </c:pt>
                <c:pt idx="483">
                  <c:v>-18.4253039485845</c:v>
                </c:pt>
                <c:pt idx="484">
                  <c:v>-18.5168983051108</c:v>
                </c:pt>
                <c:pt idx="485">
                  <c:v>-18.6081779970656</c:v>
                </c:pt>
                <c:pt idx="486">
                  <c:v>-18.6991451415</c:v>
                </c:pt>
                <c:pt idx="487">
                  <c:v>-18.789801834489</c:v>
                </c:pt>
                <c:pt idx="488">
                  <c:v>-18.8801501514047</c:v>
                </c:pt>
                <c:pt idx="489">
                  <c:v>-18.9701921471843</c:v>
                </c:pt>
                <c:pt idx="490">
                  <c:v>-19.0599298565951</c:v>
                </c:pt>
                <c:pt idx="491">
                  <c:v>-19.1493652944939</c:v>
                </c:pt>
                <c:pt idx="492">
                  <c:v>-19.2385004560833</c:v>
                </c:pt>
                <c:pt idx="493">
                  <c:v>-19.327337317163</c:v>
                </c:pt>
                <c:pt idx="494">
                  <c:v>-19.4158778343784</c:v>
                </c:pt>
                <c:pt idx="495">
                  <c:v>-19.5041239454638</c:v>
                </c:pt>
                <c:pt idx="496">
                  <c:v>-19.5920775694828</c:v>
                </c:pt>
                <c:pt idx="497">
                  <c:v>-19.6797406070645</c:v>
                </c:pt>
                <c:pt idx="498">
                  <c:v>-19.7671149406364</c:v>
                </c:pt>
                <c:pt idx="499">
                  <c:v>-19.8542024346528</c:v>
                </c:pt>
                <c:pt idx="500">
                  <c:v>-19.9410049358209</c:v>
                </c:pt>
                <c:pt idx="501">
                  <c:v>-20.027524273322</c:v>
                </c:pt>
                <c:pt idx="502">
                  <c:v>-20.1137622590309</c:v>
                </c:pt>
                <c:pt idx="503">
                  <c:v>-20.19972068773</c:v>
                </c:pt>
                <c:pt idx="504">
                  <c:v>-20.2854013373219</c:v>
                </c:pt>
                <c:pt idx="505">
                  <c:v>-20.3708059690378</c:v>
                </c:pt>
                <c:pt idx="506">
                  <c:v>-20.4559363276427</c:v>
                </c:pt>
                <c:pt idx="507">
                  <c:v>-20.5407941416376</c:v>
                </c:pt>
                <c:pt idx="508">
                  <c:v>-20.6253811234592</c:v>
                </c:pt>
                <c:pt idx="509">
                  <c:v>-20.7096989696756</c:v>
                </c:pt>
                <c:pt idx="510">
                  <c:v>-20.7937493611797</c:v>
                </c:pt>
                <c:pt idx="511">
                  <c:v>-20.8775339633795</c:v>
                </c:pt>
                <c:pt idx="512">
                  <c:v>-20.9610544263855</c:v>
                </c:pt>
                <c:pt idx="513">
                  <c:v>-21.0443123851955</c:v>
                </c:pt>
                <c:pt idx="514">
                  <c:v>-21.1273094598764</c:v>
                </c:pt>
                <c:pt idx="515">
                  <c:v>-21.2100472557433</c:v>
                </c:pt>
                <c:pt idx="516">
                  <c:v>-21.2925273635362</c:v>
                </c:pt>
                <c:pt idx="517">
                  <c:v>-21.374751359594</c:v>
                </c:pt>
                <c:pt idx="518">
                  <c:v>-21.4567208060256</c:v>
                </c:pt>
                <c:pt idx="519">
                  <c:v>-21.5384372508788</c:v>
                </c:pt>
                <c:pt idx="520">
                  <c:v>-21.6199022283069</c:v>
                </c:pt>
                <c:pt idx="521">
                  <c:v>-21.7011172587324</c:v>
                </c:pt>
                <c:pt idx="522">
                  <c:v>-21.7820838490086</c:v>
                </c:pt>
                <c:pt idx="523">
                  <c:v>-21.8628034925789</c:v>
                </c:pt>
                <c:pt idx="524">
                  <c:v>-21.9432776696335</c:v>
                </c:pt>
                <c:pt idx="525">
                  <c:v>-22.0235078472643</c:v>
                </c:pt>
                <c:pt idx="526">
                  <c:v>-22.1034954796171</c:v>
                </c:pt>
                <c:pt idx="527">
                  <c:v>-22.1832420080415</c:v>
                </c:pt>
                <c:pt idx="528">
                  <c:v>-22.2627488612397</c:v>
                </c:pt>
                <c:pt idx="529">
                  <c:v>-22.3420174554117</c:v>
                </c:pt>
                <c:pt idx="530">
                  <c:v>-22.4210491943998</c:v>
                </c:pt>
                <c:pt idx="531">
                  <c:v>-22.4998454698296</c:v>
                </c:pt>
                <c:pt idx="532">
                  <c:v>-22.5784076612508</c:v>
                </c:pt>
                <c:pt idx="533">
                  <c:v>-22.6567371362739</c:v>
                </c:pt>
                <c:pt idx="534">
                  <c:v>-22.7348352507071</c:v>
                </c:pt>
                <c:pt idx="535">
                  <c:v>-22.8127033486897</c:v>
                </c:pt>
                <c:pt idx="536">
                  <c:v>-22.8903427628241</c:v>
                </c:pt>
                <c:pt idx="537">
                  <c:v>-22.9677548143066</c:v>
                </c:pt>
                <c:pt idx="538">
                  <c:v>-23.0449408130552</c:v>
                </c:pt>
                <c:pt idx="539">
                  <c:v>-23.1219020578366</c:v>
                </c:pt>
                <c:pt idx="540">
                  <c:v>-23.1986398363909</c:v>
                </c:pt>
                <c:pt idx="541">
                  <c:v>-23.275155425555</c:v>
                </c:pt>
                <c:pt idx="542">
                  <c:v>-23.3514500913836</c:v>
                </c:pt>
                <c:pt idx="543">
                  <c:v>-23.4275250892696</c:v>
                </c:pt>
                <c:pt idx="544">
                  <c:v>-23.5033816640616</c:v>
                </c:pt>
                <c:pt idx="545">
                  <c:v>-23.5790210501808</c:v>
                </c:pt>
                <c:pt idx="546">
                  <c:v>-23.6544444717358</c:v>
                </c:pt>
                <c:pt idx="547">
                  <c:v>-23.7296531426362</c:v>
                </c:pt>
                <c:pt idx="548">
                  <c:v>-23.804648266704</c:v>
                </c:pt>
                <c:pt idx="549">
                  <c:v>-23.8794310377842</c:v>
                </c:pt>
                <c:pt idx="550">
                  <c:v>-23.9540026398534</c:v>
                </c:pt>
                <c:pt idx="551">
                  <c:v>-24.0283642471274</c:v>
                </c:pt>
                <c:pt idx="552">
                  <c:v>-24.1025170241671</c:v>
                </c:pt>
                <c:pt idx="553">
                  <c:v>-24.1764621259826</c:v>
                </c:pt>
                <c:pt idx="554">
                  <c:v>-24.2502006981367</c:v>
                </c:pt>
                <c:pt idx="555">
                  <c:v>-24.3237338768466</c:v>
                </c:pt>
                <c:pt idx="556">
                  <c:v>-24.3970627890838</c:v>
                </c:pt>
                <c:pt idx="557">
                  <c:v>-24.4701885526738</c:v>
                </c:pt>
                <c:pt idx="558">
                  <c:v>-24.5431122763931</c:v>
                </c:pt>
                <c:pt idx="559">
                  <c:v>-24.6158350600664</c:v>
                </c:pt>
                <c:pt idx="560">
                  <c:v>-24.6883579946611</c:v>
                </c:pt>
                <c:pt idx="561">
                  <c:v>-24.7606821623813</c:v>
                </c:pt>
                <c:pt idx="562">
                  <c:v>-24.8328086367611</c:v>
                </c:pt>
                <c:pt idx="563">
                  <c:v>-24.904738482755</c:v>
                </c:pt>
                <c:pt idx="564">
                  <c:v>-24.9764727568293</c:v>
                </c:pt>
                <c:pt idx="565">
                  <c:v>-25.0480125070503</c:v>
                </c:pt>
                <c:pt idx="566">
                  <c:v>-25.1193587731726</c:v>
                </c:pt>
                <c:pt idx="567">
                  <c:v>-25.1905125867262</c:v>
                </c:pt>
                <c:pt idx="568">
                  <c:v>-25.2614749711014</c:v>
                </c:pt>
                <c:pt idx="569">
                  <c:v>-25.3322469416342</c:v>
                </c:pt>
                <c:pt idx="570">
                  <c:v>-25.4028295056895</c:v>
                </c:pt>
                <c:pt idx="571">
                  <c:v>-25.473223662743</c:v>
                </c:pt>
                <c:pt idx="572">
                  <c:v>-25.5434304044635</c:v>
                </c:pt>
                <c:pt idx="573">
                  <c:v>-25.6134507147926</c:v>
                </c:pt>
                <c:pt idx="574">
                  <c:v>-25.683285570024</c:v>
                </c:pt>
                <c:pt idx="575">
                  <c:v>-25.7529359388822</c:v>
                </c:pt>
                <c:pt idx="576">
                  <c:v>-25.8224027825995</c:v>
                </c:pt>
                <c:pt idx="577">
                  <c:v>-25.8916870549923</c:v>
                </c:pt>
                <c:pt idx="578">
                  <c:v>-25.9607897025367</c:v>
                </c:pt>
                <c:pt idx="579">
                  <c:v>-26.0297116644426</c:v>
                </c:pt>
                <c:pt idx="580">
                  <c:v>-26.0984538727278</c:v>
                </c:pt>
                <c:pt idx="581">
                  <c:v>-26.1670172522897</c:v>
                </c:pt>
                <c:pt idx="582">
                  <c:v>-26.2354027209777</c:v>
                </c:pt>
                <c:pt idx="583">
                  <c:v>-26.3036111896636</c:v>
                </c:pt>
                <c:pt idx="584">
                  <c:v>-26.3716435623117</c:v>
                </c:pt>
                <c:pt idx="585">
                  <c:v>-26.4395007360476</c:v>
                </c:pt>
                <c:pt idx="586">
                  <c:v>-26.5071836012266</c:v>
                </c:pt>
                <c:pt idx="587">
                  <c:v>-26.5746930415009</c:v>
                </c:pt>
                <c:pt idx="588">
                  <c:v>-26.6420299338861</c:v>
                </c:pt>
                <c:pt idx="589">
                  <c:v>-26.7091951488271</c:v>
                </c:pt>
                <c:pt idx="590">
                  <c:v>-26.7761895502625</c:v>
                </c:pt>
                <c:pt idx="591">
                  <c:v>-26.8430139956894</c:v>
                </c:pt>
                <c:pt idx="592">
                  <c:v>-26.9096693362261</c:v>
                </c:pt>
                <c:pt idx="593">
                  <c:v>-26.9761564166749</c:v>
                </c:pt>
                <c:pt idx="594">
                  <c:v>-27.0424760755839</c:v>
                </c:pt>
                <c:pt idx="595">
                  <c:v>-27.108629145308</c:v>
                </c:pt>
                <c:pt idx="596">
                  <c:v>-27.1746164520691</c:v>
                </c:pt>
                <c:pt idx="597">
                  <c:v>-27.2404388160159</c:v>
                </c:pt>
                <c:pt idx="598">
                  <c:v>-27.3060970512826</c:v>
                </c:pt>
                <c:pt idx="599">
                  <c:v>-27.3715919660471</c:v>
                </c:pt>
                <c:pt idx="600">
                  <c:v>-27.4369243625882</c:v>
                </c:pt>
                <c:pt idx="601">
                  <c:v>-27.5020950373429</c:v>
                </c:pt>
                <c:pt idx="602">
                  <c:v>-27.567104780962</c:v>
                </c:pt>
                <c:pt idx="603">
                  <c:v>-27.6319543783659</c:v>
                </c:pt>
                <c:pt idx="604">
                  <c:v>-27.6966446087991</c:v>
                </c:pt>
                <c:pt idx="605">
                  <c:v>-27.7611762458845</c:v>
                </c:pt>
                <c:pt idx="606">
                  <c:v>-30.801156787264</c:v>
                </c:pt>
                <c:pt idx="607">
                  <c:v>-33.5255392535752</c:v>
                </c:pt>
                <c:pt idx="608">
                  <c:v>-35.9933694021944</c:v>
                </c:pt>
                <c:pt idx="609">
                  <c:v>-38.2486032583333</c:v>
                </c:pt>
                <c:pt idx="610">
                  <c:v>-40.324828708166</c:v>
                </c:pt>
                <c:pt idx="611">
                  <c:v>-42.2482793181341</c:v>
                </c:pt>
                <c:pt idx="612">
                  <c:v>-44.0398299225917</c:v>
                </c:pt>
                <c:pt idx="613">
                  <c:v>-45.7163598098422</c:v>
                </c:pt>
                <c:pt idx="614">
                  <c:v>-47.2917092075985</c:v>
                </c:pt>
                <c:pt idx="615">
                  <c:v>-48.7773662231837</c:v>
                </c:pt>
                <c:pt idx="616">
                  <c:v>-50.1829703841812</c:v>
                </c:pt>
                <c:pt idx="617">
                  <c:v>-51.5166884739284</c:v>
                </c:pt>
                <c:pt idx="618">
                  <c:v>-52.0316454973774</c:v>
                </c:pt>
                <c:pt idx="619">
                  <c:v>-52.5366289698451</c:v>
                </c:pt>
                <c:pt idx="620">
                  <c:v>-53.0320169200281</c:v>
                </c:pt>
                <c:pt idx="621">
                  <c:v>-53.5181663075477</c:v>
                </c:pt>
                <c:pt idx="622">
                  <c:v>-53.9954145579251</c:v>
                </c:pt>
                <c:pt idx="623">
                  <c:v>-54.4640809604551</c:v>
                </c:pt>
                <c:pt idx="624">
                  <c:v>-54.9244679433961</c:v>
                </c:pt>
                <c:pt idx="625">
                  <c:v>-55.3768622391577</c:v>
                </c:pt>
                <c:pt idx="626">
                  <c:v>-55.821535950668</c:v>
                </c:pt>
                <c:pt idx="627">
                  <c:v>-56.2587475287966</c:v>
                </c:pt>
                <c:pt idx="628">
                  <c:v>-56.6887426695817</c:v>
                </c:pt>
                <c:pt idx="629">
                  <c:v>-57.1117551390197</c:v>
                </c:pt>
                <c:pt idx="630">
                  <c:v>-57.528007532317</c:v>
                </c:pt>
                <c:pt idx="631">
                  <c:v>-57.9377119737495</c:v>
                </c:pt>
                <c:pt idx="632">
                  <c:v>-58.3410707626123</c:v>
                </c:pt>
                <c:pt idx="633">
                  <c:v>-58.7382769701637</c:v>
                </c:pt>
                <c:pt idx="634">
                  <c:v>-59.1295149919539</c:v>
                </c:pt>
                <c:pt idx="635">
                  <c:v>-59.5149610594762</c:v>
                </c:pt>
                <c:pt idx="636">
                  <c:v>-59.8947837146818</c:v>
                </c:pt>
                <c:pt idx="637">
                  <c:v>-60.2691442505427</c:v>
                </c:pt>
                <c:pt idx="638">
                  <c:v>-60.6381971205348</c:v>
                </c:pt>
                <c:pt idx="639">
                  <c:v>-61.0020903196329</c:v>
                </c:pt>
                <c:pt idx="640">
                  <c:v>-61.3609657391623</c:v>
                </c:pt>
                <c:pt idx="641">
                  <c:v>-61.714959497628</c:v>
                </c:pt>
                <c:pt idx="642">
                  <c:v>-62.0642022494463</c:v>
                </c:pt>
                <c:pt idx="643">
                  <c:v>-62.4088194733251</c:v>
                </c:pt>
                <c:pt idx="644">
                  <c:v>-62.7489317418797</c:v>
                </c:pt>
                <c:pt idx="645">
                  <c:v>-63.0846549739315</c:v>
                </c:pt>
                <c:pt idx="646">
                  <c:v>-63.4161006708041</c:v>
                </c:pt>
                <c:pt idx="647">
                  <c:v>-63.7433761378211</c:v>
                </c:pt>
                <c:pt idx="648">
                  <c:v>-64.066584692101</c:v>
                </c:pt>
                <c:pt idx="649">
                  <c:v>-64.3858258576546</c:v>
                </c:pt>
                <c:pt idx="650">
                  <c:v>-64.7011955487053</c:v>
                </c:pt>
                <c:pt idx="651">
                  <c:v>-65.0127862420713</c:v>
                </c:pt>
                <c:pt idx="652">
                  <c:v>-65.3206871393873</c:v>
                </c:pt>
                <c:pt idx="653">
                  <c:v>-65.6249843198724</c:v>
                </c:pt>
                <c:pt idx="654">
                  <c:v>-65.9257608842989</c:v>
                </c:pt>
                <c:pt idx="655">
                  <c:v>-66.2230970907625</c:v>
                </c:pt>
                <c:pt idx="656">
                  <c:v>-66.5170704828079</c:v>
                </c:pt>
                <c:pt idx="657">
                  <c:v>-66.8077560104193</c:v>
                </c:pt>
                <c:pt idx="658">
                  <c:v>-67.0952261443487</c:v>
                </c:pt>
                <c:pt idx="659">
                  <c:v>-67.3795509842155</c:v>
                </c:pt>
                <c:pt idx="660">
                  <c:v>-67.6607983607813</c:v>
                </c:pt>
                <c:pt idx="661">
                  <c:v>-67.9390339327718</c:v>
                </c:pt>
                <c:pt idx="662">
                  <c:v>-68.214321278591</c:v>
                </c:pt>
                <c:pt idx="663">
                  <c:v>-68.486721983247</c:v>
                </c:pt>
                <c:pt idx="664">
                  <c:v>-68.756295720787</c:v>
                </c:pt>
                <c:pt idx="665">
                  <c:v>-69.0231003325166</c:v>
                </c:pt>
                <c:pt idx="666">
                  <c:v>-69.2871919012588</c:v>
                </c:pt>
                <c:pt idx="667">
                  <c:v>-69.5486248218919</c:v>
                </c:pt>
              </c:numCache>
            </c:numRef>
          </c:yVal>
        </c:ser>
        <c:ser>
          <c:idx val="1"/>
          <c:order val="1"/>
          <c:tx>
            <c:strRef>
              <c:f>"Actual gain"</c:f>
              <c:strCache>
                <c:ptCount val="1"/>
                <c:pt idx="0">
                  <c:v>Actual gain</c:v>
                </c:pt>
              </c:strCache>
            </c:strRef>
          </c:tx>
          <c:spPr>
            <a:solidFill>
              <a:srgbClr val="ff0000"/>
            </a:solidFill>
            <a:ln w="38160">
              <a:solidFill>
                <a:srgbClr val="ff0000"/>
              </a:solidFill>
              <a:round/>
            </a:ln>
          </c:spPr>
          <c:marker>
            <c:size val="7"/>
          </c:marker>
          <c:xVal>
            <c:numRef>
              <c:f>'Bode Plots Calculations'!$A$9:$A$676</c:f>
              <c:numCache>
                <c:formatCode>General</c:formatCode>
                <c:ptCount val="668"/>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1500</c:v>
                </c:pt>
                <c:pt idx="29">
                  <c:v>2000</c:v>
                </c:pt>
                <c:pt idx="30">
                  <c:v>2500</c:v>
                </c:pt>
                <c:pt idx="31">
                  <c:v>3000</c:v>
                </c:pt>
                <c:pt idx="32">
                  <c:v>3500</c:v>
                </c:pt>
                <c:pt idx="33">
                  <c:v>4000</c:v>
                </c:pt>
                <c:pt idx="34">
                  <c:v>4500</c:v>
                </c:pt>
                <c:pt idx="35">
                  <c:v>5000</c:v>
                </c:pt>
                <c:pt idx="36">
                  <c:v>5500</c:v>
                </c:pt>
                <c:pt idx="37">
                  <c:v>6000</c:v>
                </c:pt>
                <c:pt idx="38">
                  <c:v>6500</c:v>
                </c:pt>
                <c:pt idx="39">
                  <c:v>7000</c:v>
                </c:pt>
                <c:pt idx="40">
                  <c:v>7500</c:v>
                </c:pt>
                <c:pt idx="41">
                  <c:v>8000</c:v>
                </c:pt>
                <c:pt idx="42">
                  <c:v>8500</c:v>
                </c:pt>
                <c:pt idx="43">
                  <c:v>9000</c:v>
                </c:pt>
                <c:pt idx="44">
                  <c:v>9500</c:v>
                </c:pt>
                <c:pt idx="45">
                  <c:v>10000</c:v>
                </c:pt>
                <c:pt idx="46">
                  <c:v>10500</c:v>
                </c:pt>
                <c:pt idx="47">
                  <c:v>11000</c:v>
                </c:pt>
                <c:pt idx="48">
                  <c:v>11500</c:v>
                </c:pt>
                <c:pt idx="49">
                  <c:v>12000</c:v>
                </c:pt>
                <c:pt idx="50">
                  <c:v>12500</c:v>
                </c:pt>
                <c:pt idx="51">
                  <c:v>13000</c:v>
                </c:pt>
                <c:pt idx="52">
                  <c:v>13500</c:v>
                </c:pt>
                <c:pt idx="53">
                  <c:v>14000</c:v>
                </c:pt>
                <c:pt idx="54">
                  <c:v>14500</c:v>
                </c:pt>
                <c:pt idx="55">
                  <c:v>15000</c:v>
                </c:pt>
                <c:pt idx="56">
                  <c:v>15500</c:v>
                </c:pt>
                <c:pt idx="57">
                  <c:v>16000</c:v>
                </c:pt>
                <c:pt idx="58">
                  <c:v>16500</c:v>
                </c:pt>
                <c:pt idx="59">
                  <c:v>17000</c:v>
                </c:pt>
                <c:pt idx="60">
                  <c:v>17500</c:v>
                </c:pt>
                <c:pt idx="61">
                  <c:v>18000</c:v>
                </c:pt>
                <c:pt idx="62">
                  <c:v>18500</c:v>
                </c:pt>
                <c:pt idx="63">
                  <c:v>19000</c:v>
                </c:pt>
                <c:pt idx="64">
                  <c:v>19500</c:v>
                </c:pt>
                <c:pt idx="65">
                  <c:v>20000</c:v>
                </c:pt>
                <c:pt idx="66">
                  <c:v>20500</c:v>
                </c:pt>
                <c:pt idx="67">
                  <c:v>21000</c:v>
                </c:pt>
                <c:pt idx="68">
                  <c:v>21500</c:v>
                </c:pt>
                <c:pt idx="69">
                  <c:v>22000</c:v>
                </c:pt>
                <c:pt idx="70">
                  <c:v>22500</c:v>
                </c:pt>
                <c:pt idx="71">
                  <c:v>23000</c:v>
                </c:pt>
                <c:pt idx="72">
                  <c:v>23500</c:v>
                </c:pt>
                <c:pt idx="73">
                  <c:v>24000</c:v>
                </c:pt>
                <c:pt idx="74">
                  <c:v>24500</c:v>
                </c:pt>
                <c:pt idx="75">
                  <c:v>25000</c:v>
                </c:pt>
                <c:pt idx="76">
                  <c:v>25500</c:v>
                </c:pt>
                <c:pt idx="77">
                  <c:v>26000</c:v>
                </c:pt>
                <c:pt idx="78">
                  <c:v>26500</c:v>
                </c:pt>
                <c:pt idx="79">
                  <c:v>27000</c:v>
                </c:pt>
                <c:pt idx="80">
                  <c:v>27500</c:v>
                </c:pt>
                <c:pt idx="81">
                  <c:v>28000</c:v>
                </c:pt>
                <c:pt idx="82">
                  <c:v>28500</c:v>
                </c:pt>
                <c:pt idx="83">
                  <c:v>29000</c:v>
                </c:pt>
                <c:pt idx="84">
                  <c:v>29500</c:v>
                </c:pt>
                <c:pt idx="85">
                  <c:v>30000</c:v>
                </c:pt>
                <c:pt idx="86">
                  <c:v>30500</c:v>
                </c:pt>
                <c:pt idx="87">
                  <c:v>31000</c:v>
                </c:pt>
                <c:pt idx="88">
                  <c:v>31500</c:v>
                </c:pt>
                <c:pt idx="89">
                  <c:v>32000</c:v>
                </c:pt>
                <c:pt idx="90">
                  <c:v>32500</c:v>
                </c:pt>
                <c:pt idx="91">
                  <c:v>33000</c:v>
                </c:pt>
                <c:pt idx="92">
                  <c:v>33500</c:v>
                </c:pt>
                <c:pt idx="93">
                  <c:v>34000</c:v>
                </c:pt>
                <c:pt idx="94">
                  <c:v>34500</c:v>
                </c:pt>
                <c:pt idx="95">
                  <c:v>35000</c:v>
                </c:pt>
                <c:pt idx="96">
                  <c:v>35500</c:v>
                </c:pt>
                <c:pt idx="97">
                  <c:v>36000</c:v>
                </c:pt>
                <c:pt idx="98">
                  <c:v>36500</c:v>
                </c:pt>
                <c:pt idx="99">
                  <c:v>37000</c:v>
                </c:pt>
                <c:pt idx="100">
                  <c:v>37500</c:v>
                </c:pt>
                <c:pt idx="101">
                  <c:v>38000</c:v>
                </c:pt>
                <c:pt idx="102">
                  <c:v>38500</c:v>
                </c:pt>
                <c:pt idx="103">
                  <c:v>39000</c:v>
                </c:pt>
                <c:pt idx="104">
                  <c:v>39500</c:v>
                </c:pt>
                <c:pt idx="105">
                  <c:v>40000</c:v>
                </c:pt>
                <c:pt idx="106">
                  <c:v>40500</c:v>
                </c:pt>
                <c:pt idx="107">
                  <c:v>41000</c:v>
                </c:pt>
                <c:pt idx="108">
                  <c:v>41500</c:v>
                </c:pt>
                <c:pt idx="109">
                  <c:v>42000</c:v>
                </c:pt>
                <c:pt idx="110">
                  <c:v>42500</c:v>
                </c:pt>
                <c:pt idx="111">
                  <c:v>43000</c:v>
                </c:pt>
                <c:pt idx="112">
                  <c:v>43500</c:v>
                </c:pt>
                <c:pt idx="113">
                  <c:v>44000</c:v>
                </c:pt>
                <c:pt idx="114">
                  <c:v>44500</c:v>
                </c:pt>
                <c:pt idx="115">
                  <c:v>45000</c:v>
                </c:pt>
                <c:pt idx="116">
                  <c:v>45500</c:v>
                </c:pt>
                <c:pt idx="117">
                  <c:v>46000</c:v>
                </c:pt>
                <c:pt idx="118">
                  <c:v>46500</c:v>
                </c:pt>
                <c:pt idx="119">
                  <c:v>47000</c:v>
                </c:pt>
                <c:pt idx="120">
                  <c:v>47500</c:v>
                </c:pt>
                <c:pt idx="121">
                  <c:v>48000</c:v>
                </c:pt>
                <c:pt idx="122">
                  <c:v>48500</c:v>
                </c:pt>
                <c:pt idx="123">
                  <c:v>49000</c:v>
                </c:pt>
                <c:pt idx="124">
                  <c:v>49500</c:v>
                </c:pt>
                <c:pt idx="125">
                  <c:v>50000</c:v>
                </c:pt>
                <c:pt idx="126">
                  <c:v>50500</c:v>
                </c:pt>
                <c:pt idx="127">
                  <c:v>51000</c:v>
                </c:pt>
                <c:pt idx="128">
                  <c:v>51500</c:v>
                </c:pt>
                <c:pt idx="129">
                  <c:v>52000</c:v>
                </c:pt>
                <c:pt idx="130">
                  <c:v>52500</c:v>
                </c:pt>
                <c:pt idx="131">
                  <c:v>53000</c:v>
                </c:pt>
                <c:pt idx="132">
                  <c:v>53500</c:v>
                </c:pt>
                <c:pt idx="133">
                  <c:v>54000</c:v>
                </c:pt>
                <c:pt idx="134">
                  <c:v>54500</c:v>
                </c:pt>
                <c:pt idx="135">
                  <c:v>55000</c:v>
                </c:pt>
                <c:pt idx="136">
                  <c:v>55500</c:v>
                </c:pt>
                <c:pt idx="137">
                  <c:v>56000</c:v>
                </c:pt>
                <c:pt idx="138">
                  <c:v>56500</c:v>
                </c:pt>
                <c:pt idx="139">
                  <c:v>57000</c:v>
                </c:pt>
                <c:pt idx="140">
                  <c:v>57500</c:v>
                </c:pt>
                <c:pt idx="141">
                  <c:v>58000</c:v>
                </c:pt>
                <c:pt idx="142">
                  <c:v>58500</c:v>
                </c:pt>
                <c:pt idx="143">
                  <c:v>59000</c:v>
                </c:pt>
                <c:pt idx="144">
                  <c:v>59500</c:v>
                </c:pt>
                <c:pt idx="145">
                  <c:v>60000</c:v>
                </c:pt>
                <c:pt idx="146">
                  <c:v>60500</c:v>
                </c:pt>
                <c:pt idx="147">
                  <c:v>61000</c:v>
                </c:pt>
                <c:pt idx="148">
                  <c:v>61500</c:v>
                </c:pt>
                <c:pt idx="149">
                  <c:v>62000</c:v>
                </c:pt>
                <c:pt idx="150">
                  <c:v>62500</c:v>
                </c:pt>
                <c:pt idx="151">
                  <c:v>63000</c:v>
                </c:pt>
                <c:pt idx="152">
                  <c:v>63500</c:v>
                </c:pt>
                <c:pt idx="153">
                  <c:v>64000</c:v>
                </c:pt>
                <c:pt idx="154">
                  <c:v>64500</c:v>
                </c:pt>
                <c:pt idx="155">
                  <c:v>65000</c:v>
                </c:pt>
                <c:pt idx="156">
                  <c:v>65500</c:v>
                </c:pt>
                <c:pt idx="157">
                  <c:v>66000</c:v>
                </c:pt>
                <c:pt idx="158">
                  <c:v>66500</c:v>
                </c:pt>
                <c:pt idx="159">
                  <c:v>67000</c:v>
                </c:pt>
                <c:pt idx="160">
                  <c:v>67500</c:v>
                </c:pt>
                <c:pt idx="161">
                  <c:v>68000</c:v>
                </c:pt>
                <c:pt idx="162">
                  <c:v>68500</c:v>
                </c:pt>
                <c:pt idx="163">
                  <c:v>69000</c:v>
                </c:pt>
                <c:pt idx="164">
                  <c:v>69500</c:v>
                </c:pt>
                <c:pt idx="165">
                  <c:v>70000</c:v>
                </c:pt>
                <c:pt idx="166">
                  <c:v>70500</c:v>
                </c:pt>
                <c:pt idx="167">
                  <c:v>71000</c:v>
                </c:pt>
                <c:pt idx="168">
                  <c:v>71500</c:v>
                </c:pt>
                <c:pt idx="169">
                  <c:v>72000</c:v>
                </c:pt>
                <c:pt idx="170">
                  <c:v>72500</c:v>
                </c:pt>
                <c:pt idx="171">
                  <c:v>73000</c:v>
                </c:pt>
                <c:pt idx="172">
                  <c:v>73500</c:v>
                </c:pt>
                <c:pt idx="173">
                  <c:v>74000</c:v>
                </c:pt>
                <c:pt idx="174">
                  <c:v>74500</c:v>
                </c:pt>
                <c:pt idx="175">
                  <c:v>75000</c:v>
                </c:pt>
                <c:pt idx="176">
                  <c:v>75500</c:v>
                </c:pt>
                <c:pt idx="177">
                  <c:v>76000</c:v>
                </c:pt>
                <c:pt idx="178">
                  <c:v>76500</c:v>
                </c:pt>
                <c:pt idx="179">
                  <c:v>77000</c:v>
                </c:pt>
                <c:pt idx="180">
                  <c:v>77500</c:v>
                </c:pt>
                <c:pt idx="181">
                  <c:v>78000</c:v>
                </c:pt>
                <c:pt idx="182">
                  <c:v>78500</c:v>
                </c:pt>
                <c:pt idx="183">
                  <c:v>79000</c:v>
                </c:pt>
                <c:pt idx="184">
                  <c:v>79500</c:v>
                </c:pt>
                <c:pt idx="185">
                  <c:v>80000</c:v>
                </c:pt>
                <c:pt idx="186">
                  <c:v>80500</c:v>
                </c:pt>
                <c:pt idx="187">
                  <c:v>81000</c:v>
                </c:pt>
                <c:pt idx="188">
                  <c:v>81500</c:v>
                </c:pt>
                <c:pt idx="189">
                  <c:v>82000</c:v>
                </c:pt>
                <c:pt idx="190">
                  <c:v>82500</c:v>
                </c:pt>
                <c:pt idx="191">
                  <c:v>83000</c:v>
                </c:pt>
                <c:pt idx="192">
                  <c:v>83500</c:v>
                </c:pt>
                <c:pt idx="193">
                  <c:v>84000</c:v>
                </c:pt>
                <c:pt idx="194">
                  <c:v>84500</c:v>
                </c:pt>
                <c:pt idx="195">
                  <c:v>85000</c:v>
                </c:pt>
                <c:pt idx="196">
                  <c:v>85500</c:v>
                </c:pt>
                <c:pt idx="197">
                  <c:v>86000</c:v>
                </c:pt>
                <c:pt idx="198">
                  <c:v>86500</c:v>
                </c:pt>
                <c:pt idx="199">
                  <c:v>87000</c:v>
                </c:pt>
                <c:pt idx="200">
                  <c:v>87500</c:v>
                </c:pt>
                <c:pt idx="201">
                  <c:v>88000</c:v>
                </c:pt>
                <c:pt idx="202">
                  <c:v>88500</c:v>
                </c:pt>
                <c:pt idx="203">
                  <c:v>89000</c:v>
                </c:pt>
                <c:pt idx="204">
                  <c:v>89500</c:v>
                </c:pt>
                <c:pt idx="205">
                  <c:v>90000</c:v>
                </c:pt>
                <c:pt idx="206">
                  <c:v>90500</c:v>
                </c:pt>
                <c:pt idx="207">
                  <c:v>91000</c:v>
                </c:pt>
                <c:pt idx="208">
                  <c:v>91500</c:v>
                </c:pt>
                <c:pt idx="209">
                  <c:v>92000</c:v>
                </c:pt>
                <c:pt idx="210">
                  <c:v>92500</c:v>
                </c:pt>
                <c:pt idx="211">
                  <c:v>93000</c:v>
                </c:pt>
                <c:pt idx="212">
                  <c:v>93500</c:v>
                </c:pt>
                <c:pt idx="213">
                  <c:v>94000</c:v>
                </c:pt>
                <c:pt idx="214">
                  <c:v>94500</c:v>
                </c:pt>
                <c:pt idx="215">
                  <c:v>95000</c:v>
                </c:pt>
                <c:pt idx="216">
                  <c:v>95500</c:v>
                </c:pt>
                <c:pt idx="217">
                  <c:v>96000</c:v>
                </c:pt>
                <c:pt idx="218">
                  <c:v>96500</c:v>
                </c:pt>
                <c:pt idx="219">
                  <c:v>97000</c:v>
                </c:pt>
                <c:pt idx="220">
                  <c:v>97500</c:v>
                </c:pt>
                <c:pt idx="221">
                  <c:v>98000</c:v>
                </c:pt>
                <c:pt idx="222">
                  <c:v>98500</c:v>
                </c:pt>
                <c:pt idx="223">
                  <c:v>99000</c:v>
                </c:pt>
                <c:pt idx="224">
                  <c:v>99500</c:v>
                </c:pt>
                <c:pt idx="225">
                  <c:v>100000</c:v>
                </c:pt>
                <c:pt idx="226">
                  <c:v>105000</c:v>
                </c:pt>
                <c:pt idx="227">
                  <c:v>110000</c:v>
                </c:pt>
                <c:pt idx="228">
                  <c:v>115000</c:v>
                </c:pt>
                <c:pt idx="229">
                  <c:v>120000</c:v>
                </c:pt>
                <c:pt idx="230">
                  <c:v>125000</c:v>
                </c:pt>
                <c:pt idx="231">
                  <c:v>130000</c:v>
                </c:pt>
                <c:pt idx="232">
                  <c:v>135000</c:v>
                </c:pt>
                <c:pt idx="233">
                  <c:v>140000</c:v>
                </c:pt>
                <c:pt idx="234">
                  <c:v>145000</c:v>
                </c:pt>
                <c:pt idx="235">
                  <c:v>150000</c:v>
                </c:pt>
                <c:pt idx="236">
                  <c:v>155000</c:v>
                </c:pt>
                <c:pt idx="237">
                  <c:v>160000</c:v>
                </c:pt>
                <c:pt idx="238">
                  <c:v>165000</c:v>
                </c:pt>
                <c:pt idx="239">
                  <c:v>170000</c:v>
                </c:pt>
                <c:pt idx="240">
                  <c:v>175000</c:v>
                </c:pt>
                <c:pt idx="241">
                  <c:v>180000</c:v>
                </c:pt>
                <c:pt idx="242">
                  <c:v>185000</c:v>
                </c:pt>
                <c:pt idx="243">
                  <c:v>190000</c:v>
                </c:pt>
                <c:pt idx="244">
                  <c:v>195000</c:v>
                </c:pt>
                <c:pt idx="245">
                  <c:v>200000</c:v>
                </c:pt>
                <c:pt idx="246">
                  <c:v>205000</c:v>
                </c:pt>
                <c:pt idx="247">
                  <c:v>210000</c:v>
                </c:pt>
                <c:pt idx="248">
                  <c:v>215000</c:v>
                </c:pt>
                <c:pt idx="249">
                  <c:v>220000</c:v>
                </c:pt>
                <c:pt idx="250">
                  <c:v>225000</c:v>
                </c:pt>
                <c:pt idx="251">
                  <c:v>230000</c:v>
                </c:pt>
                <c:pt idx="252">
                  <c:v>235000</c:v>
                </c:pt>
                <c:pt idx="253">
                  <c:v>240000</c:v>
                </c:pt>
                <c:pt idx="254">
                  <c:v>245000</c:v>
                </c:pt>
                <c:pt idx="255">
                  <c:v>250000</c:v>
                </c:pt>
                <c:pt idx="256">
                  <c:v>255000</c:v>
                </c:pt>
                <c:pt idx="257">
                  <c:v>260000</c:v>
                </c:pt>
                <c:pt idx="258">
                  <c:v>265000</c:v>
                </c:pt>
                <c:pt idx="259">
                  <c:v>270000</c:v>
                </c:pt>
                <c:pt idx="260">
                  <c:v>275000</c:v>
                </c:pt>
                <c:pt idx="261">
                  <c:v>280000</c:v>
                </c:pt>
                <c:pt idx="262">
                  <c:v>285000</c:v>
                </c:pt>
                <c:pt idx="263">
                  <c:v>290000</c:v>
                </c:pt>
                <c:pt idx="264">
                  <c:v>295000</c:v>
                </c:pt>
                <c:pt idx="265">
                  <c:v>300000</c:v>
                </c:pt>
                <c:pt idx="266">
                  <c:v>305000</c:v>
                </c:pt>
                <c:pt idx="267">
                  <c:v>310000</c:v>
                </c:pt>
                <c:pt idx="268">
                  <c:v>315000</c:v>
                </c:pt>
                <c:pt idx="269">
                  <c:v>320000</c:v>
                </c:pt>
                <c:pt idx="270">
                  <c:v>325000</c:v>
                </c:pt>
                <c:pt idx="271">
                  <c:v>330000</c:v>
                </c:pt>
                <c:pt idx="272">
                  <c:v>335000</c:v>
                </c:pt>
                <c:pt idx="273">
                  <c:v>340000</c:v>
                </c:pt>
                <c:pt idx="274">
                  <c:v>345000</c:v>
                </c:pt>
                <c:pt idx="275">
                  <c:v>350000</c:v>
                </c:pt>
                <c:pt idx="276">
                  <c:v>355000</c:v>
                </c:pt>
                <c:pt idx="277">
                  <c:v>360000</c:v>
                </c:pt>
                <c:pt idx="278">
                  <c:v>365000</c:v>
                </c:pt>
                <c:pt idx="279">
                  <c:v>370000</c:v>
                </c:pt>
                <c:pt idx="280">
                  <c:v>375000</c:v>
                </c:pt>
                <c:pt idx="281">
                  <c:v>380000</c:v>
                </c:pt>
                <c:pt idx="282">
                  <c:v>385000</c:v>
                </c:pt>
                <c:pt idx="283">
                  <c:v>390000</c:v>
                </c:pt>
                <c:pt idx="284">
                  <c:v>395000</c:v>
                </c:pt>
                <c:pt idx="285">
                  <c:v>400000</c:v>
                </c:pt>
                <c:pt idx="286">
                  <c:v>405000</c:v>
                </c:pt>
                <c:pt idx="287">
                  <c:v>410000</c:v>
                </c:pt>
                <c:pt idx="288">
                  <c:v>415000</c:v>
                </c:pt>
                <c:pt idx="289">
                  <c:v>420000</c:v>
                </c:pt>
                <c:pt idx="290">
                  <c:v>425000</c:v>
                </c:pt>
                <c:pt idx="291">
                  <c:v>430000</c:v>
                </c:pt>
                <c:pt idx="292">
                  <c:v>435000</c:v>
                </c:pt>
                <c:pt idx="293">
                  <c:v>440000</c:v>
                </c:pt>
                <c:pt idx="294">
                  <c:v>445000</c:v>
                </c:pt>
                <c:pt idx="295">
                  <c:v>450000</c:v>
                </c:pt>
                <c:pt idx="296">
                  <c:v>455000</c:v>
                </c:pt>
                <c:pt idx="297">
                  <c:v>460000</c:v>
                </c:pt>
                <c:pt idx="298">
                  <c:v>465000</c:v>
                </c:pt>
                <c:pt idx="299">
                  <c:v>470000</c:v>
                </c:pt>
                <c:pt idx="300">
                  <c:v>475000</c:v>
                </c:pt>
                <c:pt idx="301">
                  <c:v>480000</c:v>
                </c:pt>
                <c:pt idx="302">
                  <c:v>485000</c:v>
                </c:pt>
                <c:pt idx="303">
                  <c:v>490000</c:v>
                </c:pt>
                <c:pt idx="304">
                  <c:v>495000</c:v>
                </c:pt>
                <c:pt idx="305">
                  <c:v>500000</c:v>
                </c:pt>
                <c:pt idx="306">
                  <c:v>505000</c:v>
                </c:pt>
                <c:pt idx="307">
                  <c:v>510000</c:v>
                </c:pt>
                <c:pt idx="308">
                  <c:v>515000</c:v>
                </c:pt>
                <c:pt idx="309">
                  <c:v>520000</c:v>
                </c:pt>
                <c:pt idx="310">
                  <c:v>525000</c:v>
                </c:pt>
                <c:pt idx="311">
                  <c:v>530000</c:v>
                </c:pt>
                <c:pt idx="312">
                  <c:v>535000</c:v>
                </c:pt>
                <c:pt idx="313">
                  <c:v>540000</c:v>
                </c:pt>
                <c:pt idx="314">
                  <c:v>545000</c:v>
                </c:pt>
                <c:pt idx="315">
                  <c:v>550000</c:v>
                </c:pt>
                <c:pt idx="316">
                  <c:v>555000</c:v>
                </c:pt>
                <c:pt idx="317">
                  <c:v>560000</c:v>
                </c:pt>
                <c:pt idx="318">
                  <c:v>565000</c:v>
                </c:pt>
                <c:pt idx="319">
                  <c:v>570000</c:v>
                </c:pt>
                <c:pt idx="320">
                  <c:v>575000</c:v>
                </c:pt>
                <c:pt idx="321">
                  <c:v>580000</c:v>
                </c:pt>
                <c:pt idx="322">
                  <c:v>585000</c:v>
                </c:pt>
                <c:pt idx="323">
                  <c:v>590000</c:v>
                </c:pt>
                <c:pt idx="324">
                  <c:v>595000</c:v>
                </c:pt>
                <c:pt idx="325">
                  <c:v>600000</c:v>
                </c:pt>
                <c:pt idx="326">
                  <c:v>605000</c:v>
                </c:pt>
                <c:pt idx="327">
                  <c:v>610000</c:v>
                </c:pt>
                <c:pt idx="328">
                  <c:v>615000</c:v>
                </c:pt>
                <c:pt idx="329">
                  <c:v>620000</c:v>
                </c:pt>
                <c:pt idx="330">
                  <c:v>625000</c:v>
                </c:pt>
                <c:pt idx="331">
                  <c:v>630000</c:v>
                </c:pt>
                <c:pt idx="332">
                  <c:v>635000</c:v>
                </c:pt>
                <c:pt idx="333">
                  <c:v>640000</c:v>
                </c:pt>
                <c:pt idx="334">
                  <c:v>645000</c:v>
                </c:pt>
                <c:pt idx="335">
                  <c:v>650000</c:v>
                </c:pt>
                <c:pt idx="336">
                  <c:v>655000</c:v>
                </c:pt>
                <c:pt idx="337">
                  <c:v>660000</c:v>
                </c:pt>
                <c:pt idx="338">
                  <c:v>665000</c:v>
                </c:pt>
                <c:pt idx="339">
                  <c:v>670000</c:v>
                </c:pt>
                <c:pt idx="340">
                  <c:v>675000</c:v>
                </c:pt>
                <c:pt idx="341">
                  <c:v>680000</c:v>
                </c:pt>
                <c:pt idx="342">
                  <c:v>685000</c:v>
                </c:pt>
                <c:pt idx="343">
                  <c:v>690000</c:v>
                </c:pt>
                <c:pt idx="344">
                  <c:v>695000</c:v>
                </c:pt>
                <c:pt idx="345">
                  <c:v>700000</c:v>
                </c:pt>
                <c:pt idx="346">
                  <c:v>705000</c:v>
                </c:pt>
                <c:pt idx="347">
                  <c:v>710000</c:v>
                </c:pt>
                <c:pt idx="348">
                  <c:v>715000</c:v>
                </c:pt>
                <c:pt idx="349">
                  <c:v>720000</c:v>
                </c:pt>
                <c:pt idx="350">
                  <c:v>725000</c:v>
                </c:pt>
                <c:pt idx="351">
                  <c:v>730000</c:v>
                </c:pt>
                <c:pt idx="352">
                  <c:v>735000</c:v>
                </c:pt>
                <c:pt idx="353">
                  <c:v>740000</c:v>
                </c:pt>
                <c:pt idx="354">
                  <c:v>745000</c:v>
                </c:pt>
                <c:pt idx="355">
                  <c:v>750000</c:v>
                </c:pt>
                <c:pt idx="356">
                  <c:v>755000</c:v>
                </c:pt>
                <c:pt idx="357">
                  <c:v>760000</c:v>
                </c:pt>
                <c:pt idx="358">
                  <c:v>765000</c:v>
                </c:pt>
                <c:pt idx="359">
                  <c:v>770000</c:v>
                </c:pt>
                <c:pt idx="360">
                  <c:v>775000</c:v>
                </c:pt>
                <c:pt idx="361">
                  <c:v>780000</c:v>
                </c:pt>
                <c:pt idx="362">
                  <c:v>785000</c:v>
                </c:pt>
                <c:pt idx="363">
                  <c:v>790000</c:v>
                </c:pt>
                <c:pt idx="364">
                  <c:v>795000</c:v>
                </c:pt>
                <c:pt idx="365">
                  <c:v>800000</c:v>
                </c:pt>
                <c:pt idx="366">
                  <c:v>805000</c:v>
                </c:pt>
                <c:pt idx="367">
                  <c:v>810000</c:v>
                </c:pt>
                <c:pt idx="368">
                  <c:v>815000</c:v>
                </c:pt>
                <c:pt idx="369">
                  <c:v>820000</c:v>
                </c:pt>
                <c:pt idx="370">
                  <c:v>825000</c:v>
                </c:pt>
                <c:pt idx="371">
                  <c:v>830000</c:v>
                </c:pt>
                <c:pt idx="372">
                  <c:v>835000</c:v>
                </c:pt>
                <c:pt idx="373">
                  <c:v>840000</c:v>
                </c:pt>
                <c:pt idx="374">
                  <c:v>845000</c:v>
                </c:pt>
                <c:pt idx="375">
                  <c:v>850000</c:v>
                </c:pt>
                <c:pt idx="376">
                  <c:v>855000</c:v>
                </c:pt>
                <c:pt idx="377">
                  <c:v>860000</c:v>
                </c:pt>
                <c:pt idx="378">
                  <c:v>865000</c:v>
                </c:pt>
                <c:pt idx="379">
                  <c:v>870000</c:v>
                </c:pt>
                <c:pt idx="380">
                  <c:v>875000</c:v>
                </c:pt>
                <c:pt idx="381">
                  <c:v>880000</c:v>
                </c:pt>
                <c:pt idx="382">
                  <c:v>885000</c:v>
                </c:pt>
                <c:pt idx="383">
                  <c:v>890000</c:v>
                </c:pt>
                <c:pt idx="384">
                  <c:v>895000</c:v>
                </c:pt>
                <c:pt idx="385">
                  <c:v>900000</c:v>
                </c:pt>
                <c:pt idx="386">
                  <c:v>905000</c:v>
                </c:pt>
                <c:pt idx="387">
                  <c:v>910000</c:v>
                </c:pt>
                <c:pt idx="388">
                  <c:v>915000</c:v>
                </c:pt>
                <c:pt idx="389">
                  <c:v>920000</c:v>
                </c:pt>
                <c:pt idx="390">
                  <c:v>925000</c:v>
                </c:pt>
                <c:pt idx="391">
                  <c:v>930000</c:v>
                </c:pt>
                <c:pt idx="392">
                  <c:v>935000</c:v>
                </c:pt>
                <c:pt idx="393">
                  <c:v>940000</c:v>
                </c:pt>
                <c:pt idx="394">
                  <c:v>945000</c:v>
                </c:pt>
                <c:pt idx="395">
                  <c:v>950000</c:v>
                </c:pt>
                <c:pt idx="396">
                  <c:v>955000</c:v>
                </c:pt>
                <c:pt idx="397">
                  <c:v>960000</c:v>
                </c:pt>
                <c:pt idx="398">
                  <c:v>965000</c:v>
                </c:pt>
                <c:pt idx="399">
                  <c:v>970000</c:v>
                </c:pt>
                <c:pt idx="400">
                  <c:v>975000</c:v>
                </c:pt>
                <c:pt idx="401">
                  <c:v>980000</c:v>
                </c:pt>
                <c:pt idx="402">
                  <c:v>985000</c:v>
                </c:pt>
                <c:pt idx="403">
                  <c:v>990000</c:v>
                </c:pt>
                <c:pt idx="404">
                  <c:v>995000</c:v>
                </c:pt>
                <c:pt idx="405">
                  <c:v>1000000</c:v>
                </c:pt>
                <c:pt idx="406">
                  <c:v>1005000</c:v>
                </c:pt>
                <c:pt idx="407">
                  <c:v>1010000</c:v>
                </c:pt>
                <c:pt idx="408">
                  <c:v>1015000</c:v>
                </c:pt>
                <c:pt idx="409">
                  <c:v>1020000</c:v>
                </c:pt>
                <c:pt idx="410">
                  <c:v>1025000</c:v>
                </c:pt>
                <c:pt idx="411">
                  <c:v>1030000</c:v>
                </c:pt>
                <c:pt idx="412">
                  <c:v>1035000</c:v>
                </c:pt>
                <c:pt idx="413">
                  <c:v>1040000</c:v>
                </c:pt>
                <c:pt idx="414">
                  <c:v>1045000</c:v>
                </c:pt>
                <c:pt idx="415">
                  <c:v>1050000</c:v>
                </c:pt>
                <c:pt idx="416">
                  <c:v>1055000</c:v>
                </c:pt>
                <c:pt idx="417">
                  <c:v>1060000</c:v>
                </c:pt>
                <c:pt idx="418">
                  <c:v>1065000</c:v>
                </c:pt>
                <c:pt idx="419">
                  <c:v>1070000</c:v>
                </c:pt>
                <c:pt idx="420">
                  <c:v>1075000</c:v>
                </c:pt>
                <c:pt idx="421">
                  <c:v>1080000</c:v>
                </c:pt>
                <c:pt idx="422">
                  <c:v>1085000</c:v>
                </c:pt>
                <c:pt idx="423">
                  <c:v>1090000</c:v>
                </c:pt>
                <c:pt idx="424">
                  <c:v>1095000</c:v>
                </c:pt>
                <c:pt idx="425">
                  <c:v>1100000</c:v>
                </c:pt>
                <c:pt idx="426">
                  <c:v>1105000</c:v>
                </c:pt>
                <c:pt idx="427">
                  <c:v>1110000</c:v>
                </c:pt>
                <c:pt idx="428">
                  <c:v>1115000</c:v>
                </c:pt>
                <c:pt idx="429">
                  <c:v>1120000</c:v>
                </c:pt>
                <c:pt idx="430">
                  <c:v>1125000</c:v>
                </c:pt>
                <c:pt idx="431">
                  <c:v>1130000</c:v>
                </c:pt>
                <c:pt idx="432">
                  <c:v>1135000</c:v>
                </c:pt>
                <c:pt idx="433">
                  <c:v>1140000</c:v>
                </c:pt>
                <c:pt idx="434">
                  <c:v>1145000</c:v>
                </c:pt>
                <c:pt idx="435">
                  <c:v>1150000</c:v>
                </c:pt>
                <c:pt idx="436">
                  <c:v>1155000</c:v>
                </c:pt>
                <c:pt idx="437">
                  <c:v>1160000</c:v>
                </c:pt>
                <c:pt idx="438">
                  <c:v>1165000</c:v>
                </c:pt>
                <c:pt idx="439">
                  <c:v>1170000</c:v>
                </c:pt>
                <c:pt idx="440">
                  <c:v>1175000</c:v>
                </c:pt>
                <c:pt idx="441">
                  <c:v>1180000</c:v>
                </c:pt>
                <c:pt idx="442">
                  <c:v>1185000</c:v>
                </c:pt>
                <c:pt idx="443">
                  <c:v>1190000</c:v>
                </c:pt>
                <c:pt idx="444">
                  <c:v>1195000</c:v>
                </c:pt>
                <c:pt idx="445">
                  <c:v>1200000</c:v>
                </c:pt>
                <c:pt idx="446">
                  <c:v>1205000</c:v>
                </c:pt>
                <c:pt idx="447">
                  <c:v>1210000</c:v>
                </c:pt>
                <c:pt idx="448">
                  <c:v>1215000</c:v>
                </c:pt>
                <c:pt idx="449">
                  <c:v>1220000</c:v>
                </c:pt>
                <c:pt idx="450">
                  <c:v>1225000</c:v>
                </c:pt>
                <c:pt idx="451">
                  <c:v>1230000</c:v>
                </c:pt>
                <c:pt idx="452">
                  <c:v>1235000</c:v>
                </c:pt>
                <c:pt idx="453">
                  <c:v>1240000</c:v>
                </c:pt>
                <c:pt idx="454">
                  <c:v>1245000</c:v>
                </c:pt>
                <c:pt idx="455">
                  <c:v>1250000</c:v>
                </c:pt>
                <c:pt idx="456">
                  <c:v>1255000</c:v>
                </c:pt>
                <c:pt idx="457">
                  <c:v>1260000</c:v>
                </c:pt>
                <c:pt idx="458">
                  <c:v>1265000</c:v>
                </c:pt>
                <c:pt idx="459">
                  <c:v>1270000</c:v>
                </c:pt>
                <c:pt idx="460">
                  <c:v>1275000</c:v>
                </c:pt>
                <c:pt idx="461">
                  <c:v>1280000</c:v>
                </c:pt>
                <c:pt idx="462">
                  <c:v>1285000</c:v>
                </c:pt>
                <c:pt idx="463">
                  <c:v>1290000</c:v>
                </c:pt>
                <c:pt idx="464">
                  <c:v>1295000</c:v>
                </c:pt>
                <c:pt idx="465">
                  <c:v>1300000</c:v>
                </c:pt>
                <c:pt idx="466">
                  <c:v>1305000</c:v>
                </c:pt>
                <c:pt idx="467">
                  <c:v>1310000</c:v>
                </c:pt>
                <c:pt idx="468">
                  <c:v>1315000</c:v>
                </c:pt>
                <c:pt idx="469">
                  <c:v>1320000</c:v>
                </c:pt>
                <c:pt idx="470">
                  <c:v>1325000</c:v>
                </c:pt>
                <c:pt idx="471">
                  <c:v>1330000</c:v>
                </c:pt>
                <c:pt idx="472">
                  <c:v>1335000</c:v>
                </c:pt>
                <c:pt idx="473">
                  <c:v>1340000</c:v>
                </c:pt>
                <c:pt idx="474">
                  <c:v>1345000</c:v>
                </c:pt>
                <c:pt idx="475">
                  <c:v>1350000</c:v>
                </c:pt>
                <c:pt idx="476">
                  <c:v>1355000</c:v>
                </c:pt>
                <c:pt idx="477">
                  <c:v>1360000</c:v>
                </c:pt>
                <c:pt idx="478">
                  <c:v>1365000</c:v>
                </c:pt>
                <c:pt idx="479">
                  <c:v>1370000</c:v>
                </c:pt>
                <c:pt idx="480">
                  <c:v>1375000</c:v>
                </c:pt>
                <c:pt idx="481">
                  <c:v>1380000</c:v>
                </c:pt>
                <c:pt idx="482">
                  <c:v>1385000</c:v>
                </c:pt>
                <c:pt idx="483">
                  <c:v>1390000</c:v>
                </c:pt>
                <c:pt idx="484">
                  <c:v>1395000</c:v>
                </c:pt>
                <c:pt idx="485">
                  <c:v>1400000</c:v>
                </c:pt>
                <c:pt idx="486">
                  <c:v>1405000</c:v>
                </c:pt>
                <c:pt idx="487">
                  <c:v>1410000</c:v>
                </c:pt>
                <c:pt idx="488">
                  <c:v>1415000</c:v>
                </c:pt>
                <c:pt idx="489">
                  <c:v>1420000</c:v>
                </c:pt>
                <c:pt idx="490">
                  <c:v>1425000</c:v>
                </c:pt>
                <c:pt idx="491">
                  <c:v>1430000</c:v>
                </c:pt>
                <c:pt idx="492">
                  <c:v>1435000</c:v>
                </c:pt>
                <c:pt idx="493">
                  <c:v>1440000</c:v>
                </c:pt>
                <c:pt idx="494">
                  <c:v>1445000</c:v>
                </c:pt>
                <c:pt idx="495">
                  <c:v>1450000</c:v>
                </c:pt>
                <c:pt idx="496">
                  <c:v>1455000</c:v>
                </c:pt>
                <c:pt idx="497">
                  <c:v>1460000</c:v>
                </c:pt>
                <c:pt idx="498">
                  <c:v>1465000</c:v>
                </c:pt>
                <c:pt idx="499">
                  <c:v>1470000</c:v>
                </c:pt>
                <c:pt idx="500">
                  <c:v>1475000</c:v>
                </c:pt>
                <c:pt idx="501">
                  <c:v>1480000</c:v>
                </c:pt>
                <c:pt idx="502">
                  <c:v>1485000</c:v>
                </c:pt>
                <c:pt idx="503">
                  <c:v>1490000</c:v>
                </c:pt>
                <c:pt idx="504">
                  <c:v>1495000</c:v>
                </c:pt>
                <c:pt idx="505">
                  <c:v>1500000</c:v>
                </c:pt>
                <c:pt idx="506">
                  <c:v>1505000</c:v>
                </c:pt>
                <c:pt idx="507">
                  <c:v>1510000</c:v>
                </c:pt>
                <c:pt idx="508">
                  <c:v>1515000</c:v>
                </c:pt>
                <c:pt idx="509">
                  <c:v>1520000</c:v>
                </c:pt>
                <c:pt idx="510">
                  <c:v>1525000</c:v>
                </c:pt>
                <c:pt idx="511">
                  <c:v>1530000</c:v>
                </c:pt>
                <c:pt idx="512">
                  <c:v>1535000</c:v>
                </c:pt>
                <c:pt idx="513">
                  <c:v>1540000</c:v>
                </c:pt>
                <c:pt idx="514">
                  <c:v>1545000</c:v>
                </c:pt>
                <c:pt idx="515">
                  <c:v>1550000</c:v>
                </c:pt>
                <c:pt idx="516">
                  <c:v>1555000</c:v>
                </c:pt>
                <c:pt idx="517">
                  <c:v>1560000</c:v>
                </c:pt>
                <c:pt idx="518">
                  <c:v>1565000</c:v>
                </c:pt>
                <c:pt idx="519">
                  <c:v>1570000</c:v>
                </c:pt>
                <c:pt idx="520">
                  <c:v>1575000</c:v>
                </c:pt>
                <c:pt idx="521">
                  <c:v>1580000</c:v>
                </c:pt>
                <c:pt idx="522">
                  <c:v>1585000</c:v>
                </c:pt>
                <c:pt idx="523">
                  <c:v>1590000</c:v>
                </c:pt>
                <c:pt idx="524">
                  <c:v>1595000</c:v>
                </c:pt>
                <c:pt idx="525">
                  <c:v>1600000</c:v>
                </c:pt>
                <c:pt idx="526">
                  <c:v>1605000</c:v>
                </c:pt>
                <c:pt idx="527">
                  <c:v>1610000</c:v>
                </c:pt>
                <c:pt idx="528">
                  <c:v>1615000</c:v>
                </c:pt>
                <c:pt idx="529">
                  <c:v>1620000</c:v>
                </c:pt>
                <c:pt idx="530">
                  <c:v>1625000</c:v>
                </c:pt>
                <c:pt idx="531">
                  <c:v>1630000</c:v>
                </c:pt>
                <c:pt idx="532">
                  <c:v>1635000</c:v>
                </c:pt>
                <c:pt idx="533">
                  <c:v>1640000</c:v>
                </c:pt>
                <c:pt idx="534">
                  <c:v>1645000</c:v>
                </c:pt>
                <c:pt idx="535">
                  <c:v>1650000</c:v>
                </c:pt>
                <c:pt idx="536">
                  <c:v>1655000</c:v>
                </c:pt>
                <c:pt idx="537">
                  <c:v>1660000</c:v>
                </c:pt>
                <c:pt idx="538">
                  <c:v>1665000</c:v>
                </c:pt>
                <c:pt idx="539">
                  <c:v>1670000</c:v>
                </c:pt>
                <c:pt idx="540">
                  <c:v>1675000</c:v>
                </c:pt>
                <c:pt idx="541">
                  <c:v>1680000</c:v>
                </c:pt>
                <c:pt idx="542">
                  <c:v>1685000</c:v>
                </c:pt>
                <c:pt idx="543">
                  <c:v>1690000</c:v>
                </c:pt>
                <c:pt idx="544">
                  <c:v>1695000</c:v>
                </c:pt>
                <c:pt idx="545">
                  <c:v>1700000</c:v>
                </c:pt>
                <c:pt idx="546">
                  <c:v>1705000</c:v>
                </c:pt>
                <c:pt idx="547">
                  <c:v>1710000</c:v>
                </c:pt>
                <c:pt idx="548">
                  <c:v>1715000</c:v>
                </c:pt>
                <c:pt idx="549">
                  <c:v>1720000</c:v>
                </c:pt>
                <c:pt idx="550">
                  <c:v>1725000</c:v>
                </c:pt>
                <c:pt idx="551">
                  <c:v>1730000</c:v>
                </c:pt>
                <c:pt idx="552">
                  <c:v>1735000</c:v>
                </c:pt>
                <c:pt idx="553">
                  <c:v>1740000</c:v>
                </c:pt>
                <c:pt idx="554">
                  <c:v>1745000</c:v>
                </c:pt>
                <c:pt idx="555">
                  <c:v>1750000</c:v>
                </c:pt>
                <c:pt idx="556">
                  <c:v>1755000</c:v>
                </c:pt>
                <c:pt idx="557">
                  <c:v>1760000</c:v>
                </c:pt>
                <c:pt idx="558">
                  <c:v>1765000</c:v>
                </c:pt>
                <c:pt idx="559">
                  <c:v>1770000</c:v>
                </c:pt>
                <c:pt idx="560">
                  <c:v>1775000</c:v>
                </c:pt>
                <c:pt idx="561">
                  <c:v>1780000</c:v>
                </c:pt>
                <c:pt idx="562">
                  <c:v>1785000</c:v>
                </c:pt>
                <c:pt idx="563">
                  <c:v>1790000</c:v>
                </c:pt>
                <c:pt idx="564">
                  <c:v>1795000</c:v>
                </c:pt>
                <c:pt idx="565">
                  <c:v>1800000</c:v>
                </c:pt>
                <c:pt idx="566">
                  <c:v>1805000</c:v>
                </c:pt>
                <c:pt idx="567">
                  <c:v>1810000</c:v>
                </c:pt>
                <c:pt idx="568">
                  <c:v>1815000</c:v>
                </c:pt>
                <c:pt idx="569">
                  <c:v>1820000</c:v>
                </c:pt>
                <c:pt idx="570">
                  <c:v>1825000</c:v>
                </c:pt>
                <c:pt idx="571">
                  <c:v>1830000</c:v>
                </c:pt>
                <c:pt idx="572">
                  <c:v>1835000</c:v>
                </c:pt>
                <c:pt idx="573">
                  <c:v>1840000</c:v>
                </c:pt>
                <c:pt idx="574">
                  <c:v>1845000</c:v>
                </c:pt>
                <c:pt idx="575">
                  <c:v>1850000</c:v>
                </c:pt>
                <c:pt idx="576">
                  <c:v>1855000</c:v>
                </c:pt>
                <c:pt idx="577">
                  <c:v>1860000</c:v>
                </c:pt>
                <c:pt idx="578">
                  <c:v>1865000</c:v>
                </c:pt>
                <c:pt idx="579">
                  <c:v>1870000</c:v>
                </c:pt>
                <c:pt idx="580">
                  <c:v>1875000</c:v>
                </c:pt>
                <c:pt idx="581">
                  <c:v>1880000</c:v>
                </c:pt>
                <c:pt idx="582">
                  <c:v>1885000</c:v>
                </c:pt>
                <c:pt idx="583">
                  <c:v>1890000</c:v>
                </c:pt>
                <c:pt idx="584">
                  <c:v>1895000</c:v>
                </c:pt>
                <c:pt idx="585">
                  <c:v>1900000</c:v>
                </c:pt>
                <c:pt idx="586">
                  <c:v>1905000</c:v>
                </c:pt>
                <c:pt idx="587">
                  <c:v>1910000</c:v>
                </c:pt>
                <c:pt idx="588">
                  <c:v>1915000</c:v>
                </c:pt>
                <c:pt idx="589">
                  <c:v>1920000</c:v>
                </c:pt>
                <c:pt idx="590">
                  <c:v>1925000</c:v>
                </c:pt>
                <c:pt idx="591">
                  <c:v>1930000</c:v>
                </c:pt>
                <c:pt idx="592">
                  <c:v>1935000</c:v>
                </c:pt>
                <c:pt idx="593">
                  <c:v>1940000</c:v>
                </c:pt>
                <c:pt idx="594">
                  <c:v>1945000</c:v>
                </c:pt>
                <c:pt idx="595">
                  <c:v>1950000</c:v>
                </c:pt>
                <c:pt idx="596">
                  <c:v>1955000</c:v>
                </c:pt>
                <c:pt idx="597">
                  <c:v>1960000</c:v>
                </c:pt>
                <c:pt idx="598">
                  <c:v>1965000</c:v>
                </c:pt>
                <c:pt idx="599">
                  <c:v>1970000</c:v>
                </c:pt>
                <c:pt idx="600">
                  <c:v>1975000</c:v>
                </c:pt>
                <c:pt idx="601">
                  <c:v>1980000</c:v>
                </c:pt>
                <c:pt idx="602">
                  <c:v>1985000</c:v>
                </c:pt>
                <c:pt idx="603">
                  <c:v>1990000</c:v>
                </c:pt>
                <c:pt idx="604">
                  <c:v>1995000</c:v>
                </c:pt>
                <c:pt idx="605">
                  <c:v>2000000</c:v>
                </c:pt>
                <c:pt idx="606">
                  <c:v>2250000</c:v>
                </c:pt>
                <c:pt idx="607">
                  <c:v>2500000</c:v>
                </c:pt>
                <c:pt idx="608">
                  <c:v>2750000</c:v>
                </c:pt>
                <c:pt idx="609">
                  <c:v>3000000</c:v>
                </c:pt>
                <c:pt idx="610">
                  <c:v>3250000</c:v>
                </c:pt>
                <c:pt idx="611">
                  <c:v>3500000</c:v>
                </c:pt>
                <c:pt idx="612">
                  <c:v>3750000</c:v>
                </c:pt>
                <c:pt idx="613">
                  <c:v>4000000</c:v>
                </c:pt>
                <c:pt idx="614">
                  <c:v>4250000</c:v>
                </c:pt>
                <c:pt idx="615">
                  <c:v>4500000</c:v>
                </c:pt>
                <c:pt idx="616">
                  <c:v>4750000</c:v>
                </c:pt>
                <c:pt idx="617">
                  <c:v>5000000</c:v>
                </c:pt>
                <c:pt idx="618">
                  <c:v>5100000</c:v>
                </c:pt>
                <c:pt idx="619">
                  <c:v>5200000</c:v>
                </c:pt>
                <c:pt idx="620">
                  <c:v>5300000</c:v>
                </c:pt>
                <c:pt idx="621">
                  <c:v>5400000</c:v>
                </c:pt>
                <c:pt idx="622">
                  <c:v>5500000</c:v>
                </c:pt>
                <c:pt idx="623">
                  <c:v>5600000</c:v>
                </c:pt>
                <c:pt idx="624">
                  <c:v>5700000</c:v>
                </c:pt>
                <c:pt idx="625">
                  <c:v>5800000</c:v>
                </c:pt>
                <c:pt idx="626">
                  <c:v>5900000</c:v>
                </c:pt>
                <c:pt idx="627">
                  <c:v>6000000</c:v>
                </c:pt>
                <c:pt idx="628">
                  <c:v>6100000</c:v>
                </c:pt>
                <c:pt idx="629">
                  <c:v>6200000</c:v>
                </c:pt>
                <c:pt idx="630">
                  <c:v>6300000</c:v>
                </c:pt>
                <c:pt idx="631">
                  <c:v>6400000</c:v>
                </c:pt>
                <c:pt idx="632">
                  <c:v>6500000</c:v>
                </c:pt>
                <c:pt idx="633">
                  <c:v>6600000</c:v>
                </c:pt>
                <c:pt idx="634">
                  <c:v>6700000</c:v>
                </c:pt>
                <c:pt idx="635">
                  <c:v>6800000</c:v>
                </c:pt>
                <c:pt idx="636">
                  <c:v>6900000</c:v>
                </c:pt>
                <c:pt idx="637">
                  <c:v>7000000</c:v>
                </c:pt>
                <c:pt idx="638">
                  <c:v>7100000</c:v>
                </c:pt>
                <c:pt idx="639">
                  <c:v>7200000</c:v>
                </c:pt>
                <c:pt idx="640">
                  <c:v>7300000</c:v>
                </c:pt>
                <c:pt idx="641">
                  <c:v>7400000</c:v>
                </c:pt>
                <c:pt idx="642">
                  <c:v>7500000</c:v>
                </c:pt>
                <c:pt idx="643">
                  <c:v>7600000</c:v>
                </c:pt>
                <c:pt idx="644">
                  <c:v>7700000</c:v>
                </c:pt>
                <c:pt idx="645">
                  <c:v>7800000</c:v>
                </c:pt>
                <c:pt idx="646">
                  <c:v>7900000</c:v>
                </c:pt>
                <c:pt idx="647">
                  <c:v>8000000</c:v>
                </c:pt>
                <c:pt idx="648">
                  <c:v>8100000</c:v>
                </c:pt>
                <c:pt idx="649">
                  <c:v>8200000</c:v>
                </c:pt>
                <c:pt idx="650">
                  <c:v>8300000</c:v>
                </c:pt>
                <c:pt idx="651">
                  <c:v>8400000</c:v>
                </c:pt>
                <c:pt idx="652">
                  <c:v>8500000</c:v>
                </c:pt>
                <c:pt idx="653">
                  <c:v>8600000</c:v>
                </c:pt>
                <c:pt idx="654">
                  <c:v>8700000</c:v>
                </c:pt>
                <c:pt idx="655">
                  <c:v>8800000</c:v>
                </c:pt>
                <c:pt idx="656">
                  <c:v>8900000</c:v>
                </c:pt>
                <c:pt idx="657">
                  <c:v>9000000</c:v>
                </c:pt>
                <c:pt idx="658">
                  <c:v>9100000</c:v>
                </c:pt>
                <c:pt idx="659">
                  <c:v>9200000</c:v>
                </c:pt>
                <c:pt idx="660">
                  <c:v>9300000</c:v>
                </c:pt>
                <c:pt idx="661">
                  <c:v>9400000</c:v>
                </c:pt>
                <c:pt idx="662">
                  <c:v>9500000</c:v>
                </c:pt>
                <c:pt idx="663">
                  <c:v>9600000</c:v>
                </c:pt>
                <c:pt idx="664">
                  <c:v>9700000</c:v>
                </c:pt>
                <c:pt idx="665">
                  <c:v>9800000</c:v>
                </c:pt>
                <c:pt idx="666">
                  <c:v>9900000</c:v>
                </c:pt>
                <c:pt idx="667">
                  <c:v>10000000</c:v>
                </c:pt>
              </c:numCache>
            </c:numRef>
          </c:xVal>
          <c:yVal>
            <c:numRef>
              <c:f>'Bode Plots Calculations'!$BF$9:$BF$676</c:f>
              <c:numCache>
                <c:formatCode>General</c:formatCode>
                <c:ptCount val="668"/>
                <c:pt idx="0">
                  <c:v>69.0070143928331</c:v>
                </c:pt>
                <c:pt idx="1">
                  <c:v>68.9750911821319</c:v>
                </c:pt>
                <c:pt idx="2">
                  <c:v>68.9227215468699</c:v>
                </c:pt>
                <c:pt idx="3">
                  <c:v>68.8511019577626</c:v>
                </c:pt>
                <c:pt idx="4">
                  <c:v>68.7618008273503</c:v>
                </c:pt>
                <c:pt idx="5">
                  <c:v>68.6566678688347</c:v>
                </c:pt>
                <c:pt idx="6">
                  <c:v>68.537736736757</c:v>
                </c:pt>
                <c:pt idx="7">
                  <c:v>68.4071300844515</c:v>
                </c:pt>
                <c:pt idx="8">
                  <c:v>68.2669742510872</c:v>
                </c:pt>
                <c:pt idx="9">
                  <c:v>68.1193282734129</c:v>
                </c:pt>
                <c:pt idx="10">
                  <c:v>66.5695618106266</c:v>
                </c:pt>
                <c:pt idx="11">
                  <c:v>65.3689975541227</c:v>
                </c:pt>
                <c:pt idx="12">
                  <c:v>64.5833969222666</c:v>
                </c:pt>
                <c:pt idx="13">
                  <c:v>64.0787903712642</c:v>
                </c:pt>
                <c:pt idx="14">
                  <c:v>63.747096786446</c:v>
                </c:pt>
                <c:pt idx="15">
                  <c:v>63.5216840343811</c:v>
                </c:pt>
                <c:pt idx="16">
                  <c:v>63.363281144745</c:v>
                </c:pt>
                <c:pt idx="17">
                  <c:v>63.2485067845411</c:v>
                </c:pt>
                <c:pt idx="18">
                  <c:v>63.1630623507046</c:v>
                </c:pt>
                <c:pt idx="19">
                  <c:v>62.8684268452048</c:v>
                </c:pt>
                <c:pt idx="20">
                  <c:v>62.8087259018717</c:v>
                </c:pt>
                <c:pt idx="21">
                  <c:v>62.7859541381916</c:v>
                </c:pt>
                <c:pt idx="22">
                  <c:v>62.7736368342847</c:v>
                </c:pt>
                <c:pt idx="23">
                  <c:v>62.7651060640697</c:v>
                </c:pt>
                <c:pt idx="24">
                  <c:v>62.7580585341657</c:v>
                </c:pt>
                <c:pt idx="25">
                  <c:v>62.7515291995119</c:v>
                </c:pt>
                <c:pt idx="26">
                  <c:v>62.7450573069906</c:v>
                </c:pt>
                <c:pt idx="27">
                  <c:v>62.7384013331522</c:v>
                </c:pt>
                <c:pt idx="28">
                  <c:v>62.6991233442174</c:v>
                </c:pt>
                <c:pt idx="29">
                  <c:v>62.6473945048506</c:v>
                </c:pt>
                <c:pt idx="30">
                  <c:v>62.5828221460843</c:v>
                </c:pt>
                <c:pt idx="31">
                  <c:v>62.5060015266608</c:v>
                </c:pt>
                <c:pt idx="32">
                  <c:v>62.417832560898</c:v>
                </c:pt>
                <c:pt idx="33">
                  <c:v>62.3193625608987</c:v>
                </c:pt>
                <c:pt idx="34">
                  <c:v>62.2117199500687</c:v>
                </c:pt>
                <c:pt idx="35">
                  <c:v>62.0960722495973</c:v>
                </c:pt>
                <c:pt idx="36">
                  <c:v>61.9735941131298</c:v>
                </c:pt>
                <c:pt idx="37">
                  <c:v>61.8454417974529</c:v>
                </c:pt>
                <c:pt idx="38">
                  <c:v>61.7127329772387</c:v>
                </c:pt>
                <c:pt idx="39">
                  <c:v>61.5765313814057</c:v>
                </c:pt>
                <c:pt idx="40">
                  <c:v>61.4378357860213</c:v>
                </c:pt>
                <c:pt idx="41">
                  <c:v>61.2975728425282</c:v>
                </c:pt>
                <c:pt idx="42">
                  <c:v>61.1565931688618</c:v>
                </c:pt>
                <c:pt idx="43">
                  <c:v>61.0156701153604</c:v>
                </c:pt>
                <c:pt idx="44">
                  <c:v>60.8755006379513</c:v>
                </c:pt>
                <c:pt idx="45">
                  <c:v>60.7367077589521</c:v>
                </c:pt>
                <c:pt idx="46">
                  <c:v>60.599844160172</c:v>
                </c:pt>
                <c:pt idx="47">
                  <c:v>60.4653965243827</c:v>
                </c:pt>
                <c:pt idx="48">
                  <c:v>60.3337903125025</c:v>
                </c:pt>
                <c:pt idx="49">
                  <c:v>60.2053947302561</c:v>
                </c:pt>
                <c:pt idx="50">
                  <c:v>60.0805276969155</c:v>
                </c:pt>
                <c:pt idx="51">
                  <c:v>59.9594606788113</c:v>
                </c:pt>
                <c:pt idx="52">
                  <c:v>59.8424232915364</c:v>
                </c:pt>
                <c:pt idx="53">
                  <c:v>59.7296076076927</c:v>
                </c:pt>
                <c:pt idx="54">
                  <c:v>59.6211721326025</c:v>
                </c:pt>
                <c:pt idx="55">
                  <c:v>59.5172454296835</c:v>
                </c:pt>
                <c:pt idx="56">
                  <c:v>59.4179293912678</c:v>
                </c:pt>
                <c:pt idx="57">
                  <c:v>59.3233021605392</c:v>
                </c:pt>
                <c:pt idx="58">
                  <c:v>59.2334207168604</c:v>
                </c:pt>
                <c:pt idx="59">
                  <c:v>59.1483231408299</c:v>
                </c:pt>
                <c:pt idx="60">
                  <c:v>59.0680305775671</c:v>
                </c:pt>
                <c:pt idx="61">
                  <c:v>58.9925489174905</c:v>
                </c:pt>
                <c:pt idx="62">
                  <c:v>58.9218702136132</c:v>
                </c:pt>
                <c:pt idx="63">
                  <c:v>58.8559738534637</c:v>
                </c:pt>
                <c:pt idx="64">
                  <c:v>58.7948275023665</c:v>
                </c:pt>
                <c:pt idx="65">
                  <c:v>58.7383878331837</c:v>
                </c:pt>
                <c:pt idx="66">
                  <c:v>58.6866010558526</c:v>
                </c:pt>
                <c:pt idx="67">
                  <c:v>58.6394032582633</c:v>
                </c:pt>
                <c:pt idx="68">
                  <c:v>58.5967205682774</c:v>
                </c:pt>
                <c:pt idx="69">
                  <c:v>58.5584691450689</c:v>
                </c:pt>
                <c:pt idx="70">
                  <c:v>58.5245550065054</c:v>
                </c:pt>
                <c:pt idx="71">
                  <c:v>58.4948736980509</c:v>
                </c:pt>
                <c:pt idx="72">
                  <c:v>58.4693098076889</c:v>
                </c:pt>
                <c:pt idx="73">
                  <c:v>58.4477363307073</c:v>
                </c:pt>
                <c:pt idx="74">
                  <c:v>58.4300138878926</c:v>
                </c:pt>
                <c:pt idx="75">
                  <c:v>58.4159898008436</c:v>
                </c:pt>
                <c:pt idx="76">
                  <c:v>58.4054970287854</c:v>
                </c:pt>
                <c:pt idx="77">
                  <c:v>58.3983529725663</c:v>
                </c:pt>
                <c:pt idx="78">
                  <c:v>58.3943581535336</c:v>
                </c:pt>
                <c:pt idx="79">
                  <c:v>58.393294777845</c:v>
                </c:pt>
                <c:pt idx="80">
                  <c:v>58.3949252006019</c:v>
                </c:pt>
                <c:pt idx="81">
                  <c:v>58.3989903091178</c:v>
                </c:pt>
                <c:pt idx="82">
                  <c:v>58.4052078507898</c:v>
                </c:pt>
                <c:pt idx="83">
                  <c:v>58.4132707385233</c:v>
                </c:pt>
                <c:pt idx="84">
                  <c:v>58.422845375542</c:v>
                </c:pt>
                <c:pt idx="85">
                  <c:v>58.433570051683</c:v>
                </c:pt>
                <c:pt idx="86">
                  <c:v>58.4450534748536</c:v>
                </c:pt>
                <c:pt idx="87">
                  <c:v>58.4568735139467</c:v>
                </c:pt>
                <c:pt idx="88">
                  <c:v>58.4685762427794</c:v>
                </c:pt>
                <c:pt idx="89">
                  <c:v>58.4796753878518</c:v>
                </c:pt>
                <c:pt idx="90">
                  <c:v>58.4896522950057</c:v>
                </c:pt>
                <c:pt idx="91">
                  <c:v>58.4979565401223</c:v>
                </c:pt>
                <c:pt idx="92">
                  <c:v>58.5040073152811</c:v>
                </c:pt>
                <c:pt idx="93">
                  <c:v>58.5071957224194</c:v>
                </c:pt>
                <c:pt idx="94">
                  <c:v>58.5068880994227</c:v>
                </c:pt>
                <c:pt idx="95">
                  <c:v>58.5024304866115</c:v>
                </c:pt>
                <c:pt idx="96">
                  <c:v>58.4931543128538</c:v>
                </c:pt>
                <c:pt idx="97">
                  <c:v>58.4783833386382</c:v>
                </c:pt>
                <c:pt idx="98">
                  <c:v>58.4574418379434</c:v>
                </c:pt>
                <c:pt idx="99">
                  <c:v>58.4296639325408</c:v>
                </c:pt>
                <c:pt idx="100">
                  <c:v>58.3944039141069</c:v>
                </c:pt>
                <c:pt idx="101">
                  <c:v>58.3510473057981</c:v>
                </c:pt>
                <c:pt idx="102">
                  <c:v>58.2990223322774</c:v>
                </c:pt>
                <c:pt idx="103">
                  <c:v>58.2378113936694</c:v>
                </c:pt>
                <c:pt idx="104">
                  <c:v>58.1669620834488</c:v>
                </c:pt>
                <c:pt idx="105">
                  <c:v>58.0860972613972</c:v>
                </c:pt>
                <c:pt idx="106">
                  <c:v>57.9949236973988</c:v>
                </c:pt>
                <c:pt idx="107">
                  <c:v>57.8932388438706</c:v>
                </c:pt>
                <c:pt idx="108">
                  <c:v>57.7809353738425</c:v>
                </c:pt>
                <c:pt idx="109">
                  <c:v>57.6580032333773</c:v>
                </c:pt>
                <c:pt idx="110">
                  <c:v>57.5245290920686</c:v>
                </c:pt>
                <c:pt idx="111">
                  <c:v>57.3806932214749</c:v>
                </c:pt>
                <c:pt idx="112">
                  <c:v>57.2267639746123</c:v>
                </c:pt>
                <c:pt idx="113">
                  <c:v>57.0630901665596</c:v>
                </c:pt>
                <c:pt idx="114">
                  <c:v>56.890091755635</c:v>
                </c:pt>
                <c:pt idx="115">
                  <c:v>56.7082492890976</c:v>
                </c:pt>
                <c:pt idx="116">
                  <c:v>56.5180926040035</c:v>
                </c:pt>
                <c:pt idx="117">
                  <c:v>56.3201892642712</c:v>
                </c:pt>
                <c:pt idx="118">
                  <c:v>56.115133174438</c:v>
                </c:pt>
                <c:pt idx="119">
                  <c:v>55.9035337467544</c:v>
                </c:pt>
                <c:pt idx="120">
                  <c:v>55.6860059200282</c:v>
                </c:pt>
                <c:pt idx="121">
                  <c:v>55.4631612446615</c:v>
                </c:pt>
                <c:pt idx="122">
                  <c:v>55.2356001661652</c:v>
                </c:pt>
                <c:pt idx="123">
                  <c:v>55.0039055648391</c:v>
                </c:pt>
                <c:pt idx="124">
                  <c:v>54.7686375460782</c:v>
                </c:pt>
                <c:pt idx="125">
                  <c:v>54.5303294257953</c:v>
                </c:pt>
                <c:pt idx="126">
                  <c:v>54.2894848190533</c:v>
                </c:pt>
                <c:pt idx="127">
                  <c:v>54.0465757162949</c:v>
                </c:pt>
                <c:pt idx="128">
                  <c:v>53.8020414189035</c:v>
                </c:pt>
                <c:pt idx="129">
                  <c:v>53.5562882021861</c:v>
                </c:pt>
                <c:pt idx="130">
                  <c:v>53.3096895771141</c:v>
                </c:pt>
                <c:pt idx="131">
                  <c:v>53.0625870302865</c:v>
                </c:pt>
                <c:pt idx="132">
                  <c:v>52.8152911328317</c:v>
                </c:pt>
                <c:pt idx="133">
                  <c:v>52.5680829219043</c:v>
                </c:pt>
                <c:pt idx="134">
                  <c:v>52.3212154719339</c:v>
                </c:pt>
                <c:pt idx="135">
                  <c:v>52.0749155860353</c:v>
                </c:pt>
                <c:pt idx="136">
                  <c:v>51.8293855504326</c:v>
                </c:pt>
                <c:pt idx="137">
                  <c:v>51.5848049060513</c:v>
                </c:pt>
                <c:pt idx="138">
                  <c:v>51.3413322014134</c:v>
                </c:pt>
                <c:pt idx="139">
                  <c:v>51.0991066995856</c:v>
                </c:pt>
                <c:pt idx="140">
                  <c:v>50.8582500192104</c:v>
                </c:pt>
                <c:pt idx="141">
                  <c:v>50.6188676956891</c:v>
                </c:pt>
                <c:pt idx="142">
                  <c:v>50.3810506534979</c:v>
                </c:pt>
                <c:pt idx="143">
                  <c:v>50.1448765845463</c:v>
                </c:pt>
                <c:pt idx="144">
                  <c:v>49.9104112305625</c:v>
                </c:pt>
                <c:pt idx="145">
                  <c:v>49.6777095698486</c:v>
                </c:pt>
                <c:pt idx="146">
                  <c:v>49.4468169105081</c:v>
                </c:pt>
                <c:pt idx="147">
                  <c:v>49.2177698935203</c:v>
                </c:pt>
                <c:pt idx="148">
                  <c:v>48.9905974099125</c:v>
                </c:pt>
                <c:pt idx="149">
                  <c:v>48.7653214368479</c:v>
                </c:pt>
                <c:pt idx="150">
                  <c:v>48.5419577977633</c:v>
                </c:pt>
                <c:pt idx="151">
                  <c:v>48.320516851826</c:v>
                </c:pt>
                <c:pt idx="152">
                  <c:v>48.1010041179669</c:v>
                </c:pt>
                <c:pt idx="153">
                  <c:v>47.8834208386361</c:v>
                </c:pt>
                <c:pt idx="154">
                  <c:v>47.6677644882365</c:v>
                </c:pt>
                <c:pt idx="155">
                  <c:v>47.4540292309562</c:v>
                </c:pt>
                <c:pt idx="156">
                  <c:v>47.2422063324508</c:v>
                </c:pt>
                <c:pt idx="157">
                  <c:v>47.0322845295384</c:v>
                </c:pt>
                <c:pt idx="158">
                  <c:v>46.8242503617789</c:v>
                </c:pt>
                <c:pt idx="159">
                  <c:v>46.6180884685174</c:v>
                </c:pt>
                <c:pt idx="160">
                  <c:v>46.4137818546838</c:v>
                </c:pt>
                <c:pt idx="161">
                  <c:v>46.2113121283715</c:v>
                </c:pt>
                <c:pt idx="162">
                  <c:v>46.0106597129532</c:v>
                </c:pt>
                <c:pt idx="163">
                  <c:v>45.8118040362522</c:v>
                </c:pt>
                <c:pt idx="164">
                  <c:v>45.6147236990539</c:v>
                </c:pt>
                <c:pt idx="165">
                  <c:v>45.4193966250355</c:v>
                </c:pt>
                <c:pt idx="166">
                  <c:v>45.2258001939928</c:v>
                </c:pt>
                <c:pt idx="167">
                  <c:v>45.0339113600649</c:v>
                </c:pt>
                <c:pt idx="168">
                  <c:v>44.8437067564922</c:v>
                </c:pt>
                <c:pt idx="169">
                  <c:v>44.6551627882948</c:v>
                </c:pt>
                <c:pt idx="170">
                  <c:v>44.4682557141194</c:v>
                </c:pt>
                <c:pt idx="171">
                  <c:v>44.2829617183802</c:v>
                </c:pt>
                <c:pt idx="172">
                  <c:v>44.0992569747069</c:v>
                </c:pt>
                <c:pt idx="173">
                  <c:v>43.9171177016099</c:v>
                </c:pt>
                <c:pt idx="174">
                  <c:v>43.7365202111831</c:v>
                </c:pt>
                <c:pt idx="175">
                  <c:v>43.5574409515784</c:v>
                </c:pt>
                <c:pt idx="176">
                  <c:v>43.3798565439142</c:v>
                </c:pt>
                <c:pt idx="177">
                  <c:v>43.2037438142119</c:v>
                </c:pt>
                <c:pt idx="178">
                  <c:v>43.0290798208917</c:v>
                </c:pt>
                <c:pt idx="179">
                  <c:v>42.8558418783079</c:v>
                </c:pt>
                <c:pt idx="180">
                  <c:v>42.6840075767524</c:v>
                </c:pt>
                <c:pt idx="181">
                  <c:v>42.5135547993099</c:v>
                </c:pt>
                <c:pt idx="182">
                  <c:v>42.3444617359136</c:v>
                </c:pt>
                <c:pt idx="183">
                  <c:v>42.1767068949072</c:v>
                </c:pt>
                <c:pt idx="184">
                  <c:v>42.0102691123941</c:v>
                </c:pt>
                <c:pt idx="185">
                  <c:v>41.8451275596219</c:v>
                </c:pt>
                <c:pt idx="186">
                  <c:v>41.6812617486243</c:v>
                </c:pt>
                <c:pt idx="187">
                  <c:v>41.5186515363223</c:v>
                </c:pt>
                <c:pt idx="188">
                  <c:v>41.3572771272631</c:v>
                </c:pt>
                <c:pt idx="189">
                  <c:v>41.197119075157</c:v>
                </c:pt>
                <c:pt idx="190">
                  <c:v>41.0381582833568</c:v>
                </c:pt>
                <c:pt idx="191">
                  <c:v>40.8803760044088</c:v>
                </c:pt>
                <c:pt idx="192">
                  <c:v>40.7237538387894</c:v>
                </c:pt>
                <c:pt idx="193">
                  <c:v>40.5682737329318</c:v>
                </c:pt>
                <c:pt idx="194">
                  <c:v>40.4139179766353</c:v>
                </c:pt>
                <c:pt idx="195">
                  <c:v>40.2606691999377</c:v>
                </c:pt>
                <c:pt idx="196">
                  <c:v>40.1085103695278</c:v>
                </c:pt>
                <c:pt idx="197">
                  <c:v>39.9574247847609</c:v>
                </c:pt>
                <c:pt idx="198">
                  <c:v>39.8073960733378</c:v>
                </c:pt>
                <c:pt idx="199">
                  <c:v>39.6584081866996</c:v>
                </c:pt>
                <c:pt idx="200">
                  <c:v>39.5104453951849</c:v>
                </c:pt>
                <c:pt idx="201">
                  <c:v>39.3634922829907</c:v>
                </c:pt>
                <c:pt idx="202">
                  <c:v>39.2175337429748</c:v>
                </c:pt>
                <c:pt idx="203">
                  <c:v>39.0725549713325</c:v>
                </c:pt>
                <c:pt idx="204">
                  <c:v>38.9285414621763</c:v>
                </c:pt>
                <c:pt idx="205">
                  <c:v>38.7854790020451</c:v>
                </c:pt>
                <c:pt idx="206">
                  <c:v>38.6433536643654</c:v>
                </c:pt>
                <c:pt idx="207">
                  <c:v>38.502151803886</c:v>
                </c:pt>
                <c:pt idx="208">
                  <c:v>38.3618600511014</c:v>
                </c:pt>
                <c:pt idx="209">
                  <c:v>38.2224653066831</c:v>
                </c:pt>
                <c:pt idx="210">
                  <c:v>38.0839547359295</c:v>
                </c:pt>
                <c:pt idx="211">
                  <c:v>37.9463157632484</c:v>
                </c:pt>
                <c:pt idx="212">
                  <c:v>37.8095360666819</c:v>
                </c:pt>
                <c:pt idx="213">
                  <c:v>37.6736035724822</c:v>
                </c:pt>
                <c:pt idx="214">
                  <c:v>37.5385064497475</c:v>
                </c:pt>
                <c:pt idx="215">
                  <c:v>37.4042331051241</c:v>
                </c:pt>
                <c:pt idx="216">
                  <c:v>37.2707721775796</c:v>
                </c:pt>
                <c:pt idx="217">
                  <c:v>37.1381125332533</c:v>
                </c:pt>
                <c:pt idx="218">
                  <c:v>37.0062432603877</c:v>
                </c:pt>
                <c:pt idx="219">
                  <c:v>36.8751536643436</c:v>
                </c:pt>
                <c:pt idx="220">
                  <c:v>36.7448332627025</c:v>
                </c:pt>
                <c:pt idx="221">
                  <c:v>36.6152717804573</c:v>
                </c:pt>
                <c:pt idx="222">
                  <c:v>36.4864591452949</c:v>
                </c:pt>
                <c:pt idx="223">
                  <c:v>36.3583854829694</c:v>
                </c:pt>
                <c:pt idx="224">
                  <c:v>36.2310411127688</c:v>
                </c:pt>
                <c:pt idx="225">
                  <c:v>36.1044165430746</c:v>
                </c:pt>
                <c:pt idx="226">
                  <c:v>34.8757984953286</c:v>
                </c:pt>
                <c:pt idx="227">
                  <c:v>33.7099681281877</c:v>
                </c:pt>
                <c:pt idx="228">
                  <c:v>32.5999572540986</c:v>
                </c:pt>
                <c:pt idx="229">
                  <c:v>31.5399433548418</c:v>
                </c:pt>
                <c:pt idx="230">
                  <c:v>30.5250185757911</c:v>
                </c:pt>
                <c:pt idx="231">
                  <c:v>29.5510104178133</c:v>
                </c:pt>
                <c:pt idx="232">
                  <c:v>28.6143421843493</c:v>
                </c:pt>
                <c:pt idx="233">
                  <c:v>27.7119238074186</c:v>
                </c:pt>
                <c:pt idx="234">
                  <c:v>26.8410658873936</c:v>
                </c:pt>
                <c:pt idx="235">
                  <c:v>25.99941153047</c:v>
                </c:pt>
                <c:pt idx="236">
                  <c:v>25.1848819015581</c:v>
                </c:pt>
                <c:pt idx="237">
                  <c:v>24.3956324112013</c:v>
                </c:pt>
                <c:pt idx="238">
                  <c:v>23.6300172017331</c:v>
                </c:pt>
                <c:pt idx="239">
                  <c:v>22.8865601544771</c:v>
                </c:pt>
                <c:pt idx="240">
                  <c:v>22.1639310557641</c:v>
                </c:pt>
                <c:pt idx="241">
                  <c:v>21.4609258717016</c:v>
                </c:pt>
                <c:pt idx="242">
                  <c:v>20.7764503171104</c:v>
                </c:pt>
                <c:pt idx="243">
                  <c:v>20.1095060826745</c:v>
                </c:pt>
                <c:pt idx="244">
                  <c:v>19.4591792206768</c:v>
                </c:pt>
                <c:pt idx="245">
                  <c:v>18.8246302943549</c:v>
                </c:pt>
                <c:pt idx="246">
                  <c:v>18.2050859767507</c:v>
                </c:pt>
                <c:pt idx="247">
                  <c:v>17.5998318477439</c:v>
                </c:pt>
                <c:pt idx="248">
                  <c:v>17.0082061870485</c:v>
                </c:pt>
                <c:pt idx="249">
                  <c:v>16.4295945995441</c:v>
                </c:pt>
                <c:pt idx="250">
                  <c:v>15.8634253398153</c:v>
                </c:pt>
                <c:pt idx="251">
                  <c:v>15.3091652270165</c:v>
                </c:pt>
                <c:pt idx="252">
                  <c:v>14.7663160605475</c:v>
                </c:pt>
                <c:pt idx="253">
                  <c:v>14.2344114625847</c:v>
                </c:pt>
                <c:pt idx="254">
                  <c:v>13.7130140860669</c:v>
                </c:pt>
                <c:pt idx="255">
                  <c:v>13.2017131369215</c:v>
                </c:pt>
                <c:pt idx="256">
                  <c:v>12.7001221676161</c:v>
                </c:pt>
                <c:pt idx="257">
                  <c:v>12.2078771059201</c:v>
                </c:pt>
                <c:pt idx="258">
                  <c:v>11.7246344883457</c:v>
                </c:pt>
                <c:pt idx="259">
                  <c:v>11.2500698723613</c:v>
                </c:pt>
                <c:pt idx="260">
                  <c:v>10.7838764052973</c:v>
                </c:pt>
                <c:pt idx="261">
                  <c:v>10.3257635310563</c:v>
                </c:pt>
                <c:pt idx="262">
                  <c:v>9.8754558184117</c:v>
                </c:pt>
                <c:pt idx="263">
                  <c:v>9.43269189691657</c:v>
                </c:pt>
                <c:pt idx="264">
                  <c:v>8.99722348833836</c:v>
                </c:pt>
                <c:pt idx="265">
                  <c:v>8.56881452313013</c:v>
                </c:pt>
                <c:pt idx="266">
                  <c:v>8.14724033280921</c:v>
                </c:pt>
                <c:pt idx="267">
                  <c:v>7.73228691027001</c:v>
                </c:pt>
                <c:pt idx="268">
                  <c:v>7.32375023104659</c:v>
                </c:pt>
                <c:pt idx="269">
                  <c:v>6.92143562939008</c:v>
                </c:pt>
                <c:pt idx="270">
                  <c:v>6.52515722375542</c:v>
                </c:pt>
                <c:pt idx="271">
                  <c:v>6.13473738692276</c:v>
                </c:pt>
                <c:pt idx="272">
                  <c:v>5.75000625652489</c:v>
                </c:pt>
                <c:pt idx="273">
                  <c:v>5.37080128222565</c:v>
                </c:pt>
                <c:pt idx="274">
                  <c:v>4.99696680620773</c:v>
                </c:pt>
                <c:pt idx="275">
                  <c:v>4.62835367398822</c:v>
                </c:pt>
                <c:pt idx="276">
                  <c:v>4.26481887289642</c:v>
                </c:pt>
                <c:pt idx="277">
                  <c:v>3.90622519582523</c:v>
                </c:pt>
                <c:pt idx="278">
                  <c:v>3.55244092811145</c:v>
                </c:pt>
                <c:pt idx="279">
                  <c:v>3.20333955561532</c:v>
                </c:pt>
                <c:pt idx="280">
                  <c:v>2.85879949225996</c:v>
                </c:pt>
                <c:pt idx="281">
                  <c:v>2.51870382545979</c:v>
                </c:pt>
                <c:pt idx="282">
                  <c:v>2.18294007801668</c:v>
                </c:pt>
                <c:pt idx="283">
                  <c:v>1.85139998519603</c:v>
                </c:pt>
                <c:pt idx="284">
                  <c:v>1.52397928581324</c:v>
                </c:pt>
                <c:pt idx="285">
                  <c:v>1.20057752626786</c:v>
                </c:pt>
                <c:pt idx="286">
                  <c:v>0.881097876557067</c:v>
                </c:pt>
                <c:pt idx="287">
                  <c:v>0.565446957385751</c:v>
                </c:pt>
                <c:pt idx="288">
                  <c:v>0.253534677566798</c:v>
                </c:pt>
                <c:pt idx="289">
                  <c:v>-0.0547259190257671</c:v>
                </c:pt>
                <c:pt idx="290">
                  <c:v>-0.359418797626168</c:v>
                </c:pt>
                <c:pt idx="291">
                  <c:v>-0.66062506848801</c:v>
                </c:pt>
                <c:pt idx="292">
                  <c:v>-0.958423115105739</c:v>
                </c:pt>
                <c:pt idx="293">
                  <c:v>-1.25288871526904</c:v>
                </c:pt>
                <c:pt idx="294">
                  <c:v>-1.54409515543112</c:v>
                </c:pt>
                <c:pt idx="295">
                  <c:v>-1.83211333883411</c:v>
                </c:pt>
                <c:pt idx="296">
                  <c:v>-2.11701188780021</c:v>
                </c:pt>
                <c:pt idx="297">
                  <c:v>-2.3988572405661</c:v>
                </c:pt>
                <c:pt idx="298">
                  <c:v>-2.67771374300944</c:v>
                </c:pt>
                <c:pt idx="299">
                  <c:v>-2.95364373559016</c:v>
                </c:pt>
                <c:pt idx="300">
                  <c:v>-3.22670763580551</c:v>
                </c:pt>
                <c:pt idx="301">
                  <c:v>-3.49696401643598</c:v>
                </c:pt>
                <c:pt idx="302">
                  <c:v>-3.76446967983914</c:v>
                </c:pt>
                <c:pt idx="303">
                  <c:v>-4.02927972853024</c:v>
                </c:pt>
                <c:pt idx="304">
                  <c:v>-4.29144763227142</c:v>
                </c:pt>
                <c:pt idx="305">
                  <c:v>-4.55102529187609</c:v>
                </c:pt>
                <c:pt idx="306">
                  <c:v>-4.80806309992061</c:v>
                </c:pt>
                <c:pt idx="307">
                  <c:v>-5.06260999854241</c:v>
                </c:pt>
                <c:pt idx="308">
                  <c:v>-5.31471353449155</c:v>
                </c:pt>
                <c:pt idx="309">
                  <c:v>-5.56441991159169</c:v>
                </c:pt>
                <c:pt idx="310">
                  <c:v>-5.81177404075581</c:v>
                </c:pt>
                <c:pt idx="311">
                  <c:v>-6.05681958769297</c:v>
                </c:pt>
                <c:pt idx="312">
                  <c:v>-6.29959901843313</c:v>
                </c:pt>
                <c:pt idx="313">
                  <c:v>-6.54015364278925</c:v>
                </c:pt>
                <c:pt idx="314">
                  <c:v>-6.77852365586809</c:v>
                </c:pt>
                <c:pt idx="315">
                  <c:v>-7.01474817773426</c:v>
                </c:pt>
                <c:pt idx="316">
                  <c:v>-7.24886529132544</c:v>
                </c:pt>
                <c:pt idx="317">
                  <c:v>-7.48091207871085</c:v>
                </c:pt>
                <c:pt idx="318">
                  <c:v>-7.7109246557791</c:v>
                </c:pt>
                <c:pt idx="319">
                  <c:v>-7.93893820543676</c:v>
                </c:pt>
                <c:pt idx="320">
                  <c:v>-8.16498700939365</c:v>
                </c:pt>
                <c:pt idx="321">
                  <c:v>-8.38910447860668</c:v>
                </c:pt>
                <c:pt idx="322">
                  <c:v>-8.61132318244977</c:v>
                </c:pt>
                <c:pt idx="323">
                  <c:v>-8.83167487667316</c:v>
                </c:pt>
                <c:pt idx="324">
                  <c:v>-9.05019053021228</c:v>
                </c:pt>
                <c:pt idx="325">
                  <c:v>-9.26690035090227</c:v>
                </c:pt>
                <c:pt idx="326">
                  <c:v>-9.48183381015162</c:v>
                </c:pt>
                <c:pt idx="327">
                  <c:v>-9.69501966662497</c:v>
                </c:pt>
                <c:pt idx="328">
                  <c:v>-9.90648598898262</c:v>
                </c:pt>
                <c:pt idx="329">
                  <c:v>-10.1162601777213</c:v>
                </c:pt>
                <c:pt idx="330">
                  <c:v>-10.3243689861585</c:v>
                </c:pt>
                <c:pt idx="331">
                  <c:v>-10.5308385406011</c:v>
                </c:pt>
                <c:pt idx="332">
                  <c:v>-10.7356943597346</c:v>
                </c:pt>
                <c:pt idx="333">
                  <c:v>-10.9389613732701</c:v>
                </c:pt>
                <c:pt idx="334">
                  <c:v>-11.1406639398826</c:v>
                </c:pt>
                <c:pt idx="335">
                  <c:v>-11.3408258644721</c:v>
                </c:pt>
                <c:pt idx="336">
                  <c:v>-11.5394704147789</c:v>
                </c:pt>
                <c:pt idx="337">
                  <c:v>-11.7366203373809</c:v>
                </c:pt>
                <c:pt idx="338">
                  <c:v>-11.9322978731007</c:v>
                </c:pt>
                <c:pt idx="339">
                  <c:v>-12.1265247718492</c:v>
                </c:pt>
                <c:pt idx="340">
                  <c:v>-12.3193223069282</c:v>
                </c:pt>
                <c:pt idx="341">
                  <c:v>-12.5107112888183</c:v>
                </c:pt>
                <c:pt idx="342">
                  <c:v>-12.700712078471</c:v>
                </c:pt>
                <c:pt idx="343">
                  <c:v>-12.8893446001294</c:v>
                </c:pt>
                <c:pt idx="344">
                  <c:v>-13.0766283536948</c:v>
                </c:pt>
                <c:pt idx="345">
                  <c:v>-13.2625824266599</c:v>
                </c:pt>
                <c:pt idx="346">
                  <c:v>-13.4472255056259</c:v>
                </c:pt>
                <c:pt idx="347">
                  <c:v>-13.6305758874215</c:v>
                </c:pt>
                <c:pt idx="348">
                  <c:v>-13.8126514898392</c:v>
                </c:pt>
                <c:pt idx="349">
                  <c:v>-13.9934698620057</c:v>
                </c:pt>
                <c:pt idx="350">
                  <c:v>-14.1730481944006</c:v>
                </c:pt>
                <c:pt idx="351">
                  <c:v>-14.3514033285368</c:v>
                </c:pt>
                <c:pt idx="352">
                  <c:v>-14.5285517663189</c:v>
                </c:pt>
                <c:pt idx="353">
                  <c:v>-14.7045096790886</c:v>
                </c:pt>
                <c:pt idx="354">
                  <c:v>-14.8792929163731</c:v>
                </c:pt>
                <c:pt idx="355">
                  <c:v>-15.0529170143451</c:v>
                </c:pt>
                <c:pt idx="356">
                  <c:v>-15.2253972040089</c:v>
                </c:pt>
                <c:pt idx="357">
                  <c:v>-15.3967484191193</c:v>
                </c:pt>
                <c:pt idx="358">
                  <c:v>-15.566985303848</c:v>
                </c:pt>
                <c:pt idx="359">
                  <c:v>-15.736122220203</c:v>
                </c:pt>
                <c:pt idx="360">
                  <c:v>-15.9041732552135</c:v>
                </c:pt>
                <c:pt idx="361">
                  <c:v>-16.0711522278877</c:v>
                </c:pt>
                <c:pt idx="362">
                  <c:v>-16.2370726959521</c:v>
                </c:pt>
                <c:pt idx="363">
                  <c:v>-16.401947962381</c:v>
                </c:pt>
                <c:pt idx="364">
                  <c:v>-16.5657910817239</c:v>
                </c:pt>
                <c:pt idx="365">
                  <c:v>-16.7286148662371</c:v>
                </c:pt>
                <c:pt idx="366">
                  <c:v>-16.8904318918287</c:v>
                </c:pt>
                <c:pt idx="367">
                  <c:v>-17.0512545038225</c:v>
                </c:pt>
                <c:pt idx="368">
                  <c:v>-17.211094822547</c:v>
                </c:pt>
                <c:pt idx="369">
                  <c:v>-17.3699647487569</c:v>
                </c:pt>
                <c:pt idx="370">
                  <c:v>-17.5278759688927</c:v>
                </c:pt>
                <c:pt idx="371">
                  <c:v>-17.6848399601838</c:v>
                </c:pt>
                <c:pt idx="372">
                  <c:v>-17.8408679956006</c:v>
                </c:pt>
                <c:pt idx="373">
                  <c:v>-17.9959711486624</c:v>
                </c:pt>
                <c:pt idx="374">
                  <c:v>-18.150160298103</c:v>
                </c:pt>
                <c:pt idx="375">
                  <c:v>-18.3034461324032</c:v>
                </c:pt>
                <c:pt idx="376">
                  <c:v>-18.4558391541904</c:v>
                </c:pt>
                <c:pt idx="377">
                  <c:v>-18.6073496845133</c:v>
                </c:pt>
                <c:pt idx="378">
                  <c:v>-18.7579878669944</c:v>
                </c:pt>
                <c:pt idx="379">
                  <c:v>-18.907763671864</c:v>
                </c:pt>
                <c:pt idx="380">
                  <c:v>-19.0566868998817</c:v>
                </c:pt>
                <c:pt idx="381">
                  <c:v>-19.2047671861463</c:v>
                </c:pt>
                <c:pt idx="382">
                  <c:v>-19.352014003801</c:v>
                </c:pt>
                <c:pt idx="383">
                  <c:v>-19.4984366676343</c:v>
                </c:pt>
                <c:pt idx="384">
                  <c:v>-19.6440443375829</c:v>
                </c:pt>
                <c:pt idx="385">
                  <c:v>-19.7888460221376</c:v>
                </c:pt>
                <c:pt idx="386">
                  <c:v>-19.9328505816563</c:v>
                </c:pt>
                <c:pt idx="387">
                  <c:v>-20.0760667315875</c:v>
                </c:pt>
                <c:pt idx="388">
                  <c:v>-20.2185030456063</c:v>
                </c:pt>
                <c:pt idx="389">
                  <c:v>-20.3601679586666</c:v>
                </c:pt>
                <c:pt idx="390">
                  <c:v>-20.5010697699712</c:v>
                </c:pt>
                <c:pt idx="391">
                  <c:v>-20.6412166458635</c:v>
                </c:pt>
                <c:pt idx="392">
                  <c:v>-20.7806166226425</c:v>
                </c:pt>
                <c:pt idx="393">
                  <c:v>-20.9192776093039</c:v>
                </c:pt>
                <c:pt idx="394">
                  <c:v>-21.0572073902091</c:v>
                </c:pt>
                <c:pt idx="395">
                  <c:v>-21.1944136276853</c:v>
                </c:pt>
                <c:pt idx="396">
                  <c:v>-21.3309038645578</c:v>
                </c:pt>
                <c:pt idx="397">
                  <c:v>-21.4666855266175</c:v>
                </c:pt>
                <c:pt idx="398">
                  <c:v>-21.6017659250247</c:v>
                </c:pt>
                <c:pt idx="399">
                  <c:v>-21.7361522586518</c:v>
                </c:pt>
                <c:pt idx="400">
                  <c:v>-21.8698516163669</c:v>
                </c:pt>
                <c:pt idx="401">
                  <c:v>-22.0028709792589</c:v>
                </c:pt>
                <c:pt idx="402">
                  <c:v>-22.1352172228076</c:v>
                </c:pt>
                <c:pt idx="403">
                  <c:v>-22.2668971189992</c:v>
                </c:pt>
                <c:pt idx="404">
                  <c:v>-22.3979173383889</c:v>
                </c:pt>
                <c:pt idx="405">
                  <c:v>-22.5282844521129</c:v>
                </c:pt>
                <c:pt idx="406">
                  <c:v>-22.6580049338507</c:v>
                </c:pt>
                <c:pt idx="407">
                  <c:v>-22.787085161739</c:v>
                </c:pt>
                <c:pt idx="408">
                  <c:v>-22.9155314202396</c:v>
                </c:pt>
                <c:pt idx="409">
                  <c:v>-23.043349901961</c:v>
                </c:pt>
                <c:pt idx="410">
                  <c:v>-23.170546709437</c:v>
                </c:pt>
                <c:pt idx="411">
                  <c:v>-23.297127856862</c:v>
                </c:pt>
                <c:pt idx="412">
                  <c:v>-23.4230992717844</c:v>
                </c:pt>
                <c:pt idx="413">
                  <c:v>-23.5484667967608</c:v>
                </c:pt>
                <c:pt idx="414">
                  <c:v>-23.6732361909698</c:v>
                </c:pt>
                <c:pt idx="415">
                  <c:v>-23.7974131317883</c:v>
                </c:pt>
                <c:pt idx="416">
                  <c:v>-23.9210032163309</c:v>
                </c:pt>
                <c:pt idx="417">
                  <c:v>-24.0440119629531</c:v>
                </c:pt>
                <c:pt idx="418">
                  <c:v>-24.1664448127193</c:v>
                </c:pt>
                <c:pt idx="419">
                  <c:v>-24.2883071308374</c:v>
                </c:pt>
                <c:pt idx="420">
                  <c:v>-24.4096042080598</c:v>
                </c:pt>
                <c:pt idx="421">
                  <c:v>-24.5303412620524</c:v>
                </c:pt>
                <c:pt idx="422">
                  <c:v>-24.6505234387326</c:v>
                </c:pt>
                <c:pt idx="423">
                  <c:v>-24.7701558135763</c:v>
                </c:pt>
                <c:pt idx="424">
                  <c:v>-24.8892433928958</c:v>
                </c:pt>
                <c:pt idx="425">
                  <c:v>-25.0077911150891</c:v>
                </c:pt>
                <c:pt idx="426">
                  <c:v>-25.12580385186</c:v>
                </c:pt>
                <c:pt idx="427">
                  <c:v>-25.2432864094125</c:v>
                </c:pt>
                <c:pt idx="428">
                  <c:v>-25.3602435296176</c:v>
                </c:pt>
                <c:pt idx="429">
                  <c:v>-25.4766798911546</c:v>
                </c:pt>
                <c:pt idx="430">
                  <c:v>-25.5926001106271</c:v>
                </c:pt>
                <c:pt idx="431">
                  <c:v>-25.7080087436547</c:v>
                </c:pt>
                <c:pt idx="432">
                  <c:v>-25.8229102859408</c:v>
                </c:pt>
                <c:pt idx="433">
                  <c:v>-25.9373091743169</c:v>
                </c:pt>
                <c:pt idx="434">
                  <c:v>-26.0512097877648</c:v>
                </c:pt>
                <c:pt idx="435">
                  <c:v>-26.1646164484161</c:v>
                </c:pt>
                <c:pt idx="436">
                  <c:v>-26.2775334225309</c:v>
                </c:pt>
                <c:pt idx="437">
                  <c:v>-26.3899649214548</c:v>
                </c:pt>
                <c:pt idx="438">
                  <c:v>-26.5019151025564</c:v>
                </c:pt>
                <c:pt idx="439">
                  <c:v>-26.6133880701441</c:v>
                </c:pt>
                <c:pt idx="440">
                  <c:v>-26.7243878763641</c:v>
                </c:pt>
                <c:pt idx="441">
                  <c:v>-26.8349185220793</c:v>
                </c:pt>
                <c:pt idx="442">
                  <c:v>-26.9449839577296</c:v>
                </c:pt>
                <c:pt idx="443">
                  <c:v>-27.0545880841747</c:v>
                </c:pt>
                <c:pt idx="444">
                  <c:v>-27.163734753519</c:v>
                </c:pt>
                <c:pt idx="445">
                  <c:v>-27.2724277699198</c:v>
                </c:pt>
                <c:pt idx="446">
                  <c:v>-27.3806708903781</c:v>
                </c:pt>
                <c:pt idx="447">
                  <c:v>-27.4884678255143</c:v>
                </c:pt>
                <c:pt idx="448">
                  <c:v>-27.5958222403271</c:v>
                </c:pt>
                <c:pt idx="449">
                  <c:v>-27.7027377549376</c:v>
                </c:pt>
                <c:pt idx="450">
                  <c:v>-27.8092179453176</c:v>
                </c:pt>
                <c:pt idx="451">
                  <c:v>-27.9152663440039</c:v>
                </c:pt>
                <c:pt idx="452">
                  <c:v>-28.020886440798</c:v>
                </c:pt>
                <c:pt idx="453">
                  <c:v>-28.1260816834515</c:v>
                </c:pt>
                <c:pt idx="454">
                  <c:v>-28.2308554783384</c:v>
                </c:pt>
                <c:pt idx="455">
                  <c:v>-28.3352111911133</c:v>
                </c:pt>
                <c:pt idx="456">
                  <c:v>-28.4391521473573</c:v>
                </c:pt>
                <c:pt idx="457">
                  <c:v>-28.5426816332108</c:v>
                </c:pt>
                <c:pt idx="458">
                  <c:v>-28.6458028959936</c:v>
                </c:pt>
                <c:pt idx="459">
                  <c:v>-28.7485191448136</c:v>
                </c:pt>
                <c:pt idx="460">
                  <c:v>-28.8508335511631</c:v>
                </c:pt>
                <c:pt idx="461">
                  <c:v>-28.9527492495036</c:v>
                </c:pt>
                <c:pt idx="462">
                  <c:v>-29.0542693378392</c:v>
                </c:pt>
                <c:pt idx="463">
                  <c:v>-29.1553968782793</c:v>
                </c:pt>
                <c:pt idx="464">
                  <c:v>-29.2561348975903</c:v>
                </c:pt>
                <c:pt idx="465">
                  <c:v>-29.3564863877367</c:v>
                </c:pt>
                <c:pt idx="466">
                  <c:v>-29.4564543064118</c:v>
                </c:pt>
                <c:pt idx="467">
                  <c:v>-29.5560415775587</c:v>
                </c:pt>
                <c:pt idx="468">
                  <c:v>-29.6552510918812</c:v>
                </c:pt>
                <c:pt idx="469">
                  <c:v>-29.7540857073449</c:v>
                </c:pt>
                <c:pt idx="470">
                  <c:v>-29.8525482496694</c:v>
                </c:pt>
                <c:pt idx="471">
                  <c:v>-29.9506415128108</c:v>
                </c:pt>
                <c:pt idx="472">
                  <c:v>-30.0483682594355</c:v>
                </c:pt>
                <c:pt idx="473">
                  <c:v>-30.145731221385</c:v>
                </c:pt>
                <c:pt idx="474">
                  <c:v>-30.2427331001326</c:v>
                </c:pt>
                <c:pt idx="475">
                  <c:v>-30.339376567231</c:v>
                </c:pt>
                <c:pt idx="476">
                  <c:v>-30.4356642647519</c:v>
                </c:pt>
                <c:pt idx="477">
                  <c:v>-30.5315988057183</c:v>
                </c:pt>
                <c:pt idx="478">
                  <c:v>-30.6271827745275</c:v>
                </c:pt>
                <c:pt idx="479">
                  <c:v>-30.7224187273679</c:v>
                </c:pt>
                <c:pt idx="480">
                  <c:v>-30.8173091926272</c:v>
                </c:pt>
                <c:pt idx="481">
                  <c:v>-30.9118566712937</c:v>
                </c:pt>
                <c:pt idx="482">
                  <c:v>-31.0060636373505</c:v>
                </c:pt>
                <c:pt idx="483">
                  <c:v>-31.0999325381622</c:v>
                </c:pt>
                <c:pt idx="484">
                  <c:v>-31.1934657948553</c:v>
                </c:pt>
                <c:pt idx="485">
                  <c:v>-31.2866658026912</c:v>
                </c:pt>
                <c:pt idx="486">
                  <c:v>-31.379534931433</c:v>
                </c:pt>
                <c:pt idx="487">
                  <c:v>-31.4720755257061</c:v>
                </c:pt>
                <c:pt idx="488">
                  <c:v>-31.5642899053515</c:v>
                </c:pt>
                <c:pt idx="489">
                  <c:v>-31.6561803657739</c:v>
                </c:pt>
                <c:pt idx="490">
                  <c:v>-31.7477491782835</c:v>
                </c:pt>
                <c:pt idx="491">
                  <c:v>-31.8389985904311</c:v>
                </c:pt>
                <c:pt idx="492">
                  <c:v>-31.9299308263385</c:v>
                </c:pt>
                <c:pt idx="493">
                  <c:v>-32.0205480870226</c:v>
                </c:pt>
                <c:pt idx="494">
                  <c:v>-32.1108525507138</c:v>
                </c:pt>
                <c:pt idx="495">
                  <c:v>-32.2008463731694</c:v>
                </c:pt>
                <c:pt idx="496">
                  <c:v>-32.2905316879809</c:v>
                </c:pt>
                <c:pt idx="497">
                  <c:v>-32.379910606877</c:v>
                </c:pt>
                <c:pt idx="498">
                  <c:v>-32.4689852200211</c:v>
                </c:pt>
                <c:pt idx="499">
                  <c:v>-32.5577575963028</c:v>
                </c:pt>
                <c:pt idx="500">
                  <c:v>-32.6462297836265</c:v>
                </c:pt>
                <c:pt idx="501">
                  <c:v>-32.7344038091929</c:v>
                </c:pt>
                <c:pt idx="502">
                  <c:v>-32.8222816797776</c:v>
                </c:pt>
                <c:pt idx="503">
                  <c:v>-32.9098653820041</c:v>
                </c:pt>
                <c:pt idx="504">
                  <c:v>-32.9971568826121</c:v>
                </c:pt>
                <c:pt idx="505">
                  <c:v>-33.0841581287223</c:v>
                </c:pt>
                <c:pt idx="506">
                  <c:v>-33.1708710480959</c:v>
                </c:pt>
                <c:pt idx="507">
                  <c:v>-33.25729754939</c:v>
                </c:pt>
                <c:pt idx="508">
                  <c:v>-33.3434395224094</c:v>
                </c:pt>
                <c:pt idx="509">
                  <c:v>-33.4292988383534</c:v>
                </c:pt>
                <c:pt idx="510">
                  <c:v>-33.5148773500593</c:v>
                </c:pt>
                <c:pt idx="511">
                  <c:v>-33.6001768922415</c:v>
                </c:pt>
                <c:pt idx="512">
                  <c:v>-33.6851992817267</c:v>
                </c:pt>
                <c:pt idx="513">
                  <c:v>-33.7699463176859</c:v>
                </c:pt>
                <c:pt idx="514">
                  <c:v>-33.8544197818618</c:v>
                </c:pt>
                <c:pt idx="515">
                  <c:v>-33.9386214387932</c:v>
                </c:pt>
                <c:pt idx="516">
                  <c:v>-34.0225530360354</c:v>
                </c:pt>
                <c:pt idx="517">
                  <c:v>-34.1062163043774</c:v>
                </c:pt>
                <c:pt idx="518">
                  <c:v>-34.1896129580555</c:v>
                </c:pt>
                <c:pt idx="519">
                  <c:v>-34.2727446949635</c:v>
                </c:pt>
                <c:pt idx="520">
                  <c:v>-34.3556131968595</c:v>
                </c:pt>
                <c:pt idx="521">
                  <c:v>-34.4382201295695</c:v>
                </c:pt>
                <c:pt idx="522">
                  <c:v>-34.5205671431881</c:v>
                </c:pt>
                <c:pt idx="523">
                  <c:v>-34.6026558722754</c:v>
                </c:pt>
                <c:pt idx="524">
                  <c:v>-34.6844879360516</c:v>
                </c:pt>
                <c:pt idx="525">
                  <c:v>-34.7660649385879</c:v>
                </c:pt>
                <c:pt idx="526">
                  <c:v>-34.8473884689948</c:v>
                </c:pt>
                <c:pt idx="527">
                  <c:v>-34.9284601016076</c:v>
                </c:pt>
                <c:pt idx="528">
                  <c:v>-35.0092813961684</c:v>
                </c:pt>
                <c:pt idx="529">
                  <c:v>-35.0898538980062</c:v>
                </c:pt>
                <c:pt idx="530">
                  <c:v>-35.1701791382137</c:v>
                </c:pt>
                <c:pt idx="531">
                  <c:v>-35.2502586338211</c:v>
                </c:pt>
                <c:pt idx="532">
                  <c:v>-35.3300938879683</c:v>
                </c:pt>
                <c:pt idx="533">
                  <c:v>-35.4096863900732</c:v>
                </c:pt>
                <c:pt idx="534">
                  <c:v>-35.4890376159984</c:v>
                </c:pt>
                <c:pt idx="535">
                  <c:v>-35.5681490282149</c:v>
                </c:pt>
                <c:pt idx="536">
                  <c:v>-35.6470220759639</c:v>
                </c:pt>
                <c:pt idx="537">
                  <c:v>-35.7256581954151</c:v>
                </c:pt>
                <c:pt idx="538">
                  <c:v>-35.8040588098238</c:v>
                </c:pt>
                <c:pt idx="539">
                  <c:v>-35.882225329685</c:v>
                </c:pt>
                <c:pt idx="540">
                  <c:v>-35.9601591528853</c:v>
                </c:pt>
                <c:pt idx="541">
                  <c:v>-36.0378616648527</c:v>
                </c:pt>
                <c:pt idx="542">
                  <c:v>-36.1153342387041</c:v>
                </c:pt>
                <c:pt idx="543">
                  <c:v>-36.1925782353904</c:v>
                </c:pt>
                <c:pt idx="544">
                  <c:v>-36.26959500384</c:v>
                </c:pt>
                <c:pt idx="545">
                  <c:v>-36.3463858810999</c:v>
                </c:pt>
                <c:pt idx="546">
                  <c:v>-36.4229521924742</c:v>
                </c:pt>
                <c:pt idx="547">
                  <c:v>-36.4992952516617</c:v>
                </c:pt>
                <c:pt idx="548">
                  <c:v>-36.5754163608905</c:v>
                </c:pt>
                <c:pt idx="549">
                  <c:v>-36.6513168110515</c:v>
                </c:pt>
                <c:pt idx="550">
                  <c:v>-36.7269978818289</c:v>
                </c:pt>
                <c:pt idx="551">
                  <c:v>-36.8024608418299</c:v>
                </c:pt>
                <c:pt idx="552">
                  <c:v>-36.877706948712</c:v>
                </c:pt>
                <c:pt idx="553">
                  <c:v>-36.9527374493086</c:v>
                </c:pt>
                <c:pt idx="554">
                  <c:v>-37.0275535797524</c:v>
                </c:pt>
                <c:pt idx="555">
                  <c:v>-37.1021565655979</c:v>
                </c:pt>
                <c:pt idx="556">
                  <c:v>-37.1765476219414</c:v>
                </c:pt>
                <c:pt idx="557">
                  <c:v>-37.2507279535395</c:v>
                </c:pt>
                <c:pt idx="558">
                  <c:v>-37.3246987549264</c:v>
                </c:pt>
                <c:pt idx="559">
                  <c:v>-37.3984612105285</c:v>
                </c:pt>
                <c:pt idx="560">
                  <c:v>-37.4720164947785</c:v>
                </c:pt>
                <c:pt idx="561">
                  <c:v>-37.5453657722274</c:v>
                </c:pt>
                <c:pt idx="562">
                  <c:v>-37.6185101976547</c:v>
                </c:pt>
                <c:pt idx="563">
                  <c:v>-37.6914509161778</c:v>
                </c:pt>
                <c:pt idx="564">
                  <c:v>-37.7641890633588</c:v>
                </c:pt>
                <c:pt idx="565">
                  <c:v>-37.836725765311</c:v>
                </c:pt>
                <c:pt idx="566">
                  <c:v>-37.909062138803</c:v>
                </c:pt>
                <c:pt idx="567">
                  <c:v>-37.981199291362</c:v>
                </c:pt>
                <c:pt idx="568">
                  <c:v>-38.0531383213751</c:v>
                </c:pt>
                <c:pt idx="569">
                  <c:v>-38.1248803181898</c:v>
                </c:pt>
                <c:pt idx="570">
                  <c:v>-38.1964263622128</c:v>
                </c:pt>
                <c:pt idx="571">
                  <c:v>-38.2677775250074</c:v>
                </c:pt>
                <c:pt idx="572">
                  <c:v>-38.3389348693898</c:v>
                </c:pt>
                <c:pt idx="573">
                  <c:v>-38.4098994495239</c:v>
                </c:pt>
                <c:pt idx="574">
                  <c:v>-38.4806723110148</c:v>
                </c:pt>
                <c:pt idx="575">
                  <c:v>-38.5512544910014</c:v>
                </c:pt>
                <c:pt idx="576">
                  <c:v>-38.6216470182474</c:v>
                </c:pt>
                <c:pt idx="577">
                  <c:v>-38.691850913231</c:v>
                </c:pt>
                <c:pt idx="578">
                  <c:v>-38.7618671882338</c:v>
                </c:pt>
                <c:pt idx="579">
                  <c:v>-38.831696847428</c:v>
                </c:pt>
                <c:pt idx="580">
                  <c:v>-38.9013408869632</c:v>
                </c:pt>
                <c:pt idx="581">
                  <c:v>-38.9708002950511</c:v>
                </c:pt>
                <c:pt idx="582">
                  <c:v>-39.0400760520498</c:v>
                </c:pt>
                <c:pt idx="583">
                  <c:v>-39.1091691305467</c:v>
                </c:pt>
                <c:pt idx="584">
                  <c:v>-39.1780804954403</c:v>
                </c:pt>
                <c:pt idx="585">
                  <c:v>-39.2468111040212</c:v>
                </c:pt>
                <c:pt idx="586">
                  <c:v>-39.3153619060513</c:v>
                </c:pt>
                <c:pt idx="587">
                  <c:v>-39.3837338438433</c:v>
                </c:pt>
                <c:pt idx="588">
                  <c:v>-39.4519278523374</c:v>
                </c:pt>
                <c:pt idx="589">
                  <c:v>-39.5199448591789</c:v>
                </c:pt>
                <c:pt idx="590">
                  <c:v>-39.5877857847931</c:v>
                </c:pt>
                <c:pt idx="591">
                  <c:v>-39.6554515424603</c:v>
                </c:pt>
                <c:pt idx="592">
                  <c:v>-39.7229430383896</c:v>
                </c:pt>
                <c:pt idx="593">
                  <c:v>-39.7902611717914</c:v>
                </c:pt>
                <c:pt idx="594">
                  <c:v>-39.8574068349496</c:v>
                </c:pt>
                <c:pt idx="595">
                  <c:v>-39.9243809132921</c:v>
                </c:pt>
                <c:pt idx="596">
                  <c:v>-39.9911842854611</c:v>
                </c:pt>
                <c:pt idx="597">
                  <c:v>-40.057817823382</c:v>
                </c:pt>
                <c:pt idx="598">
                  <c:v>-40.1242823923321</c:v>
                </c:pt>
                <c:pt idx="599">
                  <c:v>-40.1905788510073</c:v>
                </c:pt>
                <c:pt idx="600">
                  <c:v>-40.2567080515892</c:v>
                </c:pt>
                <c:pt idx="601">
                  <c:v>-40.3226708398104</c:v>
                </c:pt>
                <c:pt idx="602">
                  <c:v>-40.3884680550198</c:v>
                </c:pt>
                <c:pt idx="603">
                  <c:v>-40.454100530246</c:v>
                </c:pt>
                <c:pt idx="604">
                  <c:v>-40.5195690922614</c:v>
                </c:pt>
                <c:pt idx="605">
                  <c:v>-40.5848745616438</c:v>
                </c:pt>
                <c:pt idx="606">
                  <c:v>-43.6587030122422</c:v>
                </c:pt>
                <c:pt idx="607">
                  <c:v>-46.4100213782112</c:v>
                </c:pt>
                <c:pt idx="608">
                  <c:v>-48.9004798580595</c:v>
                </c:pt>
                <c:pt idx="609">
                  <c:v>-51.1756189919891</c:v>
                </c:pt>
                <c:pt idx="610">
                  <c:v>-53.2700336973766</c:v>
                </c:pt>
                <c:pt idx="611">
                  <c:v>-55.2106211147739</c:v>
                </c:pt>
                <c:pt idx="612">
                  <c:v>-57.018706726001</c:v>
                </c:pt>
                <c:pt idx="613">
                  <c:v>-58.7114836907237</c:v>
                </c:pt>
                <c:pt idx="614">
                  <c:v>-60.3030155034985</c:v>
                </c:pt>
                <c:pt idx="615">
                  <c:v>-61.8049518805443</c:v>
                </c:pt>
                <c:pt idx="616">
                  <c:v>-63.2270509873224</c:v>
                </c:pt>
                <c:pt idx="617">
                  <c:v>-64.5775676539371</c:v>
                </c:pt>
                <c:pt idx="618">
                  <c:v>-65.0993366574725</c:v>
                </c:pt>
                <c:pt idx="619">
                  <c:v>-65.6111947975012</c:v>
                </c:pt>
                <c:pt idx="620">
                  <c:v>-66.1135231579871</c:v>
                </c:pt>
                <c:pt idx="621">
                  <c:v>-66.6066814247935</c:v>
                </c:pt>
                <c:pt idx="622">
                  <c:v>-67.0910094553879</c:v>
                </c:pt>
                <c:pt idx="623">
                  <c:v>-67.5668287071865</c:v>
                </c:pt>
                <c:pt idx="624">
                  <c:v>-68.0344435395442</c:v>
                </c:pt>
                <c:pt idx="625">
                  <c:v>-68.4941424025722</c:v>
                </c:pt>
                <c:pt idx="626">
                  <c:v>-68.9461989243847</c:v>
                </c:pt>
                <c:pt idx="627">
                  <c:v>-69.3908729070171</c:v>
                </c:pt>
                <c:pt idx="628">
                  <c:v>-69.8284112400665</c:v>
                </c:pt>
                <c:pt idx="629">
                  <c:v>-70.2590487400835</c:v>
                </c:pt>
                <c:pt idx="630">
                  <c:v>-70.6830089228374</c:v>
                </c:pt>
                <c:pt idx="631">
                  <c:v>-71.1005047147984</c:v>
                </c:pt>
                <c:pt idx="632">
                  <c:v>-71.5117391094885</c:v>
                </c:pt>
                <c:pt idx="633">
                  <c:v>-71.9169057737495</c:v>
                </c:pt>
                <c:pt idx="634">
                  <c:v>-72.3161896084474</c:v>
                </c:pt>
                <c:pt idx="635">
                  <c:v>-72.7097672676601</c:v>
                </c:pt>
                <c:pt idx="636">
                  <c:v>-73.0978076399862</c:v>
                </c:pt>
                <c:pt idx="637">
                  <c:v>-73.4804722952424</c:v>
                </c:pt>
                <c:pt idx="638">
                  <c:v>-73.8579158994956</c:v>
                </c:pt>
                <c:pt idx="639">
                  <c:v>-74.2302866010866</c:v>
                </c:pt>
                <c:pt idx="640">
                  <c:v>-74.5977263900442</c:v>
                </c:pt>
                <c:pt idx="641">
                  <c:v>-74.9603714330622</c:v>
                </c:pt>
                <c:pt idx="642">
                  <c:v>-75.318352386008</c:v>
                </c:pt>
                <c:pt idx="643">
                  <c:v>-75.6717946857458</c:v>
                </c:pt>
                <c:pt idx="644">
                  <c:v>-76.0208188228981</c:v>
                </c:pt>
                <c:pt idx="645">
                  <c:v>-76.3655405970205</c:v>
                </c:pt>
                <c:pt idx="646">
                  <c:v>-76.7060713555333</c:v>
                </c:pt>
                <c:pt idx="647">
                  <c:v>-77.0425182176362</c:v>
                </c:pt>
                <c:pt idx="648">
                  <c:v>-77.3749842843245</c:v>
                </c:pt>
                <c:pt idx="649">
                  <c:v>-77.70356883553</c:v>
                </c:pt>
                <c:pt idx="650">
                  <c:v>-78.028367515323</c:v>
                </c:pt>
                <c:pt idx="651">
                  <c:v>-78.3494725060329</c:v>
                </c:pt>
                <c:pt idx="652">
                  <c:v>-78.6669726920736</c:v>
                </c:pt>
                <c:pt idx="653">
                  <c:v>-78.9809538141971</c:v>
                </c:pt>
                <c:pt idx="654">
                  <c:v>-79.2914986148376</c:v>
                </c:pt>
                <c:pt idx="655">
                  <c:v>-79.5986869751583</c:v>
                </c:pt>
                <c:pt idx="656">
                  <c:v>-79.9025960443622</c:v>
                </c:pt>
                <c:pt idx="657">
                  <c:v>-80.2033003617862</c:v>
                </c:pt>
                <c:pt idx="658">
                  <c:v>-80.5008719722559</c:v>
                </c:pt>
                <c:pt idx="659">
                  <c:v>-80.7953805351436</c:v>
                </c:pt>
                <c:pt idx="660">
                  <c:v>-81.086893427538</c:v>
                </c:pt>
                <c:pt idx="661">
                  <c:v>-81.3754758419019</c:v>
                </c:pt>
                <c:pt idx="662">
                  <c:v>-81.6611908785697</c:v>
                </c:pt>
                <c:pt idx="663">
                  <c:v>-81.9440996334076</c:v>
                </c:pt>
                <c:pt idx="664">
                  <c:v>-82.2242612809369</c:v>
                </c:pt>
                <c:pt idx="665">
                  <c:v>-82.5017331532004</c:v>
                </c:pt>
                <c:pt idx="666">
                  <c:v>-82.7765708146308</c:v>
                </c:pt>
                <c:pt idx="667">
                  <c:v>-83.0488281331609</c:v>
                </c:pt>
              </c:numCache>
            </c:numRef>
          </c:yVal>
        </c:ser>
        <c:axId val="19693"/>
        <c:axId val="15440"/>
      </c:scatterChart>
      <c:scatterChart>
        <c:scatterStyle val="lineMarker"/>
        <c:varyColors val="0"/>
        <c:ser>
          <c:idx val="0"/>
          <c:order val="0"/>
          <c:tx>
            <c:strRef>
              <c:f>"PhaseMargin"</c:f>
              <c:strCache>
                <c:ptCount val="1"/>
                <c:pt idx="0">
                  <c:v>PhaseMargin</c:v>
                </c:pt>
              </c:strCache>
            </c:strRef>
          </c:tx>
          <c:spPr>
            <a:solidFill>
              <a:srgbClr val="000000"/>
            </a:solidFill>
            <a:ln w="12600">
              <a:solidFill>
                <a:srgbClr val="000000"/>
              </a:solidFill>
              <a:custDash/>
              <a:round/>
            </a:ln>
          </c:spPr>
          <c:marker>
            <c:size val="7"/>
          </c:marker>
          <c:xVal>
            <c:numRef>
              <c:f>'Bode Plots Calculations'!$A$9:$A$676</c:f>
              <c:numCache>
                <c:formatCode>General</c:formatCode>
                <c:ptCount val="668"/>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1500</c:v>
                </c:pt>
                <c:pt idx="29">
                  <c:v>2000</c:v>
                </c:pt>
                <c:pt idx="30">
                  <c:v>2500</c:v>
                </c:pt>
                <c:pt idx="31">
                  <c:v>3000</c:v>
                </c:pt>
                <c:pt idx="32">
                  <c:v>3500</c:v>
                </c:pt>
                <c:pt idx="33">
                  <c:v>4000</c:v>
                </c:pt>
                <c:pt idx="34">
                  <c:v>4500</c:v>
                </c:pt>
                <c:pt idx="35">
                  <c:v>5000</c:v>
                </c:pt>
                <c:pt idx="36">
                  <c:v>5500</c:v>
                </c:pt>
                <c:pt idx="37">
                  <c:v>6000</c:v>
                </c:pt>
                <c:pt idx="38">
                  <c:v>6500</c:v>
                </c:pt>
                <c:pt idx="39">
                  <c:v>7000</c:v>
                </c:pt>
                <c:pt idx="40">
                  <c:v>7500</c:v>
                </c:pt>
                <c:pt idx="41">
                  <c:v>8000</c:v>
                </c:pt>
                <c:pt idx="42">
                  <c:v>8500</c:v>
                </c:pt>
                <c:pt idx="43">
                  <c:v>9000</c:v>
                </c:pt>
                <c:pt idx="44">
                  <c:v>9500</c:v>
                </c:pt>
                <c:pt idx="45">
                  <c:v>10000</c:v>
                </c:pt>
                <c:pt idx="46">
                  <c:v>10500</c:v>
                </c:pt>
                <c:pt idx="47">
                  <c:v>11000</c:v>
                </c:pt>
                <c:pt idx="48">
                  <c:v>11500</c:v>
                </c:pt>
                <c:pt idx="49">
                  <c:v>12000</c:v>
                </c:pt>
                <c:pt idx="50">
                  <c:v>12500</c:v>
                </c:pt>
                <c:pt idx="51">
                  <c:v>13000</c:v>
                </c:pt>
                <c:pt idx="52">
                  <c:v>13500</c:v>
                </c:pt>
                <c:pt idx="53">
                  <c:v>14000</c:v>
                </c:pt>
                <c:pt idx="54">
                  <c:v>14500</c:v>
                </c:pt>
                <c:pt idx="55">
                  <c:v>15000</c:v>
                </c:pt>
                <c:pt idx="56">
                  <c:v>15500</c:v>
                </c:pt>
                <c:pt idx="57">
                  <c:v>16000</c:v>
                </c:pt>
                <c:pt idx="58">
                  <c:v>16500</c:v>
                </c:pt>
                <c:pt idx="59">
                  <c:v>17000</c:v>
                </c:pt>
                <c:pt idx="60">
                  <c:v>17500</c:v>
                </c:pt>
                <c:pt idx="61">
                  <c:v>18000</c:v>
                </c:pt>
                <c:pt idx="62">
                  <c:v>18500</c:v>
                </c:pt>
                <c:pt idx="63">
                  <c:v>19000</c:v>
                </c:pt>
                <c:pt idx="64">
                  <c:v>19500</c:v>
                </c:pt>
                <c:pt idx="65">
                  <c:v>20000</c:v>
                </c:pt>
                <c:pt idx="66">
                  <c:v>20500</c:v>
                </c:pt>
                <c:pt idx="67">
                  <c:v>21000</c:v>
                </c:pt>
                <c:pt idx="68">
                  <c:v>21500</c:v>
                </c:pt>
                <c:pt idx="69">
                  <c:v>22000</c:v>
                </c:pt>
                <c:pt idx="70">
                  <c:v>22500</c:v>
                </c:pt>
                <c:pt idx="71">
                  <c:v>23000</c:v>
                </c:pt>
                <c:pt idx="72">
                  <c:v>23500</c:v>
                </c:pt>
                <c:pt idx="73">
                  <c:v>24000</c:v>
                </c:pt>
                <c:pt idx="74">
                  <c:v>24500</c:v>
                </c:pt>
                <c:pt idx="75">
                  <c:v>25000</c:v>
                </c:pt>
                <c:pt idx="76">
                  <c:v>25500</c:v>
                </c:pt>
                <c:pt idx="77">
                  <c:v>26000</c:v>
                </c:pt>
                <c:pt idx="78">
                  <c:v>26500</c:v>
                </c:pt>
                <c:pt idx="79">
                  <c:v>27000</c:v>
                </c:pt>
                <c:pt idx="80">
                  <c:v>27500</c:v>
                </c:pt>
                <c:pt idx="81">
                  <c:v>28000</c:v>
                </c:pt>
                <c:pt idx="82">
                  <c:v>28500</c:v>
                </c:pt>
                <c:pt idx="83">
                  <c:v>29000</c:v>
                </c:pt>
                <c:pt idx="84">
                  <c:v>29500</c:v>
                </c:pt>
                <c:pt idx="85">
                  <c:v>30000</c:v>
                </c:pt>
                <c:pt idx="86">
                  <c:v>30500</c:v>
                </c:pt>
                <c:pt idx="87">
                  <c:v>31000</c:v>
                </c:pt>
                <c:pt idx="88">
                  <c:v>31500</c:v>
                </c:pt>
                <c:pt idx="89">
                  <c:v>32000</c:v>
                </c:pt>
                <c:pt idx="90">
                  <c:v>32500</c:v>
                </c:pt>
                <c:pt idx="91">
                  <c:v>33000</c:v>
                </c:pt>
                <c:pt idx="92">
                  <c:v>33500</c:v>
                </c:pt>
                <c:pt idx="93">
                  <c:v>34000</c:v>
                </c:pt>
                <c:pt idx="94">
                  <c:v>34500</c:v>
                </c:pt>
                <c:pt idx="95">
                  <c:v>35000</c:v>
                </c:pt>
                <c:pt idx="96">
                  <c:v>35500</c:v>
                </c:pt>
                <c:pt idx="97">
                  <c:v>36000</c:v>
                </c:pt>
                <c:pt idx="98">
                  <c:v>36500</c:v>
                </c:pt>
                <c:pt idx="99">
                  <c:v>37000</c:v>
                </c:pt>
                <c:pt idx="100">
                  <c:v>37500</c:v>
                </c:pt>
                <c:pt idx="101">
                  <c:v>38000</c:v>
                </c:pt>
                <c:pt idx="102">
                  <c:v>38500</c:v>
                </c:pt>
                <c:pt idx="103">
                  <c:v>39000</c:v>
                </c:pt>
                <c:pt idx="104">
                  <c:v>39500</c:v>
                </c:pt>
                <c:pt idx="105">
                  <c:v>40000</c:v>
                </c:pt>
                <c:pt idx="106">
                  <c:v>40500</c:v>
                </c:pt>
                <c:pt idx="107">
                  <c:v>41000</c:v>
                </c:pt>
                <c:pt idx="108">
                  <c:v>41500</c:v>
                </c:pt>
                <c:pt idx="109">
                  <c:v>42000</c:v>
                </c:pt>
                <c:pt idx="110">
                  <c:v>42500</c:v>
                </c:pt>
                <c:pt idx="111">
                  <c:v>43000</c:v>
                </c:pt>
                <c:pt idx="112">
                  <c:v>43500</c:v>
                </c:pt>
                <c:pt idx="113">
                  <c:v>44000</c:v>
                </c:pt>
                <c:pt idx="114">
                  <c:v>44500</c:v>
                </c:pt>
                <c:pt idx="115">
                  <c:v>45000</c:v>
                </c:pt>
                <c:pt idx="116">
                  <c:v>45500</c:v>
                </c:pt>
                <c:pt idx="117">
                  <c:v>46000</c:v>
                </c:pt>
                <c:pt idx="118">
                  <c:v>46500</c:v>
                </c:pt>
                <c:pt idx="119">
                  <c:v>47000</c:v>
                </c:pt>
                <c:pt idx="120">
                  <c:v>47500</c:v>
                </c:pt>
                <c:pt idx="121">
                  <c:v>48000</c:v>
                </c:pt>
                <c:pt idx="122">
                  <c:v>48500</c:v>
                </c:pt>
                <c:pt idx="123">
                  <c:v>49000</c:v>
                </c:pt>
                <c:pt idx="124">
                  <c:v>49500</c:v>
                </c:pt>
                <c:pt idx="125">
                  <c:v>50000</c:v>
                </c:pt>
                <c:pt idx="126">
                  <c:v>50500</c:v>
                </c:pt>
                <c:pt idx="127">
                  <c:v>51000</c:v>
                </c:pt>
                <c:pt idx="128">
                  <c:v>51500</c:v>
                </c:pt>
                <c:pt idx="129">
                  <c:v>52000</c:v>
                </c:pt>
                <c:pt idx="130">
                  <c:v>52500</c:v>
                </c:pt>
                <c:pt idx="131">
                  <c:v>53000</c:v>
                </c:pt>
                <c:pt idx="132">
                  <c:v>53500</c:v>
                </c:pt>
                <c:pt idx="133">
                  <c:v>54000</c:v>
                </c:pt>
                <c:pt idx="134">
                  <c:v>54500</c:v>
                </c:pt>
                <c:pt idx="135">
                  <c:v>55000</c:v>
                </c:pt>
                <c:pt idx="136">
                  <c:v>55500</c:v>
                </c:pt>
                <c:pt idx="137">
                  <c:v>56000</c:v>
                </c:pt>
                <c:pt idx="138">
                  <c:v>56500</c:v>
                </c:pt>
                <c:pt idx="139">
                  <c:v>57000</c:v>
                </c:pt>
                <c:pt idx="140">
                  <c:v>57500</c:v>
                </c:pt>
                <c:pt idx="141">
                  <c:v>58000</c:v>
                </c:pt>
                <c:pt idx="142">
                  <c:v>58500</c:v>
                </c:pt>
                <c:pt idx="143">
                  <c:v>59000</c:v>
                </c:pt>
                <c:pt idx="144">
                  <c:v>59500</c:v>
                </c:pt>
                <c:pt idx="145">
                  <c:v>60000</c:v>
                </c:pt>
                <c:pt idx="146">
                  <c:v>60500</c:v>
                </c:pt>
                <c:pt idx="147">
                  <c:v>61000</c:v>
                </c:pt>
                <c:pt idx="148">
                  <c:v>61500</c:v>
                </c:pt>
                <c:pt idx="149">
                  <c:v>62000</c:v>
                </c:pt>
                <c:pt idx="150">
                  <c:v>62500</c:v>
                </c:pt>
                <c:pt idx="151">
                  <c:v>63000</c:v>
                </c:pt>
                <c:pt idx="152">
                  <c:v>63500</c:v>
                </c:pt>
                <c:pt idx="153">
                  <c:v>64000</c:v>
                </c:pt>
                <c:pt idx="154">
                  <c:v>64500</c:v>
                </c:pt>
                <c:pt idx="155">
                  <c:v>65000</c:v>
                </c:pt>
                <c:pt idx="156">
                  <c:v>65500</c:v>
                </c:pt>
                <c:pt idx="157">
                  <c:v>66000</c:v>
                </c:pt>
                <c:pt idx="158">
                  <c:v>66500</c:v>
                </c:pt>
                <c:pt idx="159">
                  <c:v>67000</c:v>
                </c:pt>
                <c:pt idx="160">
                  <c:v>67500</c:v>
                </c:pt>
                <c:pt idx="161">
                  <c:v>68000</c:v>
                </c:pt>
                <c:pt idx="162">
                  <c:v>68500</c:v>
                </c:pt>
                <c:pt idx="163">
                  <c:v>69000</c:v>
                </c:pt>
                <c:pt idx="164">
                  <c:v>69500</c:v>
                </c:pt>
                <c:pt idx="165">
                  <c:v>70000</c:v>
                </c:pt>
                <c:pt idx="166">
                  <c:v>70500</c:v>
                </c:pt>
                <c:pt idx="167">
                  <c:v>71000</c:v>
                </c:pt>
                <c:pt idx="168">
                  <c:v>71500</c:v>
                </c:pt>
                <c:pt idx="169">
                  <c:v>72000</c:v>
                </c:pt>
                <c:pt idx="170">
                  <c:v>72500</c:v>
                </c:pt>
                <c:pt idx="171">
                  <c:v>73000</c:v>
                </c:pt>
                <c:pt idx="172">
                  <c:v>73500</c:v>
                </c:pt>
                <c:pt idx="173">
                  <c:v>74000</c:v>
                </c:pt>
                <c:pt idx="174">
                  <c:v>74500</c:v>
                </c:pt>
                <c:pt idx="175">
                  <c:v>75000</c:v>
                </c:pt>
                <c:pt idx="176">
                  <c:v>75500</c:v>
                </c:pt>
                <c:pt idx="177">
                  <c:v>76000</c:v>
                </c:pt>
                <c:pt idx="178">
                  <c:v>76500</c:v>
                </c:pt>
                <c:pt idx="179">
                  <c:v>77000</c:v>
                </c:pt>
                <c:pt idx="180">
                  <c:v>77500</c:v>
                </c:pt>
                <c:pt idx="181">
                  <c:v>78000</c:v>
                </c:pt>
                <c:pt idx="182">
                  <c:v>78500</c:v>
                </c:pt>
                <c:pt idx="183">
                  <c:v>79000</c:v>
                </c:pt>
                <c:pt idx="184">
                  <c:v>79500</c:v>
                </c:pt>
                <c:pt idx="185">
                  <c:v>80000</c:v>
                </c:pt>
                <c:pt idx="186">
                  <c:v>80500</c:v>
                </c:pt>
                <c:pt idx="187">
                  <c:v>81000</c:v>
                </c:pt>
                <c:pt idx="188">
                  <c:v>81500</c:v>
                </c:pt>
                <c:pt idx="189">
                  <c:v>82000</c:v>
                </c:pt>
                <c:pt idx="190">
                  <c:v>82500</c:v>
                </c:pt>
                <c:pt idx="191">
                  <c:v>83000</c:v>
                </c:pt>
                <c:pt idx="192">
                  <c:v>83500</c:v>
                </c:pt>
                <c:pt idx="193">
                  <c:v>84000</c:v>
                </c:pt>
                <c:pt idx="194">
                  <c:v>84500</c:v>
                </c:pt>
                <c:pt idx="195">
                  <c:v>85000</c:v>
                </c:pt>
                <c:pt idx="196">
                  <c:v>85500</c:v>
                </c:pt>
                <c:pt idx="197">
                  <c:v>86000</c:v>
                </c:pt>
                <c:pt idx="198">
                  <c:v>86500</c:v>
                </c:pt>
                <c:pt idx="199">
                  <c:v>87000</c:v>
                </c:pt>
                <c:pt idx="200">
                  <c:v>87500</c:v>
                </c:pt>
                <c:pt idx="201">
                  <c:v>88000</c:v>
                </c:pt>
                <c:pt idx="202">
                  <c:v>88500</c:v>
                </c:pt>
                <c:pt idx="203">
                  <c:v>89000</c:v>
                </c:pt>
                <c:pt idx="204">
                  <c:v>89500</c:v>
                </c:pt>
                <c:pt idx="205">
                  <c:v>90000</c:v>
                </c:pt>
                <c:pt idx="206">
                  <c:v>90500</c:v>
                </c:pt>
                <c:pt idx="207">
                  <c:v>91000</c:v>
                </c:pt>
                <c:pt idx="208">
                  <c:v>91500</c:v>
                </c:pt>
                <c:pt idx="209">
                  <c:v>92000</c:v>
                </c:pt>
                <c:pt idx="210">
                  <c:v>92500</c:v>
                </c:pt>
                <c:pt idx="211">
                  <c:v>93000</c:v>
                </c:pt>
                <c:pt idx="212">
                  <c:v>93500</c:v>
                </c:pt>
                <c:pt idx="213">
                  <c:v>94000</c:v>
                </c:pt>
                <c:pt idx="214">
                  <c:v>94500</c:v>
                </c:pt>
                <c:pt idx="215">
                  <c:v>95000</c:v>
                </c:pt>
                <c:pt idx="216">
                  <c:v>95500</c:v>
                </c:pt>
                <c:pt idx="217">
                  <c:v>96000</c:v>
                </c:pt>
                <c:pt idx="218">
                  <c:v>96500</c:v>
                </c:pt>
                <c:pt idx="219">
                  <c:v>97000</c:v>
                </c:pt>
                <c:pt idx="220">
                  <c:v>97500</c:v>
                </c:pt>
                <c:pt idx="221">
                  <c:v>98000</c:v>
                </c:pt>
                <c:pt idx="222">
                  <c:v>98500</c:v>
                </c:pt>
                <c:pt idx="223">
                  <c:v>99000</c:v>
                </c:pt>
                <c:pt idx="224">
                  <c:v>99500</c:v>
                </c:pt>
                <c:pt idx="225">
                  <c:v>100000</c:v>
                </c:pt>
                <c:pt idx="226">
                  <c:v>105000</c:v>
                </c:pt>
                <c:pt idx="227">
                  <c:v>110000</c:v>
                </c:pt>
                <c:pt idx="228">
                  <c:v>115000</c:v>
                </c:pt>
                <c:pt idx="229">
                  <c:v>120000</c:v>
                </c:pt>
                <c:pt idx="230">
                  <c:v>125000</c:v>
                </c:pt>
                <c:pt idx="231">
                  <c:v>130000</c:v>
                </c:pt>
                <c:pt idx="232">
                  <c:v>135000</c:v>
                </c:pt>
                <c:pt idx="233">
                  <c:v>140000</c:v>
                </c:pt>
                <c:pt idx="234">
                  <c:v>145000</c:v>
                </c:pt>
                <c:pt idx="235">
                  <c:v>150000</c:v>
                </c:pt>
                <c:pt idx="236">
                  <c:v>155000</c:v>
                </c:pt>
                <c:pt idx="237">
                  <c:v>160000</c:v>
                </c:pt>
                <c:pt idx="238">
                  <c:v>165000</c:v>
                </c:pt>
                <c:pt idx="239">
                  <c:v>170000</c:v>
                </c:pt>
                <c:pt idx="240">
                  <c:v>175000</c:v>
                </c:pt>
                <c:pt idx="241">
                  <c:v>180000</c:v>
                </c:pt>
                <c:pt idx="242">
                  <c:v>185000</c:v>
                </c:pt>
                <c:pt idx="243">
                  <c:v>190000</c:v>
                </c:pt>
                <c:pt idx="244">
                  <c:v>195000</c:v>
                </c:pt>
                <c:pt idx="245">
                  <c:v>200000</c:v>
                </c:pt>
                <c:pt idx="246">
                  <c:v>205000</c:v>
                </c:pt>
                <c:pt idx="247">
                  <c:v>210000</c:v>
                </c:pt>
                <c:pt idx="248">
                  <c:v>215000</c:v>
                </c:pt>
                <c:pt idx="249">
                  <c:v>220000</c:v>
                </c:pt>
                <c:pt idx="250">
                  <c:v>225000</c:v>
                </c:pt>
                <c:pt idx="251">
                  <c:v>230000</c:v>
                </c:pt>
                <c:pt idx="252">
                  <c:v>235000</c:v>
                </c:pt>
                <c:pt idx="253">
                  <c:v>240000</c:v>
                </c:pt>
                <c:pt idx="254">
                  <c:v>245000</c:v>
                </c:pt>
                <c:pt idx="255">
                  <c:v>250000</c:v>
                </c:pt>
                <c:pt idx="256">
                  <c:v>255000</c:v>
                </c:pt>
                <c:pt idx="257">
                  <c:v>260000</c:v>
                </c:pt>
                <c:pt idx="258">
                  <c:v>265000</c:v>
                </c:pt>
                <c:pt idx="259">
                  <c:v>270000</c:v>
                </c:pt>
                <c:pt idx="260">
                  <c:v>275000</c:v>
                </c:pt>
                <c:pt idx="261">
                  <c:v>280000</c:v>
                </c:pt>
                <c:pt idx="262">
                  <c:v>285000</c:v>
                </c:pt>
                <c:pt idx="263">
                  <c:v>290000</c:v>
                </c:pt>
                <c:pt idx="264">
                  <c:v>295000</c:v>
                </c:pt>
                <c:pt idx="265">
                  <c:v>300000</c:v>
                </c:pt>
                <c:pt idx="266">
                  <c:v>305000</c:v>
                </c:pt>
                <c:pt idx="267">
                  <c:v>310000</c:v>
                </c:pt>
                <c:pt idx="268">
                  <c:v>315000</c:v>
                </c:pt>
                <c:pt idx="269">
                  <c:v>320000</c:v>
                </c:pt>
                <c:pt idx="270">
                  <c:v>325000</c:v>
                </c:pt>
                <c:pt idx="271">
                  <c:v>330000</c:v>
                </c:pt>
                <c:pt idx="272">
                  <c:v>335000</c:v>
                </c:pt>
                <c:pt idx="273">
                  <c:v>340000</c:v>
                </c:pt>
                <c:pt idx="274">
                  <c:v>345000</c:v>
                </c:pt>
                <c:pt idx="275">
                  <c:v>350000</c:v>
                </c:pt>
                <c:pt idx="276">
                  <c:v>355000</c:v>
                </c:pt>
                <c:pt idx="277">
                  <c:v>360000</c:v>
                </c:pt>
                <c:pt idx="278">
                  <c:v>365000</c:v>
                </c:pt>
                <c:pt idx="279">
                  <c:v>370000</c:v>
                </c:pt>
                <c:pt idx="280">
                  <c:v>375000</c:v>
                </c:pt>
                <c:pt idx="281">
                  <c:v>380000</c:v>
                </c:pt>
                <c:pt idx="282">
                  <c:v>385000</c:v>
                </c:pt>
                <c:pt idx="283">
                  <c:v>390000</c:v>
                </c:pt>
                <c:pt idx="284">
                  <c:v>395000</c:v>
                </c:pt>
                <c:pt idx="285">
                  <c:v>400000</c:v>
                </c:pt>
                <c:pt idx="286">
                  <c:v>405000</c:v>
                </c:pt>
                <c:pt idx="287">
                  <c:v>410000</c:v>
                </c:pt>
                <c:pt idx="288">
                  <c:v>415000</c:v>
                </c:pt>
                <c:pt idx="289">
                  <c:v>420000</c:v>
                </c:pt>
                <c:pt idx="290">
                  <c:v>425000</c:v>
                </c:pt>
                <c:pt idx="291">
                  <c:v>430000</c:v>
                </c:pt>
                <c:pt idx="292">
                  <c:v>435000</c:v>
                </c:pt>
                <c:pt idx="293">
                  <c:v>440000</c:v>
                </c:pt>
                <c:pt idx="294">
                  <c:v>445000</c:v>
                </c:pt>
                <c:pt idx="295">
                  <c:v>450000</c:v>
                </c:pt>
                <c:pt idx="296">
                  <c:v>455000</c:v>
                </c:pt>
                <c:pt idx="297">
                  <c:v>460000</c:v>
                </c:pt>
                <c:pt idx="298">
                  <c:v>465000</c:v>
                </c:pt>
                <c:pt idx="299">
                  <c:v>470000</c:v>
                </c:pt>
                <c:pt idx="300">
                  <c:v>475000</c:v>
                </c:pt>
                <c:pt idx="301">
                  <c:v>480000</c:v>
                </c:pt>
                <c:pt idx="302">
                  <c:v>485000</c:v>
                </c:pt>
                <c:pt idx="303">
                  <c:v>490000</c:v>
                </c:pt>
                <c:pt idx="304">
                  <c:v>495000</c:v>
                </c:pt>
                <c:pt idx="305">
                  <c:v>500000</c:v>
                </c:pt>
                <c:pt idx="306">
                  <c:v>505000</c:v>
                </c:pt>
                <c:pt idx="307">
                  <c:v>510000</c:v>
                </c:pt>
                <c:pt idx="308">
                  <c:v>515000</c:v>
                </c:pt>
                <c:pt idx="309">
                  <c:v>520000</c:v>
                </c:pt>
                <c:pt idx="310">
                  <c:v>525000</c:v>
                </c:pt>
                <c:pt idx="311">
                  <c:v>530000</c:v>
                </c:pt>
                <c:pt idx="312">
                  <c:v>535000</c:v>
                </c:pt>
                <c:pt idx="313">
                  <c:v>540000</c:v>
                </c:pt>
                <c:pt idx="314">
                  <c:v>545000</c:v>
                </c:pt>
                <c:pt idx="315">
                  <c:v>550000</c:v>
                </c:pt>
                <c:pt idx="316">
                  <c:v>555000</c:v>
                </c:pt>
                <c:pt idx="317">
                  <c:v>560000</c:v>
                </c:pt>
                <c:pt idx="318">
                  <c:v>565000</c:v>
                </c:pt>
                <c:pt idx="319">
                  <c:v>570000</c:v>
                </c:pt>
                <c:pt idx="320">
                  <c:v>575000</c:v>
                </c:pt>
                <c:pt idx="321">
                  <c:v>580000</c:v>
                </c:pt>
                <c:pt idx="322">
                  <c:v>585000</c:v>
                </c:pt>
                <c:pt idx="323">
                  <c:v>590000</c:v>
                </c:pt>
                <c:pt idx="324">
                  <c:v>595000</c:v>
                </c:pt>
                <c:pt idx="325">
                  <c:v>600000</c:v>
                </c:pt>
                <c:pt idx="326">
                  <c:v>605000</c:v>
                </c:pt>
                <c:pt idx="327">
                  <c:v>610000</c:v>
                </c:pt>
                <c:pt idx="328">
                  <c:v>615000</c:v>
                </c:pt>
                <c:pt idx="329">
                  <c:v>620000</c:v>
                </c:pt>
                <c:pt idx="330">
                  <c:v>625000</c:v>
                </c:pt>
                <c:pt idx="331">
                  <c:v>630000</c:v>
                </c:pt>
                <c:pt idx="332">
                  <c:v>635000</c:v>
                </c:pt>
                <c:pt idx="333">
                  <c:v>640000</c:v>
                </c:pt>
                <c:pt idx="334">
                  <c:v>645000</c:v>
                </c:pt>
                <c:pt idx="335">
                  <c:v>650000</c:v>
                </c:pt>
                <c:pt idx="336">
                  <c:v>655000</c:v>
                </c:pt>
                <c:pt idx="337">
                  <c:v>660000</c:v>
                </c:pt>
                <c:pt idx="338">
                  <c:v>665000</c:v>
                </c:pt>
                <c:pt idx="339">
                  <c:v>670000</c:v>
                </c:pt>
                <c:pt idx="340">
                  <c:v>675000</c:v>
                </c:pt>
                <c:pt idx="341">
                  <c:v>680000</c:v>
                </c:pt>
                <c:pt idx="342">
                  <c:v>685000</c:v>
                </c:pt>
                <c:pt idx="343">
                  <c:v>690000</c:v>
                </c:pt>
                <c:pt idx="344">
                  <c:v>695000</c:v>
                </c:pt>
                <c:pt idx="345">
                  <c:v>700000</c:v>
                </c:pt>
                <c:pt idx="346">
                  <c:v>705000</c:v>
                </c:pt>
                <c:pt idx="347">
                  <c:v>710000</c:v>
                </c:pt>
                <c:pt idx="348">
                  <c:v>715000</c:v>
                </c:pt>
                <c:pt idx="349">
                  <c:v>720000</c:v>
                </c:pt>
                <c:pt idx="350">
                  <c:v>725000</c:v>
                </c:pt>
                <c:pt idx="351">
                  <c:v>730000</c:v>
                </c:pt>
                <c:pt idx="352">
                  <c:v>735000</c:v>
                </c:pt>
                <c:pt idx="353">
                  <c:v>740000</c:v>
                </c:pt>
                <c:pt idx="354">
                  <c:v>745000</c:v>
                </c:pt>
                <c:pt idx="355">
                  <c:v>750000</c:v>
                </c:pt>
                <c:pt idx="356">
                  <c:v>755000</c:v>
                </c:pt>
                <c:pt idx="357">
                  <c:v>760000</c:v>
                </c:pt>
                <c:pt idx="358">
                  <c:v>765000</c:v>
                </c:pt>
                <c:pt idx="359">
                  <c:v>770000</c:v>
                </c:pt>
                <c:pt idx="360">
                  <c:v>775000</c:v>
                </c:pt>
                <c:pt idx="361">
                  <c:v>780000</c:v>
                </c:pt>
                <c:pt idx="362">
                  <c:v>785000</c:v>
                </c:pt>
                <c:pt idx="363">
                  <c:v>790000</c:v>
                </c:pt>
                <c:pt idx="364">
                  <c:v>795000</c:v>
                </c:pt>
                <c:pt idx="365">
                  <c:v>800000</c:v>
                </c:pt>
                <c:pt idx="366">
                  <c:v>805000</c:v>
                </c:pt>
                <c:pt idx="367">
                  <c:v>810000</c:v>
                </c:pt>
                <c:pt idx="368">
                  <c:v>815000</c:v>
                </c:pt>
                <c:pt idx="369">
                  <c:v>820000</c:v>
                </c:pt>
                <c:pt idx="370">
                  <c:v>825000</c:v>
                </c:pt>
                <c:pt idx="371">
                  <c:v>830000</c:v>
                </c:pt>
                <c:pt idx="372">
                  <c:v>835000</c:v>
                </c:pt>
                <c:pt idx="373">
                  <c:v>840000</c:v>
                </c:pt>
                <c:pt idx="374">
                  <c:v>845000</c:v>
                </c:pt>
                <c:pt idx="375">
                  <c:v>850000</c:v>
                </c:pt>
                <c:pt idx="376">
                  <c:v>855000</c:v>
                </c:pt>
                <c:pt idx="377">
                  <c:v>860000</c:v>
                </c:pt>
                <c:pt idx="378">
                  <c:v>865000</c:v>
                </c:pt>
                <c:pt idx="379">
                  <c:v>870000</c:v>
                </c:pt>
                <c:pt idx="380">
                  <c:v>875000</c:v>
                </c:pt>
                <c:pt idx="381">
                  <c:v>880000</c:v>
                </c:pt>
                <c:pt idx="382">
                  <c:v>885000</c:v>
                </c:pt>
                <c:pt idx="383">
                  <c:v>890000</c:v>
                </c:pt>
                <c:pt idx="384">
                  <c:v>895000</c:v>
                </c:pt>
                <c:pt idx="385">
                  <c:v>900000</c:v>
                </c:pt>
                <c:pt idx="386">
                  <c:v>905000</c:v>
                </c:pt>
                <c:pt idx="387">
                  <c:v>910000</c:v>
                </c:pt>
                <c:pt idx="388">
                  <c:v>915000</c:v>
                </c:pt>
                <c:pt idx="389">
                  <c:v>920000</c:v>
                </c:pt>
                <c:pt idx="390">
                  <c:v>925000</c:v>
                </c:pt>
                <c:pt idx="391">
                  <c:v>930000</c:v>
                </c:pt>
                <c:pt idx="392">
                  <c:v>935000</c:v>
                </c:pt>
                <c:pt idx="393">
                  <c:v>940000</c:v>
                </c:pt>
                <c:pt idx="394">
                  <c:v>945000</c:v>
                </c:pt>
                <c:pt idx="395">
                  <c:v>950000</c:v>
                </c:pt>
                <c:pt idx="396">
                  <c:v>955000</c:v>
                </c:pt>
                <c:pt idx="397">
                  <c:v>960000</c:v>
                </c:pt>
                <c:pt idx="398">
                  <c:v>965000</c:v>
                </c:pt>
                <c:pt idx="399">
                  <c:v>970000</c:v>
                </c:pt>
                <c:pt idx="400">
                  <c:v>975000</c:v>
                </c:pt>
                <c:pt idx="401">
                  <c:v>980000</c:v>
                </c:pt>
                <c:pt idx="402">
                  <c:v>985000</c:v>
                </c:pt>
                <c:pt idx="403">
                  <c:v>990000</c:v>
                </c:pt>
                <c:pt idx="404">
                  <c:v>995000</c:v>
                </c:pt>
                <c:pt idx="405">
                  <c:v>1000000</c:v>
                </c:pt>
                <c:pt idx="406">
                  <c:v>1005000</c:v>
                </c:pt>
                <c:pt idx="407">
                  <c:v>1010000</c:v>
                </c:pt>
                <c:pt idx="408">
                  <c:v>1015000</c:v>
                </c:pt>
                <c:pt idx="409">
                  <c:v>1020000</c:v>
                </c:pt>
                <c:pt idx="410">
                  <c:v>1025000</c:v>
                </c:pt>
                <c:pt idx="411">
                  <c:v>1030000</c:v>
                </c:pt>
                <c:pt idx="412">
                  <c:v>1035000</c:v>
                </c:pt>
                <c:pt idx="413">
                  <c:v>1040000</c:v>
                </c:pt>
                <c:pt idx="414">
                  <c:v>1045000</c:v>
                </c:pt>
                <c:pt idx="415">
                  <c:v>1050000</c:v>
                </c:pt>
                <c:pt idx="416">
                  <c:v>1055000</c:v>
                </c:pt>
                <c:pt idx="417">
                  <c:v>1060000</c:v>
                </c:pt>
                <c:pt idx="418">
                  <c:v>1065000</c:v>
                </c:pt>
                <c:pt idx="419">
                  <c:v>1070000</c:v>
                </c:pt>
                <c:pt idx="420">
                  <c:v>1075000</c:v>
                </c:pt>
                <c:pt idx="421">
                  <c:v>1080000</c:v>
                </c:pt>
                <c:pt idx="422">
                  <c:v>1085000</c:v>
                </c:pt>
                <c:pt idx="423">
                  <c:v>1090000</c:v>
                </c:pt>
                <c:pt idx="424">
                  <c:v>1095000</c:v>
                </c:pt>
                <c:pt idx="425">
                  <c:v>1100000</c:v>
                </c:pt>
                <c:pt idx="426">
                  <c:v>1105000</c:v>
                </c:pt>
                <c:pt idx="427">
                  <c:v>1110000</c:v>
                </c:pt>
                <c:pt idx="428">
                  <c:v>1115000</c:v>
                </c:pt>
                <c:pt idx="429">
                  <c:v>1120000</c:v>
                </c:pt>
                <c:pt idx="430">
                  <c:v>1125000</c:v>
                </c:pt>
                <c:pt idx="431">
                  <c:v>1130000</c:v>
                </c:pt>
                <c:pt idx="432">
                  <c:v>1135000</c:v>
                </c:pt>
                <c:pt idx="433">
                  <c:v>1140000</c:v>
                </c:pt>
                <c:pt idx="434">
                  <c:v>1145000</c:v>
                </c:pt>
                <c:pt idx="435">
                  <c:v>1150000</c:v>
                </c:pt>
                <c:pt idx="436">
                  <c:v>1155000</c:v>
                </c:pt>
                <c:pt idx="437">
                  <c:v>1160000</c:v>
                </c:pt>
                <c:pt idx="438">
                  <c:v>1165000</c:v>
                </c:pt>
                <c:pt idx="439">
                  <c:v>1170000</c:v>
                </c:pt>
                <c:pt idx="440">
                  <c:v>1175000</c:v>
                </c:pt>
                <c:pt idx="441">
                  <c:v>1180000</c:v>
                </c:pt>
                <c:pt idx="442">
                  <c:v>1185000</c:v>
                </c:pt>
                <c:pt idx="443">
                  <c:v>1190000</c:v>
                </c:pt>
                <c:pt idx="444">
                  <c:v>1195000</c:v>
                </c:pt>
                <c:pt idx="445">
                  <c:v>1200000</c:v>
                </c:pt>
                <c:pt idx="446">
                  <c:v>1205000</c:v>
                </c:pt>
                <c:pt idx="447">
                  <c:v>1210000</c:v>
                </c:pt>
                <c:pt idx="448">
                  <c:v>1215000</c:v>
                </c:pt>
                <c:pt idx="449">
                  <c:v>1220000</c:v>
                </c:pt>
                <c:pt idx="450">
                  <c:v>1225000</c:v>
                </c:pt>
                <c:pt idx="451">
                  <c:v>1230000</c:v>
                </c:pt>
                <c:pt idx="452">
                  <c:v>1235000</c:v>
                </c:pt>
                <c:pt idx="453">
                  <c:v>1240000</c:v>
                </c:pt>
                <c:pt idx="454">
                  <c:v>1245000</c:v>
                </c:pt>
                <c:pt idx="455">
                  <c:v>1250000</c:v>
                </c:pt>
                <c:pt idx="456">
                  <c:v>1255000</c:v>
                </c:pt>
                <c:pt idx="457">
                  <c:v>1260000</c:v>
                </c:pt>
                <c:pt idx="458">
                  <c:v>1265000</c:v>
                </c:pt>
                <c:pt idx="459">
                  <c:v>1270000</c:v>
                </c:pt>
                <c:pt idx="460">
                  <c:v>1275000</c:v>
                </c:pt>
                <c:pt idx="461">
                  <c:v>1280000</c:v>
                </c:pt>
                <c:pt idx="462">
                  <c:v>1285000</c:v>
                </c:pt>
                <c:pt idx="463">
                  <c:v>1290000</c:v>
                </c:pt>
                <c:pt idx="464">
                  <c:v>1295000</c:v>
                </c:pt>
                <c:pt idx="465">
                  <c:v>1300000</c:v>
                </c:pt>
                <c:pt idx="466">
                  <c:v>1305000</c:v>
                </c:pt>
                <c:pt idx="467">
                  <c:v>1310000</c:v>
                </c:pt>
                <c:pt idx="468">
                  <c:v>1315000</c:v>
                </c:pt>
                <c:pt idx="469">
                  <c:v>1320000</c:v>
                </c:pt>
                <c:pt idx="470">
                  <c:v>1325000</c:v>
                </c:pt>
                <c:pt idx="471">
                  <c:v>1330000</c:v>
                </c:pt>
                <c:pt idx="472">
                  <c:v>1335000</c:v>
                </c:pt>
                <c:pt idx="473">
                  <c:v>1340000</c:v>
                </c:pt>
                <c:pt idx="474">
                  <c:v>1345000</c:v>
                </c:pt>
                <c:pt idx="475">
                  <c:v>1350000</c:v>
                </c:pt>
                <c:pt idx="476">
                  <c:v>1355000</c:v>
                </c:pt>
                <c:pt idx="477">
                  <c:v>1360000</c:v>
                </c:pt>
                <c:pt idx="478">
                  <c:v>1365000</c:v>
                </c:pt>
                <c:pt idx="479">
                  <c:v>1370000</c:v>
                </c:pt>
                <c:pt idx="480">
                  <c:v>1375000</c:v>
                </c:pt>
                <c:pt idx="481">
                  <c:v>1380000</c:v>
                </c:pt>
                <c:pt idx="482">
                  <c:v>1385000</c:v>
                </c:pt>
                <c:pt idx="483">
                  <c:v>1390000</c:v>
                </c:pt>
                <c:pt idx="484">
                  <c:v>1395000</c:v>
                </c:pt>
                <c:pt idx="485">
                  <c:v>1400000</c:v>
                </c:pt>
                <c:pt idx="486">
                  <c:v>1405000</c:v>
                </c:pt>
                <c:pt idx="487">
                  <c:v>1410000</c:v>
                </c:pt>
                <c:pt idx="488">
                  <c:v>1415000</c:v>
                </c:pt>
                <c:pt idx="489">
                  <c:v>1420000</c:v>
                </c:pt>
                <c:pt idx="490">
                  <c:v>1425000</c:v>
                </c:pt>
                <c:pt idx="491">
                  <c:v>1430000</c:v>
                </c:pt>
                <c:pt idx="492">
                  <c:v>1435000</c:v>
                </c:pt>
                <c:pt idx="493">
                  <c:v>1440000</c:v>
                </c:pt>
                <c:pt idx="494">
                  <c:v>1445000</c:v>
                </c:pt>
                <c:pt idx="495">
                  <c:v>1450000</c:v>
                </c:pt>
                <c:pt idx="496">
                  <c:v>1455000</c:v>
                </c:pt>
                <c:pt idx="497">
                  <c:v>1460000</c:v>
                </c:pt>
                <c:pt idx="498">
                  <c:v>1465000</c:v>
                </c:pt>
                <c:pt idx="499">
                  <c:v>1470000</c:v>
                </c:pt>
                <c:pt idx="500">
                  <c:v>1475000</c:v>
                </c:pt>
                <c:pt idx="501">
                  <c:v>1480000</c:v>
                </c:pt>
                <c:pt idx="502">
                  <c:v>1485000</c:v>
                </c:pt>
                <c:pt idx="503">
                  <c:v>1490000</c:v>
                </c:pt>
                <c:pt idx="504">
                  <c:v>1495000</c:v>
                </c:pt>
                <c:pt idx="505">
                  <c:v>1500000</c:v>
                </c:pt>
                <c:pt idx="506">
                  <c:v>1505000</c:v>
                </c:pt>
                <c:pt idx="507">
                  <c:v>1510000</c:v>
                </c:pt>
                <c:pt idx="508">
                  <c:v>1515000</c:v>
                </c:pt>
                <c:pt idx="509">
                  <c:v>1520000</c:v>
                </c:pt>
                <c:pt idx="510">
                  <c:v>1525000</c:v>
                </c:pt>
                <c:pt idx="511">
                  <c:v>1530000</c:v>
                </c:pt>
                <c:pt idx="512">
                  <c:v>1535000</c:v>
                </c:pt>
                <c:pt idx="513">
                  <c:v>1540000</c:v>
                </c:pt>
                <c:pt idx="514">
                  <c:v>1545000</c:v>
                </c:pt>
                <c:pt idx="515">
                  <c:v>1550000</c:v>
                </c:pt>
                <c:pt idx="516">
                  <c:v>1555000</c:v>
                </c:pt>
                <c:pt idx="517">
                  <c:v>1560000</c:v>
                </c:pt>
                <c:pt idx="518">
                  <c:v>1565000</c:v>
                </c:pt>
                <c:pt idx="519">
                  <c:v>1570000</c:v>
                </c:pt>
                <c:pt idx="520">
                  <c:v>1575000</c:v>
                </c:pt>
                <c:pt idx="521">
                  <c:v>1580000</c:v>
                </c:pt>
                <c:pt idx="522">
                  <c:v>1585000</c:v>
                </c:pt>
                <c:pt idx="523">
                  <c:v>1590000</c:v>
                </c:pt>
                <c:pt idx="524">
                  <c:v>1595000</c:v>
                </c:pt>
                <c:pt idx="525">
                  <c:v>1600000</c:v>
                </c:pt>
                <c:pt idx="526">
                  <c:v>1605000</c:v>
                </c:pt>
                <c:pt idx="527">
                  <c:v>1610000</c:v>
                </c:pt>
                <c:pt idx="528">
                  <c:v>1615000</c:v>
                </c:pt>
                <c:pt idx="529">
                  <c:v>1620000</c:v>
                </c:pt>
                <c:pt idx="530">
                  <c:v>1625000</c:v>
                </c:pt>
                <c:pt idx="531">
                  <c:v>1630000</c:v>
                </c:pt>
                <c:pt idx="532">
                  <c:v>1635000</c:v>
                </c:pt>
                <c:pt idx="533">
                  <c:v>1640000</c:v>
                </c:pt>
                <c:pt idx="534">
                  <c:v>1645000</c:v>
                </c:pt>
                <c:pt idx="535">
                  <c:v>1650000</c:v>
                </c:pt>
                <c:pt idx="536">
                  <c:v>1655000</c:v>
                </c:pt>
                <c:pt idx="537">
                  <c:v>1660000</c:v>
                </c:pt>
                <c:pt idx="538">
                  <c:v>1665000</c:v>
                </c:pt>
                <c:pt idx="539">
                  <c:v>1670000</c:v>
                </c:pt>
                <c:pt idx="540">
                  <c:v>1675000</c:v>
                </c:pt>
                <c:pt idx="541">
                  <c:v>1680000</c:v>
                </c:pt>
                <c:pt idx="542">
                  <c:v>1685000</c:v>
                </c:pt>
                <c:pt idx="543">
                  <c:v>1690000</c:v>
                </c:pt>
                <c:pt idx="544">
                  <c:v>1695000</c:v>
                </c:pt>
                <c:pt idx="545">
                  <c:v>1700000</c:v>
                </c:pt>
                <c:pt idx="546">
                  <c:v>1705000</c:v>
                </c:pt>
                <c:pt idx="547">
                  <c:v>1710000</c:v>
                </c:pt>
                <c:pt idx="548">
                  <c:v>1715000</c:v>
                </c:pt>
                <c:pt idx="549">
                  <c:v>1720000</c:v>
                </c:pt>
                <c:pt idx="550">
                  <c:v>1725000</c:v>
                </c:pt>
                <c:pt idx="551">
                  <c:v>1730000</c:v>
                </c:pt>
                <c:pt idx="552">
                  <c:v>1735000</c:v>
                </c:pt>
                <c:pt idx="553">
                  <c:v>1740000</c:v>
                </c:pt>
                <c:pt idx="554">
                  <c:v>1745000</c:v>
                </c:pt>
                <c:pt idx="555">
                  <c:v>1750000</c:v>
                </c:pt>
                <c:pt idx="556">
                  <c:v>1755000</c:v>
                </c:pt>
                <c:pt idx="557">
                  <c:v>1760000</c:v>
                </c:pt>
                <c:pt idx="558">
                  <c:v>1765000</c:v>
                </c:pt>
                <c:pt idx="559">
                  <c:v>1770000</c:v>
                </c:pt>
                <c:pt idx="560">
                  <c:v>1775000</c:v>
                </c:pt>
                <c:pt idx="561">
                  <c:v>1780000</c:v>
                </c:pt>
                <c:pt idx="562">
                  <c:v>1785000</c:v>
                </c:pt>
                <c:pt idx="563">
                  <c:v>1790000</c:v>
                </c:pt>
                <c:pt idx="564">
                  <c:v>1795000</c:v>
                </c:pt>
                <c:pt idx="565">
                  <c:v>1800000</c:v>
                </c:pt>
                <c:pt idx="566">
                  <c:v>1805000</c:v>
                </c:pt>
                <c:pt idx="567">
                  <c:v>1810000</c:v>
                </c:pt>
                <c:pt idx="568">
                  <c:v>1815000</c:v>
                </c:pt>
                <c:pt idx="569">
                  <c:v>1820000</c:v>
                </c:pt>
                <c:pt idx="570">
                  <c:v>1825000</c:v>
                </c:pt>
                <c:pt idx="571">
                  <c:v>1830000</c:v>
                </c:pt>
                <c:pt idx="572">
                  <c:v>1835000</c:v>
                </c:pt>
                <c:pt idx="573">
                  <c:v>1840000</c:v>
                </c:pt>
                <c:pt idx="574">
                  <c:v>1845000</c:v>
                </c:pt>
                <c:pt idx="575">
                  <c:v>1850000</c:v>
                </c:pt>
                <c:pt idx="576">
                  <c:v>1855000</c:v>
                </c:pt>
                <c:pt idx="577">
                  <c:v>1860000</c:v>
                </c:pt>
                <c:pt idx="578">
                  <c:v>1865000</c:v>
                </c:pt>
                <c:pt idx="579">
                  <c:v>1870000</c:v>
                </c:pt>
                <c:pt idx="580">
                  <c:v>1875000</c:v>
                </c:pt>
                <c:pt idx="581">
                  <c:v>1880000</c:v>
                </c:pt>
                <c:pt idx="582">
                  <c:v>1885000</c:v>
                </c:pt>
                <c:pt idx="583">
                  <c:v>1890000</c:v>
                </c:pt>
                <c:pt idx="584">
                  <c:v>1895000</c:v>
                </c:pt>
                <c:pt idx="585">
                  <c:v>1900000</c:v>
                </c:pt>
                <c:pt idx="586">
                  <c:v>1905000</c:v>
                </c:pt>
                <c:pt idx="587">
                  <c:v>1910000</c:v>
                </c:pt>
                <c:pt idx="588">
                  <c:v>1915000</c:v>
                </c:pt>
                <c:pt idx="589">
                  <c:v>1920000</c:v>
                </c:pt>
                <c:pt idx="590">
                  <c:v>1925000</c:v>
                </c:pt>
                <c:pt idx="591">
                  <c:v>1930000</c:v>
                </c:pt>
                <c:pt idx="592">
                  <c:v>1935000</c:v>
                </c:pt>
                <c:pt idx="593">
                  <c:v>1940000</c:v>
                </c:pt>
                <c:pt idx="594">
                  <c:v>1945000</c:v>
                </c:pt>
                <c:pt idx="595">
                  <c:v>1950000</c:v>
                </c:pt>
                <c:pt idx="596">
                  <c:v>1955000</c:v>
                </c:pt>
                <c:pt idx="597">
                  <c:v>1960000</c:v>
                </c:pt>
                <c:pt idx="598">
                  <c:v>1965000</c:v>
                </c:pt>
                <c:pt idx="599">
                  <c:v>1970000</c:v>
                </c:pt>
                <c:pt idx="600">
                  <c:v>1975000</c:v>
                </c:pt>
                <c:pt idx="601">
                  <c:v>1980000</c:v>
                </c:pt>
                <c:pt idx="602">
                  <c:v>1985000</c:v>
                </c:pt>
                <c:pt idx="603">
                  <c:v>1990000</c:v>
                </c:pt>
                <c:pt idx="604">
                  <c:v>1995000</c:v>
                </c:pt>
                <c:pt idx="605">
                  <c:v>2000000</c:v>
                </c:pt>
                <c:pt idx="606">
                  <c:v>2250000</c:v>
                </c:pt>
                <c:pt idx="607">
                  <c:v>2500000</c:v>
                </c:pt>
                <c:pt idx="608">
                  <c:v>2750000</c:v>
                </c:pt>
                <c:pt idx="609">
                  <c:v>3000000</c:v>
                </c:pt>
                <c:pt idx="610">
                  <c:v>3250000</c:v>
                </c:pt>
                <c:pt idx="611">
                  <c:v>3500000</c:v>
                </c:pt>
                <c:pt idx="612">
                  <c:v>3750000</c:v>
                </c:pt>
                <c:pt idx="613">
                  <c:v>4000000</c:v>
                </c:pt>
                <c:pt idx="614">
                  <c:v>4250000</c:v>
                </c:pt>
                <c:pt idx="615">
                  <c:v>4500000</c:v>
                </c:pt>
                <c:pt idx="616">
                  <c:v>4750000</c:v>
                </c:pt>
                <c:pt idx="617">
                  <c:v>5000000</c:v>
                </c:pt>
                <c:pt idx="618">
                  <c:v>5100000</c:v>
                </c:pt>
                <c:pt idx="619">
                  <c:v>5200000</c:v>
                </c:pt>
                <c:pt idx="620">
                  <c:v>5300000</c:v>
                </c:pt>
                <c:pt idx="621">
                  <c:v>5400000</c:v>
                </c:pt>
                <c:pt idx="622">
                  <c:v>5500000</c:v>
                </c:pt>
                <c:pt idx="623">
                  <c:v>5600000</c:v>
                </c:pt>
                <c:pt idx="624">
                  <c:v>5700000</c:v>
                </c:pt>
                <c:pt idx="625">
                  <c:v>5800000</c:v>
                </c:pt>
                <c:pt idx="626">
                  <c:v>5900000</c:v>
                </c:pt>
                <c:pt idx="627">
                  <c:v>6000000</c:v>
                </c:pt>
                <c:pt idx="628">
                  <c:v>6100000</c:v>
                </c:pt>
                <c:pt idx="629">
                  <c:v>6200000</c:v>
                </c:pt>
                <c:pt idx="630">
                  <c:v>6300000</c:v>
                </c:pt>
                <c:pt idx="631">
                  <c:v>6400000</c:v>
                </c:pt>
                <c:pt idx="632">
                  <c:v>6500000</c:v>
                </c:pt>
                <c:pt idx="633">
                  <c:v>6600000</c:v>
                </c:pt>
                <c:pt idx="634">
                  <c:v>6700000</c:v>
                </c:pt>
                <c:pt idx="635">
                  <c:v>6800000</c:v>
                </c:pt>
                <c:pt idx="636">
                  <c:v>6900000</c:v>
                </c:pt>
                <c:pt idx="637">
                  <c:v>7000000</c:v>
                </c:pt>
                <c:pt idx="638">
                  <c:v>7100000</c:v>
                </c:pt>
                <c:pt idx="639">
                  <c:v>7200000</c:v>
                </c:pt>
                <c:pt idx="640">
                  <c:v>7300000</c:v>
                </c:pt>
                <c:pt idx="641">
                  <c:v>7400000</c:v>
                </c:pt>
                <c:pt idx="642">
                  <c:v>7500000</c:v>
                </c:pt>
                <c:pt idx="643">
                  <c:v>7600000</c:v>
                </c:pt>
                <c:pt idx="644">
                  <c:v>7700000</c:v>
                </c:pt>
                <c:pt idx="645">
                  <c:v>7800000</c:v>
                </c:pt>
                <c:pt idx="646">
                  <c:v>7900000</c:v>
                </c:pt>
                <c:pt idx="647">
                  <c:v>8000000</c:v>
                </c:pt>
                <c:pt idx="648">
                  <c:v>8100000</c:v>
                </c:pt>
                <c:pt idx="649">
                  <c:v>8200000</c:v>
                </c:pt>
                <c:pt idx="650">
                  <c:v>8300000</c:v>
                </c:pt>
                <c:pt idx="651">
                  <c:v>8400000</c:v>
                </c:pt>
                <c:pt idx="652">
                  <c:v>8500000</c:v>
                </c:pt>
                <c:pt idx="653">
                  <c:v>8600000</c:v>
                </c:pt>
                <c:pt idx="654">
                  <c:v>8700000</c:v>
                </c:pt>
                <c:pt idx="655">
                  <c:v>8800000</c:v>
                </c:pt>
                <c:pt idx="656">
                  <c:v>8900000</c:v>
                </c:pt>
                <c:pt idx="657">
                  <c:v>9000000</c:v>
                </c:pt>
                <c:pt idx="658">
                  <c:v>9100000</c:v>
                </c:pt>
                <c:pt idx="659">
                  <c:v>9200000</c:v>
                </c:pt>
                <c:pt idx="660">
                  <c:v>9300000</c:v>
                </c:pt>
                <c:pt idx="661">
                  <c:v>9400000</c:v>
                </c:pt>
                <c:pt idx="662">
                  <c:v>9500000</c:v>
                </c:pt>
                <c:pt idx="663">
                  <c:v>9600000</c:v>
                </c:pt>
                <c:pt idx="664">
                  <c:v>9700000</c:v>
                </c:pt>
                <c:pt idx="665">
                  <c:v>9800000</c:v>
                </c:pt>
                <c:pt idx="666">
                  <c:v>9900000</c:v>
                </c:pt>
                <c:pt idx="667">
                  <c:v>10000000</c:v>
                </c:pt>
              </c:numCache>
            </c:numRef>
          </c:xVal>
          <c:yVal>
            <c:numRef>
              <c:f>'Bode Plots Calculations'!$Z$9:$Z$676</c:f>
              <c:numCache>
                <c:formatCode>General</c:formatCode>
                <c:ptCount val="668"/>
                <c:pt idx="0">
                  <c:v>91.5840112085821</c:v>
                </c:pt>
                <c:pt idx="1">
                  <c:v>93.1655872020996</c:v>
                </c:pt>
                <c:pt idx="2">
                  <c:v>94.7423151001461</c:v>
                </c:pt>
                <c:pt idx="3">
                  <c:v>96.3118261819898</c:v>
                </c:pt>
                <c:pt idx="4">
                  <c:v>97.8718167138772</c:v>
                </c:pt>
                <c:pt idx="5">
                  <c:v>99.4200673322412</c:v>
                </c:pt>
                <c:pt idx="6">
                  <c:v>100.954460595459</c:v>
                </c:pt>
                <c:pt idx="7">
                  <c:v>102.472996389378</c:v>
                </c:pt>
                <c:pt idx="8">
                  <c:v>103.97380495339</c:v>
                </c:pt>
                <c:pt idx="9">
                  <c:v>105.45515737969</c:v>
                </c:pt>
                <c:pt idx="10">
                  <c:v>118.927533706864</c:v>
                </c:pt>
                <c:pt idx="11">
                  <c:v>129.632200120132</c:v>
                </c:pt>
                <c:pt idx="12">
                  <c:v>137.800479323478</c:v>
                </c:pt>
                <c:pt idx="13">
                  <c:v>143.998265174918</c:v>
                </c:pt>
                <c:pt idx="14">
                  <c:v>148.754046941137</c:v>
                </c:pt>
                <c:pt idx="15">
                  <c:v>152.46752004121</c:v>
                </c:pt>
                <c:pt idx="16">
                  <c:v>155.421482406655</c:v>
                </c:pt>
                <c:pt idx="17">
                  <c:v>157.81304671035</c:v>
                </c:pt>
                <c:pt idx="18">
                  <c:v>159.780420953116</c:v>
                </c:pt>
                <c:pt idx="19">
                  <c:v>169.00984263639</c:v>
                </c:pt>
                <c:pt idx="20">
                  <c:v>171.995129422803</c:v>
                </c:pt>
                <c:pt idx="21">
                  <c:v>173.316130603987</c:v>
                </c:pt>
                <c:pt idx="22">
                  <c:v>173.960512644807</c:v>
                </c:pt>
                <c:pt idx="23">
                  <c:v>174.264399882349</c:v>
                </c:pt>
                <c:pt idx="24">
                  <c:v>174.373166958055</c:v>
                </c:pt>
                <c:pt idx="25">
                  <c:v>174.359869978126</c:v>
                </c:pt>
                <c:pt idx="26">
                  <c:v>174.265230576468</c:v>
                </c:pt>
                <c:pt idx="27">
                  <c:v>174.113743723887</c:v>
                </c:pt>
                <c:pt idx="28">
                  <c:v>172.905156991536</c:v>
                </c:pt>
                <c:pt idx="29">
                  <c:v>171.368099873766</c:v>
                </c:pt>
                <c:pt idx="30">
                  <c:v>169.713644198802</c:v>
                </c:pt>
                <c:pt idx="31">
                  <c:v>168.015032723672</c:v>
                </c:pt>
                <c:pt idx="32">
                  <c:v>166.305784196569</c:v>
                </c:pt>
                <c:pt idx="33">
                  <c:v>164.60421563714</c:v>
                </c:pt>
                <c:pt idx="34">
                  <c:v>162.921604210336</c:v>
                </c:pt>
                <c:pt idx="35">
                  <c:v>161.265448146314</c:v>
                </c:pt>
                <c:pt idx="36">
                  <c:v>159.640953143542</c:v>
                </c:pt>
                <c:pt idx="37">
                  <c:v>158.05178562542</c:v>
                </c:pt>
                <c:pt idx="38">
                  <c:v>156.500492205433</c:v>
                </c:pt>
                <c:pt idx="39">
                  <c:v>154.988755304685</c:v>
                </c:pt>
                <c:pt idx="40">
                  <c:v>153.517563125087</c:v>
                </c:pt>
                <c:pt idx="41">
                  <c:v>152.087332145161</c:v>
                </c:pt>
                <c:pt idx="42">
                  <c:v>150.698001602312</c:v>
                </c:pt>
                <c:pt idx="43">
                  <c:v>149.349110222604</c:v>
                </c:pt>
                <c:pt idx="44">
                  <c:v>148.039860757512</c:v>
                </c:pt>
                <c:pt idx="45">
                  <c:v>146.769175426455</c:v>
                </c:pt>
                <c:pt idx="46">
                  <c:v>145.535744060756</c:v>
                </c:pt>
                <c:pt idx="47">
                  <c:v>144.33806605475</c:v>
                </c:pt>
                <c:pt idx="48">
                  <c:v>143.174486868195</c:v>
                </c:pt>
                <c:pt idx="49">
                  <c:v>142.043229638106</c:v>
                </c:pt>
                <c:pt idx="50">
                  <c:v>140.942422363892</c:v>
                </c:pt>
                <c:pt idx="51">
                  <c:v>139.870121081276</c:v>
                </c:pt>
                <c:pt idx="52">
                  <c:v>138.824329413128</c:v>
                </c:pt>
                <c:pt idx="53">
                  <c:v>137.803014865784</c:v>
                </c:pt>
                <c:pt idx="54">
                  <c:v>136.804122221486</c:v>
                </c:pt>
                <c:pt idx="55">
                  <c:v>135.82558435841</c:v>
                </c:pt>
                <c:pt idx="56">
                  <c:v>134.865330808675</c:v>
                </c:pt>
                <c:pt idx="57">
                  <c:v>133.921294342113</c:v>
                </c:pt>
                <c:pt idx="58">
                  <c:v>132.991415839967</c:v>
                </c:pt>
                <c:pt idx="59">
                  <c:v>132.073647698966</c:v>
                </c:pt>
                <c:pt idx="60">
                  <c:v>131.165955983133</c:v>
                </c:pt>
                <c:pt idx="61">
                  <c:v>130.266321518762</c:v>
                </c:pt>
                <c:pt idx="62">
                  <c:v>129.372740107821</c:v>
                </c:pt>
                <c:pt idx="63">
                  <c:v>128.483222016887</c:v>
                </c:pt>
                <c:pt idx="64">
                  <c:v>127.595790882829</c:v>
                </c:pt>
                <c:pt idx="65">
                  <c:v>126.708482162995</c:v>
                </c:pt>
                <c:pt idx="66">
                  <c:v>125.819341246672</c:v>
                </c:pt>
                <c:pt idx="67">
                  <c:v>124.926421336144</c:v>
                </c:pt>
                <c:pt idx="68">
                  <c:v>124.027781199718</c:v>
                </c:pt>
                <c:pt idx="69">
                  <c:v>123.121482895656</c:v>
                </c:pt>
                <c:pt idx="70">
                  <c:v>122.205589565019</c:v>
                </c:pt>
                <c:pt idx="71">
                  <c:v>121.278163392887</c:v>
                </c:pt>
                <c:pt idx="72">
                  <c:v>120.337263841391</c:v>
                </c:pt>
                <c:pt idx="73">
                  <c:v>119.380946264206</c:v>
                </c:pt>
                <c:pt idx="74">
                  <c:v>118.407261020782</c:v>
                </c:pt>
                <c:pt idx="75">
                  <c:v>117.414253219272</c:v>
                </c:pt>
                <c:pt idx="76">
                  <c:v>116.399963229884</c:v>
                </c:pt>
                <c:pt idx="77">
                  <c:v>115.362428124757</c:v>
                </c:pt>
                <c:pt idx="78">
                  <c:v>114.299684216231</c:v>
                </c:pt>
                <c:pt idx="79">
                  <c:v>113.209770881713</c:v>
                </c:pt>
                <c:pt idx="80">
                  <c:v>112.090735879652</c:v>
                </c:pt>
                <c:pt idx="81">
                  <c:v>110.940642376032</c:v>
                </c:pt>
                <c:pt idx="82">
                  <c:v>109.757577912981</c:v>
                </c:pt>
                <c:pt idx="83">
                  <c:v>108.539665558479</c:v>
                </c:pt>
                <c:pt idx="84">
                  <c:v>107.285077476381</c:v>
                </c:pt>
                <c:pt idx="85">
                  <c:v>105.99205114599</c:v>
                </c:pt>
                <c:pt idx="86">
                  <c:v>104.65890843684</c:v>
                </c:pt>
                <c:pt idx="87">
                  <c:v>103.284077703042</c:v>
                </c:pt>
                <c:pt idx="88">
                  <c:v>101.866118998338</c:v>
                </c:pt>
                <c:pt idx="89">
                  <c:v>100.403752423496</c:v>
                </c:pt>
                <c:pt idx="90">
                  <c:v>98.8958894978936</c:v>
                </c:pt>
                <c:pt idx="91">
                  <c:v>97.3416672941229</c:v>
                </c:pt>
                <c:pt idx="92">
                  <c:v>95.7404848870567</c:v>
                </c:pt>
                <c:pt idx="93">
                  <c:v>94.0920414485992</c:v>
                </c:pt>
                <c:pt idx="94">
                  <c:v>92.3963750717966</c:v>
                </c:pt>
                <c:pt idx="95">
                  <c:v>90.6539011434458</c:v>
                </c:pt>
                <c:pt idx="96">
                  <c:v>88.8654488189315</c:v>
                </c:pt>
                <c:pt idx="97">
                  <c:v>87.0322939088927</c:v>
                </c:pt>
                <c:pt idx="98">
                  <c:v>85.1561862922712</c:v>
                </c:pt>
                <c:pt idx="99">
                  <c:v>83.2393698560503</c:v>
                </c:pt>
                <c:pt idx="100">
                  <c:v>81.2845929614186</c:v>
                </c:pt>
                <c:pt idx="101">
                  <c:v>79.2951075788015</c:v>
                </c:pt>
                <c:pt idx="102">
                  <c:v>77.274655541391</c:v>
                </c:pt>
                <c:pt idx="103">
                  <c:v>75.227440845565</c:v>
                </c:pt>
                <c:pt idx="104">
                  <c:v>73.1580875650886</c:v>
                </c:pt>
                <c:pt idx="105">
                  <c:v>71.0715837105397</c:v>
                </c:pt>
                <c:pt idx="106">
                  <c:v>68.9732122007372</c:v>
                </c:pt>
                <c:pt idx="107">
                  <c:v>66.8684709464402</c:v>
                </c:pt>
                <c:pt idx="108">
                  <c:v>64.7629847963577</c:v>
                </c:pt>
                <c:pt idx="109">
                  <c:v>62.6624126814733</c:v>
                </c:pt>
                <c:pt idx="110">
                  <c:v>60.5723536496538</c:v>
                </c:pt>
                <c:pt idx="111">
                  <c:v>58.4982555668676</c:v>
                </c:pt>
                <c:pt idx="112">
                  <c:v>56.4453302697618</c:v>
                </c:pt>
                <c:pt idx="113">
                  <c:v>54.4184770590477</c:v>
                </c:pt>
                <c:pt idx="114">
                  <c:v>52.4222200812429</c:v>
                </c:pt>
                <c:pt idx="115">
                  <c:v>50.4606571539576</c:v>
                </c:pt>
                <c:pt idx="116">
                  <c:v>48.5374239450058</c:v>
                </c:pt>
                <c:pt idx="117">
                  <c:v>46.6556722818434</c:v>
                </c:pt>
                <c:pt idx="118">
                  <c:v>44.8180620886609</c:v>
                </c:pt>
                <c:pt idx="119">
                  <c:v>43.0267656662214</c:v>
                </c:pt>
                <c:pt idx="120">
                  <c:v>41.2834826200351</c:v>
                </c:pt>
                <c:pt idx="121">
                  <c:v>39.5894635036958</c:v>
                </c:pt>
                <c:pt idx="122">
                  <c:v>37.9455401627157</c:v>
                </c:pt>
                <c:pt idx="123">
                  <c:v>36.3521608147087</c:v>
                </c:pt>
                <c:pt idx="124">
                  <c:v>34.8094280527554</c:v>
                </c:pt>
                <c:pt idx="125">
                  <c:v>33.31713817741</c:v>
                </c:pt>
                <c:pt idx="126">
                  <c:v>31.8748205186367</c:v>
                </c:pt>
                <c:pt idx="127">
                  <c:v>30.4817756763854</c:v>
                </c:pt>
                <c:pt idx="128">
                  <c:v>29.1371118677808</c:v>
                </c:pt>
                <c:pt idx="129">
                  <c:v>27.8397788063237</c:v>
                </c:pt>
                <c:pt idx="130">
                  <c:v>26.5885987457954</c:v>
                </c:pt>
                <c:pt idx="131">
                  <c:v>25.382294494983</c:v>
                </c:pt>
                <c:pt idx="132">
                  <c:v>24.2195143484981</c:v>
                </c:pt>
                <c:pt idx="133">
                  <c:v>23.0988539858926</c:v>
                </c:pt>
                <c:pt idx="134">
                  <c:v>22.018875469379</c:v>
                </c:pt>
                <c:pt idx="135">
                  <c:v>20.9781235239519</c:v>
                </c:pt>
                <c:pt idx="136">
                  <c:v>19.9751393168949</c:v>
                </c:pt>
                <c:pt idx="137">
                  <c:v>19.0084719707536</c:v>
                </c:pt>
                <c:pt idx="138">
                  <c:v>18.0766880486172</c:v>
                </c:pt>
                <c:pt idx="139">
                  <c:v>17.1783792462584</c:v>
                </c:pt>
                <c:pt idx="140">
                  <c:v>16.312168515057</c:v>
                </c:pt>
                <c:pt idx="141">
                  <c:v>15.4767148248726</c:v>
                </c:pt>
                <c:pt idx="142">
                  <c:v>14.6707167588636</c:v>
                </c:pt>
                <c:pt idx="143">
                  <c:v>13.8929151139643</c:v>
                </c:pt>
                <c:pt idx="144">
                  <c:v>13.1420946622994</c:v>
                </c:pt>
                <c:pt idx="145">
                  <c:v>12.4170852108869</c:v>
                </c:pt>
                <c:pt idx="146">
                  <c:v>11.7167620800257</c:v>
                </c:pt>
                <c:pt idx="147">
                  <c:v>11.0400461050345</c:v>
                </c:pt>
                <c:pt idx="148">
                  <c:v>10.3859032516623</c:v>
                </c:pt>
                <c:pt idx="149">
                  <c:v>9.75334392257736</c:v>
                </c:pt>
                <c:pt idx="150">
                  <c:v>9.14142202083539</c:v>
                </c:pt>
                <c:pt idx="151">
                  <c:v>8.54923382608334</c:v>
                </c:pt>
                <c:pt idx="152">
                  <c:v>7.97591673036746</c:v>
                </c:pt>
                <c:pt idx="153">
                  <c:v>7.42064787270067</c:v>
                </c:pt>
                <c:pt idx="154">
                  <c:v>6.88264270486917</c:v>
                </c:pt>
                <c:pt idx="155">
                  <c:v>6.36115351523836</c:v>
                </c:pt>
                <c:pt idx="156">
                  <c:v>5.85546793242</c:v>
                </c:pt>
                <c:pt idx="157">
                  <c:v>5.364907426505</c:v>
                </c:pt>
                <c:pt idx="158">
                  <c:v>4.88882582204749</c:v>
                </c:pt>
                <c:pt idx="159">
                  <c:v>4.42660783401831</c:v>
                </c:pt>
                <c:pt idx="160">
                  <c:v>3.97766763546181</c:v>
                </c:pt>
                <c:pt idx="161">
                  <c:v>3.54144746351548</c:v>
                </c:pt>
                <c:pt idx="162">
                  <c:v>3.11741626873007</c:v>
                </c:pt>
                <c:pt idx="163">
                  <c:v>2.70506841120181</c:v>
                </c:pt>
                <c:pt idx="164">
                  <c:v>2.30392240586602</c:v>
                </c:pt>
                <c:pt idx="165">
                  <c:v>1.91351971834212</c:v>
                </c:pt>
                <c:pt idx="166">
                  <c:v>1.53342361195385</c:v>
                </c:pt>
                <c:pt idx="167">
                  <c:v>1.16321804592513</c:v>
                </c:pt>
                <c:pt idx="168">
                  <c:v>0.802506624262833</c:v>
                </c:pt>
                <c:pt idx="169">
                  <c:v>0.450911594451981</c:v>
                </c:pt>
                <c:pt idx="170">
                  <c:v>0.108072894791547</c:v>
                </c:pt>
                <c:pt idx="171">
                  <c:v>-0.22635275102428</c:v>
                </c:pt>
                <c:pt idx="172">
                  <c:v>-0.552692693637198</c:v>
                </c:pt>
                <c:pt idx="173">
                  <c:v>-0.871259173740839</c:v>
                </c:pt>
                <c:pt idx="174">
                  <c:v>-1.18235009552711</c:v>
                </c:pt>
                <c:pt idx="175">
                  <c:v>-1.48624975964913</c:v>
                </c:pt>
                <c:pt idx="176">
                  <c:v>-1.78322955750127</c:v>
                </c:pt>
                <c:pt idx="177">
                  <c:v>-2.07354862861186</c:v>
                </c:pt>
                <c:pt idx="178">
                  <c:v>-2.35745448291757</c:v>
                </c:pt>
                <c:pt idx="179">
                  <c:v>-2.63518358965851</c:v>
                </c:pt>
                <c:pt idx="180">
                  <c:v>-2.90696193458086</c:v>
                </c:pt>
                <c:pt idx="181">
                  <c:v>-3.17300554708791</c:v>
                </c:pt>
                <c:pt idx="182">
                  <c:v>-3.43352099891598</c:v>
                </c:pt>
                <c:pt idx="183">
                  <c:v>-3.6887058758569</c:v>
                </c:pt>
                <c:pt idx="184">
                  <c:v>-3.93874922397907</c:v>
                </c:pt>
                <c:pt idx="185">
                  <c:v>-4.18383197174001</c:v>
                </c:pt>
                <c:pt idx="186">
                  <c:v>-4.42412732931362</c:v>
                </c:pt>
                <c:pt idx="187">
                  <c:v>-4.65980116639648</c:v>
                </c:pt>
                <c:pt idx="188">
                  <c:v>-4.89101236968892</c:v>
                </c:pt>
                <c:pt idx="189">
                  <c:v>-5.1179131811908</c:v>
                </c:pt>
                <c:pt idx="190">
                  <c:v>-5.34064951838616</c:v>
                </c:pt>
                <c:pt idx="191">
                  <c:v>-5.55936127733861</c:v>
                </c:pt>
                <c:pt idx="192">
                  <c:v>-5.7741826196602</c:v>
                </c:pt>
                <c:pt idx="193">
                  <c:v>-5.9852422442647</c:v>
                </c:pt>
                <c:pt idx="194">
                  <c:v>-6.19266364476511</c:v>
                </c:pt>
                <c:pt idx="195">
                  <c:v>-6.39656535332605</c:v>
                </c:pt>
                <c:pt idx="196">
                  <c:v>-6.59706117173707</c:v>
                </c:pt>
                <c:pt idx="197">
                  <c:v>-6.79426039042679</c:v>
                </c:pt>
                <c:pt idx="198">
                  <c:v>-6.98826799609878</c:v>
                </c:pt>
                <c:pt idx="199">
                  <c:v>-7.17918486862729</c:v>
                </c:pt>
                <c:pt idx="200">
                  <c:v>-7.36710796781804</c:v>
                </c:pt>
                <c:pt idx="201">
                  <c:v>-7.55213051060031</c:v>
                </c:pt>
                <c:pt idx="202">
                  <c:v>-7.73434213918506</c:v>
                </c:pt>
                <c:pt idx="203">
                  <c:v>-7.91382908069315</c:v>
                </c:pt>
                <c:pt idx="204">
                  <c:v>-8.09067429872567</c:v>
                </c:pt>
                <c:pt idx="205">
                  <c:v>-8.26495763732467</c:v>
                </c:pt>
                <c:pt idx="206">
                  <c:v>-8.4367559577417</c:v>
                </c:pt>
                <c:pt idx="207">
                  <c:v>-8.60614326841113</c:v>
                </c:pt>
                <c:pt idx="208">
                  <c:v>-8.77319084849941</c:v>
                </c:pt>
                <c:pt idx="209">
                  <c:v>-8.93796736538096</c:v>
                </c:pt>
                <c:pt idx="210">
                  <c:v>-9.10053898636988</c:v>
                </c:pt>
                <c:pt idx="211">
                  <c:v>-9.26096948501905</c:v>
                </c:pt>
                <c:pt idx="212">
                  <c:v>-9.41932034227858</c:v>
                </c:pt>
                <c:pt idx="213">
                  <c:v>-9.57565084278906</c:v>
                </c:pt>
                <c:pt idx="214">
                  <c:v>-9.73001816656986</c:v>
                </c:pt>
                <c:pt idx="215">
                  <c:v>-9.88247747634614</c:v>
                </c:pt>
                <c:pt idx="216">
                  <c:v>-10.0330820007464</c:v>
                </c:pt>
                <c:pt idx="217">
                  <c:v>-10.1818831135869</c:v>
                </c:pt>
                <c:pt idx="218">
                  <c:v>-10.3289304094481</c:v>
                </c:pt>
                <c:pt idx="219">
                  <c:v>-10.4742717757367</c:v>
                </c:pt>
                <c:pt idx="220">
                  <c:v>-10.6179534614155</c:v>
                </c:pt>
                <c:pt idx="221">
                  <c:v>-10.7600201425728</c:v>
                </c:pt>
                <c:pt idx="222">
                  <c:v>-10.9005149849933</c:v>
                </c:pt>
                <c:pt idx="223">
                  <c:v>-11.039479703885</c:v>
                </c:pt>
                <c:pt idx="224">
                  <c:v>-11.1769546209052</c:v>
                </c:pt>
                <c:pt idx="225">
                  <c:v>-11.3129787186228</c:v>
                </c:pt>
                <c:pt idx="226">
                  <c:v>-12.6011409430746</c:v>
                </c:pt>
                <c:pt idx="227">
                  <c:v>-13.7788999315203</c:v>
                </c:pt>
                <c:pt idx="228">
                  <c:v>-14.8695174466552</c:v>
                </c:pt>
                <c:pt idx="229">
                  <c:v>-15.8902234794106</c:v>
                </c:pt>
                <c:pt idx="230">
                  <c:v>-16.8539723036366</c:v>
                </c:pt>
                <c:pt idx="231">
                  <c:v>-17.770634654183</c:v>
                </c:pt>
                <c:pt idx="232">
                  <c:v>-18.6478228476631</c:v>
                </c:pt>
                <c:pt idx="233">
                  <c:v>-19.4914719256487</c:v>
                </c:pt>
                <c:pt idx="234">
                  <c:v>-20.3062555064132</c:v>
                </c:pt>
                <c:pt idx="235">
                  <c:v>-21.0958876851587</c:v>
                </c:pt>
                <c:pt idx="236">
                  <c:v>-21.8633451136608</c:v>
                </c:pt>
                <c:pt idx="237">
                  <c:v>-22.6110323438752</c:v>
                </c:pt>
                <c:pt idx="238">
                  <c:v>-23.3409062982735</c:v>
                </c:pt>
                <c:pt idx="239">
                  <c:v>-24.0545709276436</c:v>
                </c:pt>
                <c:pt idx="240">
                  <c:v>-24.753349873597</c:v>
                </c:pt>
                <c:pt idx="241">
                  <c:v>-25.4383427302099</c:v>
                </c:pt>
                <c:pt idx="242">
                  <c:v>-26.11046895523</c:v>
                </c:pt>
                <c:pt idx="243">
                  <c:v>-26.7705023952843</c:v>
                </c:pt>
                <c:pt idx="244">
                  <c:v>-27.4190986167014</c:v>
                </c:pt>
                <c:pt idx="245">
                  <c:v>-28.056816677578</c:v>
                </c:pt>
                <c:pt idx="246">
                  <c:v>-28.6841365726226</c:v>
                </c:pt>
                <c:pt idx="247">
                  <c:v>-29.3014732857929</c:v>
                </c:pt>
                <c:pt idx="248">
                  <c:v>-29.9091881661917</c:v>
                </c:pt>
                <c:pt idx="249">
                  <c:v>-30.5075981787417</c:v>
                </c:pt>
                <c:pt idx="250">
                  <c:v>-31.0969834577573</c:v>
                </c:pt>
                <c:pt idx="251">
                  <c:v>-31.6775934979355</c:v>
                </c:pt>
                <c:pt idx="252">
                  <c:v>-32.249652245793</c:v>
                </c:pt>
                <c:pt idx="253">
                  <c:v>-32.8133622995866</c:v>
                </c:pt>
                <c:pt idx="254">
                  <c:v>-33.3689083831891</c:v>
                </c:pt>
                <c:pt idx="255">
                  <c:v>-33.9164602262382</c:v>
                </c:pt>
                <c:pt idx="256">
                  <c:v>-34.4561749568986</c:v>
                </c:pt>
                <c:pt idx="257">
                  <c:v>-34.9881990931145</c:v>
                </c:pt>
                <c:pt idx="258">
                  <c:v>-35.5126702020181</c:v>
                </c:pt>
                <c:pt idx="259">
                  <c:v>-36.0297182842517</c:v>
                </c:pt>
                <c:pt idx="260">
                  <c:v>-36.5394669296366</c:v>
                </c:pt>
                <c:pt idx="261">
                  <c:v>-37.0420342823183</c:v>
                </c:pt>
                <c:pt idx="262">
                  <c:v>-37.5375338468166</c:v>
                </c:pt>
                <c:pt idx="263">
                  <c:v>-38.0260751609724</c:v>
                </c:pt>
                <c:pt idx="264">
                  <c:v>-38.5077643573539</c:v>
                </c:pt>
                <c:pt idx="265">
                  <c:v>-38.9827046310695</c:v>
                </c:pt>
                <c:pt idx="266">
                  <c:v>-39.4509966289612</c:v>
                </c:pt>
                <c:pt idx="267">
                  <c:v>-39.9127387727071</c:v>
                </c:pt>
                <c:pt idx="268">
                  <c:v>-40.3680275263396</c:v>
                </c:pt>
                <c:pt idx="269">
                  <c:v>-40.8169576170086</c:v>
                </c:pt>
                <c:pt idx="270">
                  <c:v>-41.2596222164262</c:v>
                </c:pt>
                <c:pt idx="271">
                  <c:v>-41.6961130892616</c:v>
                </c:pt>
                <c:pt idx="272">
                  <c:v>-42.1265207137876</c:v>
                </c:pt>
                <c:pt idx="273">
                  <c:v>-42.5509343792564</c:v>
                </c:pt>
                <c:pt idx="274">
                  <c:v>-42.9694422638029</c:v>
                </c:pt>
                <c:pt idx="275">
                  <c:v>-43.382131496088</c:v>
                </c:pt>
                <c:pt idx="276">
                  <c:v>-43.7890882034104</c:v>
                </c:pt>
                <c:pt idx="277">
                  <c:v>-44.1903975485999</c:v>
                </c:pt>
                <c:pt idx="278">
                  <c:v>-44.5861437576535</c:v>
                </c:pt>
                <c:pt idx="279">
                  <c:v>-44.9764101397785</c:v>
                </c:pt>
                <c:pt idx="280">
                  <c:v>-45.3612791012531</c:v>
                </c:pt>
                <c:pt idx="281">
                  <c:v>-45.7408321542989</c:v>
                </c:pt>
                <c:pt idx="282">
                  <c:v>-46.1151499219759</c:v>
                </c:pt>
                <c:pt idx="283">
                  <c:v>-46.4843121399531</c:v>
                </c:pt>
                <c:pt idx="284">
                  <c:v>-46.848397655874</c:v>
                </c:pt>
                <c:pt idx="285">
                  <c:v>-47.2074844269203</c:v>
                </c:pt>
                <c:pt idx="286">
                  <c:v>-47.5616495160824</c:v>
                </c:pt>
                <c:pt idx="287">
                  <c:v>-47.9109690875564</c:v>
                </c:pt>
                <c:pt idx="288">
                  <c:v>-48.2555184016205</c:v>
                </c:pt>
                <c:pt idx="289">
                  <c:v>-48.5953718092798</c:v>
                </c:pt>
                <c:pt idx="290">
                  <c:v>-48.9306027469152</c:v>
                </c:pt>
                <c:pt idx="291">
                  <c:v>-49.2612837311327</c:v>
                </c:pt>
                <c:pt idx="292">
                  <c:v>-49.587486353963</c:v>
                </c:pt>
                <c:pt idx="293">
                  <c:v>-49.9092812785371</c:v>
                </c:pt>
                <c:pt idx="294">
                  <c:v>-50.2267382353313</c:v>
                </c:pt>
                <c:pt idx="295">
                  <c:v>-50.5399260190513</c:v>
                </c:pt>
                <c:pt idx="296">
                  <c:v>-50.8489124862107</c:v>
                </c:pt>
                <c:pt idx="297">
                  <c:v>-51.1537645534354</c:v>
                </c:pt>
                <c:pt idx="298">
                  <c:v>-51.4545481965159</c:v>
                </c:pt>
                <c:pt idx="299">
                  <c:v>-51.7513284502183</c:v>
                </c:pt>
                <c:pt idx="300">
                  <c:v>-52.0441694088518</c:v>
                </c:pt>
                <c:pt idx="301">
                  <c:v>-52.3331342275863</c:v>
                </c:pt>
                <c:pt idx="302">
                  <c:v>-52.6182851245041</c:v>
                </c:pt>
                <c:pt idx="303">
                  <c:v>-52.8996833833665</c:v>
                </c:pt>
                <c:pt idx="304">
                  <c:v>-53.1773893570719</c:v>
                </c:pt>
                <c:pt idx="305">
                  <c:v>-53.4514624717765</c:v>
                </c:pt>
                <c:pt idx="306">
                  <c:v>-53.7219612316501</c:v>
                </c:pt>
                <c:pt idx="307">
                  <c:v>-53.9889432242336</c:v>
                </c:pt>
                <c:pt idx="308">
                  <c:v>-54.2524651263668</c:v>
                </c:pt>
                <c:pt idx="309">
                  <c:v>-54.5125827106527</c:v>
                </c:pt>
                <c:pt idx="310">
                  <c:v>-54.7693508524248</c:v>
                </c:pt>
                <c:pt idx="311">
                  <c:v>-55.0228235371826</c:v>
                </c:pt>
                <c:pt idx="312">
                  <c:v>-55.2730538684637</c:v>
                </c:pt>
                <c:pt idx="313">
                  <c:v>-55.5200940761176</c:v>
                </c:pt>
                <c:pt idx="314">
                  <c:v>-55.7639955249502</c:v>
                </c:pt>
                <c:pt idx="315">
                  <c:v>-56.004808723707</c:v>
                </c:pt>
                <c:pt idx="316">
                  <c:v>-56.2425833343647</c:v>
                </c:pt>
                <c:pt idx="317">
                  <c:v>-56.477368181701</c:v>
                </c:pt>
                <c:pt idx="318">
                  <c:v>-56.7092112631156</c:v>
                </c:pt>
                <c:pt idx="319">
                  <c:v>-56.9381597586736</c:v>
                </c:pt>
                <c:pt idx="320">
                  <c:v>-57.1642600413472</c:v>
                </c:pt>
                <c:pt idx="321">
                  <c:v>-57.3875576874283</c:v>
                </c:pt>
                <c:pt idx="322">
                  <c:v>-57.608097487091</c:v>
                </c:pt>
                <c:pt idx="323">
                  <c:v>-57.8259234550799</c:v>
                </c:pt>
                <c:pt idx="324">
                  <c:v>-58.0410788415041</c:v>
                </c:pt>
                <c:pt idx="325">
                  <c:v>-58.2536061427154</c:v>
                </c:pt>
                <c:pt idx="326">
                  <c:v>-58.4635471122541</c:v>
                </c:pt>
                <c:pt idx="327">
                  <c:v>-58.6709427718425</c:v>
                </c:pt>
                <c:pt idx="328">
                  <c:v>-58.8758334224103</c:v>
                </c:pt>
                <c:pt idx="329">
                  <c:v>-59.0782586551373</c:v>
                </c:pt>
                <c:pt idx="330">
                  <c:v>-59.2782573624967</c:v>
                </c:pt>
                <c:pt idx="331">
                  <c:v>-59.4758677492878</c:v>
                </c:pt>
                <c:pt idx="332">
                  <c:v>-59.6711273436438</c:v>
                </c:pt>
                <c:pt idx="333">
                  <c:v>-59.8640730080036</c:v>
                </c:pt>
                <c:pt idx="334">
                  <c:v>-60.0547409500367</c:v>
                </c:pt>
                <c:pt idx="335">
                  <c:v>-60.2431667335116</c:v>
                </c:pt>
                <c:pt idx="336">
                  <c:v>-60.4293852890975</c:v>
                </c:pt>
                <c:pt idx="337">
                  <c:v>-60.613430925092</c:v>
                </c:pt>
                <c:pt idx="338">
                  <c:v>-60.7953373380656</c:v>
                </c:pt>
                <c:pt idx="339">
                  <c:v>-60.9751376234179</c:v>
                </c:pt>
                <c:pt idx="340">
                  <c:v>-61.1528642858369</c:v>
                </c:pt>
                <c:pt idx="341">
                  <c:v>-61.3285492496564</c:v>
                </c:pt>
                <c:pt idx="342">
                  <c:v>-61.5022238691074</c:v>
                </c:pt>
                <c:pt idx="343">
                  <c:v>-61.6739189384568</c:v>
                </c:pt>
                <c:pt idx="344">
                  <c:v>-61.8436647020298</c:v>
                </c:pt>
                <c:pt idx="345">
                  <c:v>-62.0114908641133</c:v>
                </c:pt>
                <c:pt idx="346">
                  <c:v>-62.1774265987354</c:v>
                </c:pt>
                <c:pt idx="347">
                  <c:v>-62.3415005593187</c:v>
                </c:pt>
                <c:pt idx="348">
                  <c:v>-62.5037408882054</c:v>
                </c:pt>
                <c:pt idx="349">
                  <c:v>-62.6641752260514</c:v>
                </c:pt>
                <c:pt idx="350">
                  <c:v>-62.8228307210873</c:v>
                </c:pt>
                <c:pt idx="351">
                  <c:v>-62.9797340382459</c:v>
                </c:pt>
                <c:pt idx="352">
                  <c:v>-63.1349113681535</c:v>
                </c:pt>
                <c:pt idx="353">
                  <c:v>-63.2883884359858</c:v>
                </c:pt>
                <c:pt idx="354">
                  <c:v>-63.4401905101861</c:v>
                </c:pt>
                <c:pt idx="355">
                  <c:v>-63.590342411046</c:v>
                </c:pt>
                <c:pt idx="356">
                  <c:v>-63.7388685191488</c:v>
                </c:pt>
                <c:pt idx="357">
                  <c:v>-63.8857927836755</c:v>
                </c:pt>
                <c:pt idx="358">
                  <c:v>-64.0311387305713</c:v>
                </c:pt>
                <c:pt idx="359">
                  <c:v>-64.1749294705783</c:v>
                </c:pt>
                <c:pt idx="360">
                  <c:v>-64.3171877071278</c:v>
                </c:pt>
                <c:pt idx="361">
                  <c:v>-64.4579357440993</c:v>
                </c:pt>
                <c:pt idx="362">
                  <c:v>-64.5971954934423</c:v>
                </c:pt>
                <c:pt idx="363">
                  <c:v>-64.7349884826654</c:v>
                </c:pt>
                <c:pt idx="364">
                  <c:v>-64.8713358621903</c:v>
                </c:pt>
                <c:pt idx="365">
                  <c:v>-65.0062584125748</c:v>
                </c:pt>
                <c:pt idx="366">
                  <c:v>-65.1397765516041</c:v>
                </c:pt>
                <c:pt idx="367">
                  <c:v>-65.2719103412523</c:v>
                </c:pt>
                <c:pt idx="368">
                  <c:v>-65.4026794945157</c:v>
                </c:pt>
                <c:pt idx="369">
                  <c:v>-65.5321033821191</c:v>
                </c:pt>
                <c:pt idx="370">
                  <c:v>-65.6602010390959</c:v>
                </c:pt>
                <c:pt idx="371">
                  <c:v>-65.7869911712453</c:v>
                </c:pt>
                <c:pt idx="372">
                  <c:v>-65.9124921614662</c:v>
                </c:pt>
                <c:pt idx="373">
                  <c:v>-66.0367220759705</c:v>
                </c:pt>
                <c:pt idx="374">
                  <c:v>-66.159698670378</c:v>
                </c:pt>
                <c:pt idx="375">
                  <c:v>-66.2814393956923</c:v>
                </c:pt>
                <c:pt idx="376">
                  <c:v>-66.4019614041622</c:v>
                </c:pt>
                <c:pt idx="377">
                  <c:v>-66.5212815550292</c:v>
                </c:pt>
                <c:pt idx="378">
                  <c:v>-66.639416420162</c:v>
                </c:pt>
                <c:pt idx="379">
                  <c:v>-66.7563822895804</c:v>
                </c:pt>
                <c:pt idx="380">
                  <c:v>-66.8721951768716</c:v>
                </c:pt>
                <c:pt idx="381">
                  <c:v>-66.9868708244986</c:v>
                </c:pt>
                <c:pt idx="382">
                  <c:v>-67.1004247090034</c:v>
                </c:pt>
                <c:pt idx="383">
                  <c:v>-67.2128720461071</c:v>
                </c:pt>
                <c:pt idx="384">
                  <c:v>-67.3242277957086</c:v>
                </c:pt>
                <c:pt idx="385">
                  <c:v>-67.4345066667832</c:v>
                </c:pt>
                <c:pt idx="386">
                  <c:v>-67.5437231221829</c:v>
                </c:pt>
                <c:pt idx="387">
                  <c:v>-67.6518913833403</c:v>
                </c:pt>
                <c:pt idx="388">
                  <c:v>-67.7590254348793</c:v>
                </c:pt>
                <c:pt idx="389">
                  <c:v>-67.8651390291302</c:v>
                </c:pt>
                <c:pt idx="390">
                  <c:v>-67.9702456905568</c:v>
                </c:pt>
                <c:pt idx="391">
                  <c:v>-68.0743587200916</c:v>
                </c:pt>
                <c:pt idx="392">
                  <c:v>-68.1774911993845</c:v>
                </c:pt>
                <c:pt idx="393">
                  <c:v>-68.2796559949656</c:v>
                </c:pt>
                <c:pt idx="394">
                  <c:v>-68.3808657623221</c:v>
                </c:pt>
                <c:pt idx="395">
                  <c:v>-68.4811329498945</c:v>
                </c:pt>
                <c:pt idx="396">
                  <c:v>-68.5804698029896</c:v>
                </c:pt>
                <c:pt idx="397">
                  <c:v>-68.6788883676153</c:v>
                </c:pt>
                <c:pt idx="398">
                  <c:v>-68.7764004942369</c:v>
                </c:pt>
                <c:pt idx="399">
                  <c:v>-68.8730178414569</c:v>
                </c:pt>
                <c:pt idx="400">
                  <c:v>-68.9687518796198</c:v>
                </c:pt>
                <c:pt idx="401">
                  <c:v>-69.0636138943432</c:v>
                </c:pt>
                <c:pt idx="402">
                  <c:v>-69.1576149899779</c:v>
                </c:pt>
                <c:pt idx="403">
                  <c:v>-69.2507660929965</c:v>
                </c:pt>
                <c:pt idx="404">
                  <c:v>-69.343077955313</c:v>
                </c:pt>
                <c:pt idx="405">
                  <c:v>-69.4345611575354</c:v>
                </c:pt>
                <c:pt idx="406">
                  <c:v>-69.5252261121514</c:v>
                </c:pt>
                <c:pt idx="407">
                  <c:v>-69.6150830666495</c:v>
                </c:pt>
                <c:pt idx="408">
                  <c:v>-69.7041421065761</c:v>
                </c:pt>
                <c:pt idx="409">
                  <c:v>-69.7924131585312</c:v>
                </c:pt>
                <c:pt idx="410">
                  <c:v>-69.879905993102</c:v>
                </c:pt>
                <c:pt idx="411">
                  <c:v>-69.9666302277379</c:v>
                </c:pt>
                <c:pt idx="412">
                  <c:v>-70.0525953295658</c:v>
                </c:pt>
                <c:pt idx="413">
                  <c:v>-70.13781061815</c:v>
                </c:pt>
                <c:pt idx="414">
                  <c:v>-70.2222852681939</c:v>
                </c:pt>
                <c:pt idx="415">
                  <c:v>-70.3060283121883</c:v>
                </c:pt>
                <c:pt idx="416">
                  <c:v>-70.3890486430059</c:v>
                </c:pt>
                <c:pt idx="417">
                  <c:v>-70.4713550164425</c:v>
                </c:pt>
                <c:pt idx="418">
                  <c:v>-70.5529560537077</c:v>
                </c:pt>
                <c:pt idx="419">
                  <c:v>-70.6338602438642</c:v>
                </c:pt>
                <c:pt idx="420">
                  <c:v>-70.7140759462187</c:v>
                </c:pt>
                <c:pt idx="421">
                  <c:v>-70.7936113926641</c:v>
                </c:pt>
                <c:pt idx="422">
                  <c:v>-70.8724746899743</c:v>
                </c:pt>
                <c:pt idx="423">
                  <c:v>-70.9506738220536</c:v>
                </c:pt>
                <c:pt idx="424">
                  <c:v>-71.0282166521399</c:v>
                </c:pt>
                <c:pt idx="425">
                  <c:v>-71.1051109249638</c:v>
                </c:pt>
                <c:pt idx="426">
                  <c:v>-71.181364268865</c:v>
                </c:pt>
                <c:pt idx="427">
                  <c:v>-71.2569841978659</c:v>
                </c:pt>
                <c:pt idx="428">
                  <c:v>-71.3319781137032</c:v>
                </c:pt>
                <c:pt idx="429">
                  <c:v>-71.4063533078197</c:v>
                </c:pt>
                <c:pt idx="430">
                  <c:v>-71.480116963316</c:v>
                </c:pt>
                <c:pt idx="431">
                  <c:v>-71.553276156863</c:v>
                </c:pt>
                <c:pt idx="432">
                  <c:v>-71.6258378605771</c:v>
                </c:pt>
                <c:pt idx="433">
                  <c:v>-71.6978089438569</c:v>
                </c:pt>
                <c:pt idx="434">
                  <c:v>-71.7691961751848</c:v>
                </c:pt>
                <c:pt idx="435">
                  <c:v>-71.8400062238922</c:v>
                </c:pt>
                <c:pt idx="436">
                  <c:v>-71.9102456618894</c:v>
                </c:pt>
                <c:pt idx="437">
                  <c:v>-71.9799209653625</c:v>
                </c:pt>
                <c:pt idx="438">
                  <c:v>-72.0490385164356</c:v>
                </c:pt>
                <c:pt idx="439">
                  <c:v>-72.1176046048005</c:v>
                </c:pt>
                <c:pt idx="440">
                  <c:v>-72.1856254293158</c:v>
                </c:pt>
                <c:pt idx="441">
                  <c:v>-72.2531070995721</c:v>
                </c:pt>
                <c:pt idx="442">
                  <c:v>-72.320055637429</c:v>
                </c:pt>
                <c:pt idx="443">
                  <c:v>-72.3864769785199</c:v>
                </c:pt>
                <c:pt idx="444">
                  <c:v>-72.4523769737295</c:v>
                </c:pt>
                <c:pt idx="445">
                  <c:v>-72.5177613906409</c:v>
                </c:pt>
                <c:pt idx="446">
                  <c:v>-72.5826359149549</c:v>
                </c:pt>
                <c:pt idx="447">
                  <c:v>-72.6470061518826</c:v>
                </c:pt>
                <c:pt idx="448">
                  <c:v>-72.7108776275101</c:v>
                </c:pt>
                <c:pt idx="449">
                  <c:v>-72.7742557901363</c:v>
                </c:pt>
                <c:pt idx="450">
                  <c:v>-72.8371460115872</c:v>
                </c:pt>
                <c:pt idx="451">
                  <c:v>-72.8995535885017</c:v>
                </c:pt>
                <c:pt idx="452">
                  <c:v>-72.961483743595</c:v>
                </c:pt>
                <c:pt idx="453">
                  <c:v>-73.022941626897</c:v>
                </c:pt>
                <c:pt idx="454">
                  <c:v>-73.0839323169667</c:v>
                </c:pt>
                <c:pt idx="455">
                  <c:v>-73.144460822084</c:v>
                </c:pt>
                <c:pt idx="456">
                  <c:v>-73.2045320814178</c:v>
                </c:pt>
                <c:pt idx="457">
                  <c:v>-73.2641509661728</c:v>
                </c:pt>
                <c:pt idx="458">
                  <c:v>-73.3233222807139</c:v>
                </c:pt>
                <c:pt idx="459">
                  <c:v>-73.3820507636697</c:v>
                </c:pt>
                <c:pt idx="460">
                  <c:v>-73.4403410890145</c:v>
                </c:pt>
                <c:pt idx="461">
                  <c:v>-73.4981978671304</c:v>
                </c:pt>
                <c:pt idx="462">
                  <c:v>-73.5556256458492</c:v>
                </c:pt>
                <c:pt idx="463">
                  <c:v>-73.6126289114745</c:v>
                </c:pt>
                <c:pt idx="464">
                  <c:v>-73.6692120897848</c:v>
                </c:pt>
                <c:pt idx="465">
                  <c:v>-73.7253795470176</c:v>
                </c:pt>
                <c:pt idx="466">
                  <c:v>-73.7811355908356</c:v>
                </c:pt>
                <c:pt idx="467">
                  <c:v>-73.836484471274</c:v>
                </c:pt>
                <c:pt idx="468">
                  <c:v>-73.8914303816707</c:v>
                </c:pt>
                <c:pt idx="469">
                  <c:v>-73.9459774595795</c:v>
                </c:pt>
                <c:pt idx="470">
                  <c:v>-74.0001297876657</c:v>
                </c:pt>
                <c:pt idx="471">
                  <c:v>-74.0538913945848</c:v>
                </c:pt>
                <c:pt idx="472">
                  <c:v>-74.107266255847</c:v>
                </c:pt>
                <c:pt idx="473">
                  <c:v>-74.1602582946627</c:v>
                </c:pt>
                <c:pt idx="474">
                  <c:v>-74.2128713827753</c:v>
                </c:pt>
                <c:pt idx="475">
                  <c:v>-74.2651093412766</c:v>
                </c:pt>
                <c:pt idx="476">
                  <c:v>-74.3169759414087</c:v>
                </c:pt>
                <c:pt idx="477">
                  <c:v>-74.3684749053502</c:v>
                </c:pt>
                <c:pt idx="478">
                  <c:v>-74.4196099069889</c:v>
                </c:pt>
                <c:pt idx="479">
                  <c:v>-74.4703845726799</c:v>
                </c:pt>
                <c:pt idx="480">
                  <c:v>-74.52080248199</c:v>
                </c:pt>
                <c:pt idx="481">
                  <c:v>-74.5708671684286</c:v>
                </c:pt>
                <c:pt idx="482">
                  <c:v>-74.6205821201657</c:v>
                </c:pt>
                <c:pt idx="483">
                  <c:v>-74.6699507807369</c:v>
                </c:pt>
                <c:pt idx="484">
                  <c:v>-74.7189765497346</c:v>
                </c:pt>
                <c:pt idx="485">
                  <c:v>-74.7676627834889</c:v>
                </c:pt>
                <c:pt idx="486">
                  <c:v>-74.8160127957344</c:v>
                </c:pt>
                <c:pt idx="487">
                  <c:v>-74.8640298582654</c:v>
                </c:pt>
                <c:pt idx="488">
                  <c:v>-74.9117172015807</c:v>
                </c:pt>
                <c:pt idx="489">
                  <c:v>-74.9590780155153</c:v>
                </c:pt>
                <c:pt idx="490">
                  <c:v>-75.0061154498617</c:v>
                </c:pt>
                <c:pt idx="491">
                  <c:v>-75.0528326149801</c:v>
                </c:pt>
                <c:pt idx="492">
                  <c:v>-75.0992325823976</c:v>
                </c:pt>
                <c:pt idx="493">
                  <c:v>-75.1453183853973</c:v>
                </c:pt>
                <c:pt idx="494">
                  <c:v>-75.1910930195961</c:v>
                </c:pt>
                <c:pt idx="495">
                  <c:v>-75.2365594435134</c:v>
                </c:pt>
                <c:pt idx="496">
                  <c:v>-75.2817205791293</c:v>
                </c:pt>
                <c:pt idx="497">
                  <c:v>-75.3265793124327</c:v>
                </c:pt>
                <c:pt idx="498">
                  <c:v>-75.3711384939607</c:v>
                </c:pt>
                <c:pt idx="499">
                  <c:v>-75.4154009393278</c:v>
                </c:pt>
                <c:pt idx="500">
                  <c:v>-75.4593694297465</c:v>
                </c:pt>
                <c:pt idx="501">
                  <c:v>-75.5030467125381</c:v>
                </c:pt>
                <c:pt idx="502">
                  <c:v>-75.5464355016357</c:v>
                </c:pt>
                <c:pt idx="503">
                  <c:v>-75.5895384780776</c:v>
                </c:pt>
                <c:pt idx="504">
                  <c:v>-75.6323582904926</c:v>
                </c:pt>
                <c:pt idx="505">
                  <c:v>-75.6748975555773</c:v>
                </c:pt>
                <c:pt idx="506">
                  <c:v>-75.7171588585643</c:v>
                </c:pt>
                <c:pt idx="507">
                  <c:v>-75.7591447536831</c:v>
                </c:pt>
                <c:pt idx="508">
                  <c:v>-75.8008577646133</c:v>
                </c:pt>
                <c:pt idx="509">
                  <c:v>-75.842300384929</c:v>
                </c:pt>
                <c:pt idx="510">
                  <c:v>-75.8834750785375</c:v>
                </c:pt>
                <c:pt idx="511">
                  <c:v>-75.9243842801082</c:v>
                </c:pt>
                <c:pt idx="512">
                  <c:v>-75.9650303954965</c:v>
                </c:pt>
                <c:pt idx="513">
                  <c:v>-76.0054158021586</c:v>
                </c:pt>
                <c:pt idx="514">
                  <c:v>-76.0455428495613</c:v>
                </c:pt>
                <c:pt idx="515">
                  <c:v>-76.0854138595828</c:v>
                </c:pt>
                <c:pt idx="516">
                  <c:v>-76.1250311269089</c:v>
                </c:pt>
                <c:pt idx="517">
                  <c:v>-76.1643969194203</c:v>
                </c:pt>
                <c:pt idx="518">
                  <c:v>-76.2035134785756</c:v>
                </c:pt>
                <c:pt idx="519">
                  <c:v>-76.2423830197868</c:v>
                </c:pt>
                <c:pt idx="520">
                  <c:v>-76.2810077327883</c:v>
                </c:pt>
                <c:pt idx="521">
                  <c:v>-76.3193897820004</c:v>
                </c:pt>
                <c:pt idx="522">
                  <c:v>-76.3575313068868</c:v>
                </c:pt>
                <c:pt idx="523">
                  <c:v>-76.3954344223059</c:v>
                </c:pt>
                <c:pt idx="524">
                  <c:v>-76.4331012188559</c:v>
                </c:pt>
                <c:pt idx="525">
                  <c:v>-76.4705337632158</c:v>
                </c:pt>
                <c:pt idx="526">
                  <c:v>-76.5077340984785</c:v>
                </c:pt>
                <c:pt idx="527">
                  <c:v>-76.5447042444805</c:v>
                </c:pt>
                <c:pt idx="528">
                  <c:v>-76.5814461981252</c:v>
                </c:pt>
                <c:pt idx="529">
                  <c:v>-76.6179619337009</c:v>
                </c:pt>
                <c:pt idx="530">
                  <c:v>-76.6542534031946</c:v>
                </c:pt>
                <c:pt idx="531">
                  <c:v>-76.6903225365988</c:v>
                </c:pt>
                <c:pt idx="532">
                  <c:v>-76.7261712422155</c:v>
                </c:pt>
                <c:pt idx="533">
                  <c:v>-76.7618014069541</c:v>
                </c:pt>
                <c:pt idx="534">
                  <c:v>-76.7972148966243</c:v>
                </c:pt>
                <c:pt idx="535">
                  <c:v>-76.8324135562253</c:v>
                </c:pt>
                <c:pt idx="536">
                  <c:v>-76.8673992102295</c:v>
                </c:pt>
                <c:pt idx="537">
                  <c:v>-76.9021736628613</c:v>
                </c:pt>
                <c:pt idx="538">
                  <c:v>-76.9367386983737</c:v>
                </c:pt>
                <c:pt idx="539">
                  <c:v>-76.971096081317</c:v>
                </c:pt>
                <c:pt idx="540">
                  <c:v>-77.0052475568062</c:v>
                </c:pt>
                <c:pt idx="541">
                  <c:v>-77.0391948507833</c:v>
                </c:pt>
                <c:pt idx="542">
                  <c:v>-77.072939670274</c:v>
                </c:pt>
                <c:pt idx="543">
                  <c:v>-77.1064837036428</c:v>
                </c:pt>
                <c:pt idx="544">
                  <c:v>-77.1398286208421</c:v>
                </c:pt>
                <c:pt idx="545">
                  <c:v>-77.1729760736587</c:v>
                </c:pt>
                <c:pt idx="546">
                  <c:v>-77.2059276959552</c:v>
                </c:pt>
                <c:pt idx="547">
                  <c:v>-77.2386851039088</c:v>
                </c:pt>
                <c:pt idx="548">
                  <c:v>-77.2712498962457</c:v>
                </c:pt>
                <c:pt idx="549">
                  <c:v>-77.3036236544718</c:v>
                </c:pt>
                <c:pt idx="550">
                  <c:v>-77.3358079431004</c:v>
                </c:pt>
                <c:pt idx="551">
                  <c:v>-77.3678043098758</c:v>
                </c:pt>
                <c:pt idx="552">
                  <c:v>-77.3996142859937</c:v>
                </c:pt>
                <c:pt idx="553">
                  <c:v>-77.4312393863177</c:v>
                </c:pt>
                <c:pt idx="554">
                  <c:v>-77.4626811095937</c:v>
                </c:pt>
                <c:pt idx="555">
                  <c:v>-77.4939409386593</c:v>
                </c:pt>
                <c:pt idx="556">
                  <c:v>-77.5250203406518</c:v>
                </c:pt>
                <c:pt idx="557">
                  <c:v>-77.5559207672112</c:v>
                </c:pt>
                <c:pt idx="558">
                  <c:v>-77.5866436546816</c:v>
                </c:pt>
                <c:pt idx="559">
                  <c:v>-77.6171904243088</c:v>
                </c:pt>
                <c:pt idx="560">
                  <c:v>-77.6475624824349</c:v>
                </c:pt>
                <c:pt idx="561">
                  <c:v>-77.6777612206902</c:v>
                </c:pt>
                <c:pt idx="562">
                  <c:v>-77.7077880161817</c:v>
                </c:pt>
                <c:pt idx="563">
                  <c:v>-77.7376442316801</c:v>
                </c:pt>
                <c:pt idx="564">
                  <c:v>-77.7673312158016</c:v>
                </c:pt>
                <c:pt idx="565">
                  <c:v>-77.7968503031895</c:v>
                </c:pt>
                <c:pt idx="566">
                  <c:v>-77.8262028146916</c:v>
                </c:pt>
                <c:pt idx="567">
                  <c:v>-77.8553900575349</c:v>
                </c:pt>
                <c:pt idx="568">
                  <c:v>-77.8844133254986</c:v>
                </c:pt>
                <c:pt idx="569">
                  <c:v>-77.9132738990839</c:v>
                </c:pt>
                <c:pt idx="570">
                  <c:v>-77.9419730456811</c:v>
                </c:pt>
                <c:pt idx="571">
                  <c:v>-77.9705120197347</c:v>
                </c:pt>
                <c:pt idx="572">
                  <c:v>-77.9988920629055</c:v>
                </c:pt>
                <c:pt idx="573">
                  <c:v>-78.0271144042315</c:v>
                </c:pt>
                <c:pt idx="574">
                  <c:v>-78.0551802602847</c:v>
                </c:pt>
                <c:pt idx="575">
                  <c:v>-78.0830908353267</c:v>
                </c:pt>
                <c:pt idx="576">
                  <c:v>-78.1108473214618</c:v>
                </c:pt>
                <c:pt idx="577">
                  <c:v>-78.1384508987883</c:v>
                </c:pt>
                <c:pt idx="578">
                  <c:v>-78.1659027355463</c:v>
                </c:pt>
                <c:pt idx="579">
                  <c:v>-78.1932039882646</c:v>
                </c:pt>
                <c:pt idx="580">
                  <c:v>-78.2203558019052</c:v>
                </c:pt>
                <c:pt idx="581">
                  <c:v>-78.2473593100053</c:v>
                </c:pt>
                <c:pt idx="582">
                  <c:v>-78.2742156348173</c:v>
                </c:pt>
                <c:pt idx="583">
                  <c:v>-78.3009258874474</c:v>
                </c:pt>
                <c:pt idx="584">
                  <c:v>-78.3274911679914</c:v>
                </c:pt>
                <c:pt idx="585">
                  <c:v>-78.3539125656688</c:v>
                </c:pt>
                <c:pt idx="586">
                  <c:v>-78.3801911589554</c:v>
                </c:pt>
                <c:pt idx="587">
                  <c:v>-78.4063280157135</c:v>
                </c:pt>
                <c:pt idx="588">
                  <c:v>-78.4323241933204</c:v>
                </c:pt>
                <c:pt idx="589">
                  <c:v>-78.4581807387949</c:v>
                </c:pt>
                <c:pt idx="590">
                  <c:v>-78.4838986889223</c:v>
                </c:pt>
                <c:pt idx="591">
                  <c:v>-78.5094790703777</c:v>
                </c:pt>
                <c:pt idx="592">
                  <c:v>-78.5349228998467</c:v>
                </c:pt>
                <c:pt idx="593">
                  <c:v>-78.5602311841456</c:v>
                </c:pt>
                <c:pt idx="594">
                  <c:v>-78.5854049203392</c:v>
                </c:pt>
                <c:pt idx="595">
                  <c:v>-78.6104450958571</c:v>
                </c:pt>
                <c:pt idx="596">
                  <c:v>-78.6353526886077</c:v>
                </c:pt>
                <c:pt idx="597">
                  <c:v>-78.6601286670922</c:v>
                </c:pt>
                <c:pt idx="598">
                  <c:v>-78.6847739905151</c:v>
                </c:pt>
                <c:pt idx="599">
                  <c:v>-78.7092896088949</c:v>
                </c:pt>
                <c:pt idx="600">
                  <c:v>-78.7336764631718</c:v>
                </c:pt>
                <c:pt idx="601">
                  <c:v>-78.7579354853149</c:v>
                </c:pt>
                <c:pt idx="602">
                  <c:v>-78.7820675984271</c:v>
                </c:pt>
                <c:pt idx="603">
                  <c:v>-78.8060737168497</c:v>
                </c:pt>
                <c:pt idx="604">
                  <c:v>-78.8299547462639</c:v>
                </c:pt>
                <c:pt idx="605">
                  <c:v>-78.8537115837928</c:v>
                </c:pt>
                <c:pt idx="606">
                  <c:v>-79.9008122181085</c:v>
                </c:pt>
                <c:pt idx="607">
                  <c:v>-80.7258832239411</c:v>
                </c:pt>
                <c:pt idx="608">
                  <c:v>-81.3878173902014</c:v>
                </c:pt>
                <c:pt idx="609">
                  <c:v>-81.9264710922126</c:v>
                </c:pt>
                <c:pt idx="610">
                  <c:v>-82.36974843763</c:v>
                </c:pt>
                <c:pt idx="611">
                  <c:v>-82.7377530170518</c:v>
                </c:pt>
                <c:pt idx="612">
                  <c:v>-83.0453271192352</c:v>
                </c:pt>
                <c:pt idx="613">
                  <c:v>-83.3036625099596</c:v>
                </c:pt>
                <c:pt idx="614">
                  <c:v>-83.521355051377</c:v>
                </c:pt>
                <c:pt idx="615">
                  <c:v>-83.70511449135</c:v>
                </c:pt>
                <c:pt idx="616">
                  <c:v>-83.8602538984728</c:v>
                </c:pt>
                <c:pt idx="617">
                  <c:v>-83.9910344814836</c:v>
                </c:pt>
                <c:pt idx="618">
                  <c:v>-84.037323176247</c:v>
                </c:pt>
                <c:pt idx="619">
                  <c:v>-84.0804658257018</c:v>
                </c:pt>
                <c:pt idx="620">
                  <c:v>-84.1206394455274</c:v>
                </c:pt>
                <c:pt idx="621">
                  <c:v>-84.158008046167</c:v>
                </c:pt>
                <c:pt idx="622">
                  <c:v>-84.1927238040559</c:v>
                </c:pt>
                <c:pt idx="623">
                  <c:v>-84.2249281086977</c:v>
                </c:pt>
                <c:pt idx="624">
                  <c:v>-84.2547525006538</c:v>
                </c:pt>
                <c:pt idx="625">
                  <c:v>-84.2823195134597</c:v>
                </c:pt>
                <c:pt idx="626">
                  <c:v>-84.307743430744</c:v>
                </c:pt>
                <c:pt idx="627">
                  <c:v>-84.3311309683323</c:v>
                </c:pt>
                <c:pt idx="628">
                  <c:v>-84.3525818898598</c:v>
                </c:pt>
                <c:pt idx="629">
                  <c:v>-84.3721895633225</c:v>
                </c:pt>
                <c:pt idx="630">
                  <c:v>-84.3900414650671</c:v>
                </c:pt>
                <c:pt idx="631">
                  <c:v>-84.4062196369138</c:v>
                </c:pt>
                <c:pt idx="632">
                  <c:v>-84.4208011014137</c:v>
                </c:pt>
                <c:pt idx="633">
                  <c:v>-84.4338582396433</c:v>
                </c:pt>
                <c:pt idx="634">
                  <c:v>-84.4454591354149</c:v>
                </c:pt>
                <c:pt idx="635">
                  <c:v>-84.4556678893335</c:v>
                </c:pt>
                <c:pt idx="636">
                  <c:v>-84.4645449057327</c:v>
                </c:pt>
                <c:pt idx="637">
                  <c:v>-84.4721471551837</c:v>
                </c:pt>
                <c:pt idx="638">
                  <c:v>-84.4785284149628</c:v>
                </c:pt>
                <c:pt idx="639">
                  <c:v>-84.4837394896101</c:v>
                </c:pt>
                <c:pt idx="640">
                  <c:v>-84.4878284134702</c:v>
                </c:pt>
                <c:pt idx="641">
                  <c:v>-84.4908406369108</c:v>
                </c:pt>
                <c:pt idx="642">
                  <c:v>-84.4928191977301</c:v>
                </c:pt>
                <c:pt idx="643">
                  <c:v>-84.4938048791088</c:v>
                </c:pt>
                <c:pt idx="644">
                  <c:v>-84.4938363553238</c:v>
                </c:pt>
                <c:pt idx="645">
                  <c:v>-84.4929503263118</c:v>
                </c:pt>
                <c:pt idx="646">
                  <c:v>-84.4911816420684</c:v>
                </c:pt>
                <c:pt idx="647">
                  <c:v>-84.4885634177637</c:v>
                </c:pt>
                <c:pt idx="648">
                  <c:v>-84.4851271403743</c:v>
                </c:pt>
                <c:pt idx="649">
                  <c:v>-84.4809027675508</c:v>
                </c:pt>
                <c:pt idx="650">
                  <c:v>-84.4759188193719</c:v>
                </c:pt>
                <c:pt idx="651">
                  <c:v>-84.4702024635756</c:v>
                </c:pt>
                <c:pt idx="652">
                  <c:v>-84.4637795948008</c:v>
                </c:pt>
                <c:pt idx="653">
                  <c:v>-84.4566749083253</c:v>
                </c:pt>
                <c:pt idx="654">
                  <c:v>-84.4489119687402</c:v>
                </c:pt>
                <c:pt idx="655">
                  <c:v>-84.4405132739616</c:v>
                </c:pt>
                <c:pt idx="656">
                  <c:v>-84.4315003149453</c:v>
                </c:pt>
                <c:pt idx="657">
                  <c:v>-84.4218936314352</c:v>
                </c:pt>
                <c:pt idx="658">
                  <c:v>-84.4117128640525</c:v>
                </c:pt>
                <c:pt idx="659">
                  <c:v>-84.4009768029989</c:v>
                </c:pt>
                <c:pt idx="660">
                  <c:v>-84.3897034336305</c:v>
                </c:pt>
                <c:pt idx="661">
                  <c:v>-84.3779099791339</c:v>
                </c:pt>
                <c:pt idx="662">
                  <c:v>-84.3656129405155</c:v>
                </c:pt>
                <c:pt idx="663">
                  <c:v>-84.3528281341013</c:v>
                </c:pt>
                <c:pt idx="664">
                  <c:v>-84.3395707267244</c:v>
                </c:pt>
                <c:pt idx="665">
                  <c:v>-84.3258552687662</c:v>
                </c:pt>
                <c:pt idx="666">
                  <c:v>-84.3116957252011</c:v>
                </c:pt>
                <c:pt idx="667">
                  <c:v>-84.2971055047854</c:v>
                </c:pt>
              </c:numCache>
            </c:numRef>
          </c:yVal>
        </c:ser>
        <c:ser>
          <c:idx val="1"/>
          <c:order val="1"/>
          <c:tx>
            <c:strRef>
              <c:f>"Actual Phase"</c:f>
              <c:strCache>
                <c:ptCount val="1"/>
                <c:pt idx="0">
                  <c:v>Actual Phase</c:v>
                </c:pt>
              </c:strCache>
            </c:strRef>
          </c:tx>
          <c:spPr>
            <a:solidFill>
              <a:srgbClr val="660066"/>
            </a:solidFill>
            <a:ln w="38160">
              <a:solidFill>
                <a:srgbClr val="660066"/>
              </a:solidFill>
              <a:round/>
            </a:ln>
          </c:spPr>
          <c:marker>
            <c:size val="7"/>
          </c:marker>
          <c:xVal>
            <c:numRef>
              <c:f>'Bode Plots Calculations'!$A$9:$A$676</c:f>
              <c:numCache>
                <c:formatCode>General</c:formatCode>
                <c:ptCount val="668"/>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1500</c:v>
                </c:pt>
                <c:pt idx="29">
                  <c:v>2000</c:v>
                </c:pt>
                <c:pt idx="30">
                  <c:v>2500</c:v>
                </c:pt>
                <c:pt idx="31">
                  <c:v>3000</c:v>
                </c:pt>
                <c:pt idx="32">
                  <c:v>3500</c:v>
                </c:pt>
                <c:pt idx="33">
                  <c:v>4000</c:v>
                </c:pt>
                <c:pt idx="34">
                  <c:v>4500</c:v>
                </c:pt>
                <c:pt idx="35">
                  <c:v>5000</c:v>
                </c:pt>
                <c:pt idx="36">
                  <c:v>5500</c:v>
                </c:pt>
                <c:pt idx="37">
                  <c:v>6000</c:v>
                </c:pt>
                <c:pt idx="38">
                  <c:v>6500</c:v>
                </c:pt>
                <c:pt idx="39">
                  <c:v>7000</c:v>
                </c:pt>
                <c:pt idx="40">
                  <c:v>7500</c:v>
                </c:pt>
                <c:pt idx="41">
                  <c:v>8000</c:v>
                </c:pt>
                <c:pt idx="42">
                  <c:v>8500</c:v>
                </c:pt>
                <c:pt idx="43">
                  <c:v>9000</c:v>
                </c:pt>
                <c:pt idx="44">
                  <c:v>9500</c:v>
                </c:pt>
                <c:pt idx="45">
                  <c:v>10000</c:v>
                </c:pt>
                <c:pt idx="46">
                  <c:v>10500</c:v>
                </c:pt>
                <c:pt idx="47">
                  <c:v>11000</c:v>
                </c:pt>
                <c:pt idx="48">
                  <c:v>11500</c:v>
                </c:pt>
                <c:pt idx="49">
                  <c:v>12000</c:v>
                </c:pt>
                <c:pt idx="50">
                  <c:v>12500</c:v>
                </c:pt>
                <c:pt idx="51">
                  <c:v>13000</c:v>
                </c:pt>
                <c:pt idx="52">
                  <c:v>13500</c:v>
                </c:pt>
                <c:pt idx="53">
                  <c:v>14000</c:v>
                </c:pt>
                <c:pt idx="54">
                  <c:v>14500</c:v>
                </c:pt>
                <c:pt idx="55">
                  <c:v>15000</c:v>
                </c:pt>
                <c:pt idx="56">
                  <c:v>15500</c:v>
                </c:pt>
                <c:pt idx="57">
                  <c:v>16000</c:v>
                </c:pt>
                <c:pt idx="58">
                  <c:v>16500</c:v>
                </c:pt>
                <c:pt idx="59">
                  <c:v>17000</c:v>
                </c:pt>
                <c:pt idx="60">
                  <c:v>17500</c:v>
                </c:pt>
                <c:pt idx="61">
                  <c:v>18000</c:v>
                </c:pt>
                <c:pt idx="62">
                  <c:v>18500</c:v>
                </c:pt>
                <c:pt idx="63">
                  <c:v>19000</c:v>
                </c:pt>
                <c:pt idx="64">
                  <c:v>19500</c:v>
                </c:pt>
                <c:pt idx="65">
                  <c:v>20000</c:v>
                </c:pt>
                <c:pt idx="66">
                  <c:v>20500</c:v>
                </c:pt>
                <c:pt idx="67">
                  <c:v>21000</c:v>
                </c:pt>
                <c:pt idx="68">
                  <c:v>21500</c:v>
                </c:pt>
                <c:pt idx="69">
                  <c:v>22000</c:v>
                </c:pt>
                <c:pt idx="70">
                  <c:v>22500</c:v>
                </c:pt>
                <c:pt idx="71">
                  <c:v>23000</c:v>
                </c:pt>
                <c:pt idx="72">
                  <c:v>23500</c:v>
                </c:pt>
                <c:pt idx="73">
                  <c:v>24000</c:v>
                </c:pt>
                <c:pt idx="74">
                  <c:v>24500</c:v>
                </c:pt>
                <c:pt idx="75">
                  <c:v>25000</c:v>
                </c:pt>
                <c:pt idx="76">
                  <c:v>25500</c:v>
                </c:pt>
                <c:pt idx="77">
                  <c:v>26000</c:v>
                </c:pt>
                <c:pt idx="78">
                  <c:v>26500</c:v>
                </c:pt>
                <c:pt idx="79">
                  <c:v>27000</c:v>
                </c:pt>
                <c:pt idx="80">
                  <c:v>27500</c:v>
                </c:pt>
                <c:pt idx="81">
                  <c:v>28000</c:v>
                </c:pt>
                <c:pt idx="82">
                  <c:v>28500</c:v>
                </c:pt>
                <c:pt idx="83">
                  <c:v>29000</c:v>
                </c:pt>
                <c:pt idx="84">
                  <c:v>29500</c:v>
                </c:pt>
                <c:pt idx="85">
                  <c:v>30000</c:v>
                </c:pt>
                <c:pt idx="86">
                  <c:v>30500</c:v>
                </c:pt>
                <c:pt idx="87">
                  <c:v>31000</c:v>
                </c:pt>
                <c:pt idx="88">
                  <c:v>31500</c:v>
                </c:pt>
                <c:pt idx="89">
                  <c:v>32000</c:v>
                </c:pt>
                <c:pt idx="90">
                  <c:v>32500</c:v>
                </c:pt>
                <c:pt idx="91">
                  <c:v>33000</c:v>
                </c:pt>
                <c:pt idx="92">
                  <c:v>33500</c:v>
                </c:pt>
                <c:pt idx="93">
                  <c:v>34000</c:v>
                </c:pt>
                <c:pt idx="94">
                  <c:v>34500</c:v>
                </c:pt>
                <c:pt idx="95">
                  <c:v>35000</c:v>
                </c:pt>
                <c:pt idx="96">
                  <c:v>35500</c:v>
                </c:pt>
                <c:pt idx="97">
                  <c:v>36000</c:v>
                </c:pt>
                <c:pt idx="98">
                  <c:v>36500</c:v>
                </c:pt>
                <c:pt idx="99">
                  <c:v>37000</c:v>
                </c:pt>
                <c:pt idx="100">
                  <c:v>37500</c:v>
                </c:pt>
                <c:pt idx="101">
                  <c:v>38000</c:v>
                </c:pt>
                <c:pt idx="102">
                  <c:v>38500</c:v>
                </c:pt>
                <c:pt idx="103">
                  <c:v>39000</c:v>
                </c:pt>
                <c:pt idx="104">
                  <c:v>39500</c:v>
                </c:pt>
                <c:pt idx="105">
                  <c:v>40000</c:v>
                </c:pt>
                <c:pt idx="106">
                  <c:v>40500</c:v>
                </c:pt>
                <c:pt idx="107">
                  <c:v>41000</c:v>
                </c:pt>
                <c:pt idx="108">
                  <c:v>41500</c:v>
                </c:pt>
                <c:pt idx="109">
                  <c:v>42000</c:v>
                </c:pt>
                <c:pt idx="110">
                  <c:v>42500</c:v>
                </c:pt>
                <c:pt idx="111">
                  <c:v>43000</c:v>
                </c:pt>
                <c:pt idx="112">
                  <c:v>43500</c:v>
                </c:pt>
                <c:pt idx="113">
                  <c:v>44000</c:v>
                </c:pt>
                <c:pt idx="114">
                  <c:v>44500</c:v>
                </c:pt>
                <c:pt idx="115">
                  <c:v>45000</c:v>
                </c:pt>
                <c:pt idx="116">
                  <c:v>45500</c:v>
                </c:pt>
                <c:pt idx="117">
                  <c:v>46000</c:v>
                </c:pt>
                <c:pt idx="118">
                  <c:v>46500</c:v>
                </c:pt>
                <c:pt idx="119">
                  <c:v>47000</c:v>
                </c:pt>
                <c:pt idx="120">
                  <c:v>47500</c:v>
                </c:pt>
                <c:pt idx="121">
                  <c:v>48000</c:v>
                </c:pt>
                <c:pt idx="122">
                  <c:v>48500</c:v>
                </c:pt>
                <c:pt idx="123">
                  <c:v>49000</c:v>
                </c:pt>
                <c:pt idx="124">
                  <c:v>49500</c:v>
                </c:pt>
                <c:pt idx="125">
                  <c:v>50000</c:v>
                </c:pt>
                <c:pt idx="126">
                  <c:v>50500</c:v>
                </c:pt>
                <c:pt idx="127">
                  <c:v>51000</c:v>
                </c:pt>
                <c:pt idx="128">
                  <c:v>51500</c:v>
                </c:pt>
                <c:pt idx="129">
                  <c:v>52000</c:v>
                </c:pt>
                <c:pt idx="130">
                  <c:v>52500</c:v>
                </c:pt>
                <c:pt idx="131">
                  <c:v>53000</c:v>
                </c:pt>
                <c:pt idx="132">
                  <c:v>53500</c:v>
                </c:pt>
                <c:pt idx="133">
                  <c:v>54000</c:v>
                </c:pt>
                <c:pt idx="134">
                  <c:v>54500</c:v>
                </c:pt>
                <c:pt idx="135">
                  <c:v>55000</c:v>
                </c:pt>
                <c:pt idx="136">
                  <c:v>55500</c:v>
                </c:pt>
                <c:pt idx="137">
                  <c:v>56000</c:v>
                </c:pt>
                <c:pt idx="138">
                  <c:v>56500</c:v>
                </c:pt>
                <c:pt idx="139">
                  <c:v>57000</c:v>
                </c:pt>
                <c:pt idx="140">
                  <c:v>57500</c:v>
                </c:pt>
                <c:pt idx="141">
                  <c:v>58000</c:v>
                </c:pt>
                <c:pt idx="142">
                  <c:v>58500</c:v>
                </c:pt>
                <c:pt idx="143">
                  <c:v>59000</c:v>
                </c:pt>
                <c:pt idx="144">
                  <c:v>59500</c:v>
                </c:pt>
                <c:pt idx="145">
                  <c:v>60000</c:v>
                </c:pt>
                <c:pt idx="146">
                  <c:v>60500</c:v>
                </c:pt>
                <c:pt idx="147">
                  <c:v>61000</c:v>
                </c:pt>
                <c:pt idx="148">
                  <c:v>61500</c:v>
                </c:pt>
                <c:pt idx="149">
                  <c:v>62000</c:v>
                </c:pt>
                <c:pt idx="150">
                  <c:v>62500</c:v>
                </c:pt>
                <c:pt idx="151">
                  <c:v>63000</c:v>
                </c:pt>
                <c:pt idx="152">
                  <c:v>63500</c:v>
                </c:pt>
                <c:pt idx="153">
                  <c:v>64000</c:v>
                </c:pt>
                <c:pt idx="154">
                  <c:v>64500</c:v>
                </c:pt>
                <c:pt idx="155">
                  <c:v>65000</c:v>
                </c:pt>
                <c:pt idx="156">
                  <c:v>65500</c:v>
                </c:pt>
                <c:pt idx="157">
                  <c:v>66000</c:v>
                </c:pt>
                <c:pt idx="158">
                  <c:v>66500</c:v>
                </c:pt>
                <c:pt idx="159">
                  <c:v>67000</c:v>
                </c:pt>
                <c:pt idx="160">
                  <c:v>67500</c:v>
                </c:pt>
                <c:pt idx="161">
                  <c:v>68000</c:v>
                </c:pt>
                <c:pt idx="162">
                  <c:v>68500</c:v>
                </c:pt>
                <c:pt idx="163">
                  <c:v>69000</c:v>
                </c:pt>
                <c:pt idx="164">
                  <c:v>69500</c:v>
                </c:pt>
                <c:pt idx="165">
                  <c:v>70000</c:v>
                </c:pt>
                <c:pt idx="166">
                  <c:v>70500</c:v>
                </c:pt>
                <c:pt idx="167">
                  <c:v>71000</c:v>
                </c:pt>
                <c:pt idx="168">
                  <c:v>71500</c:v>
                </c:pt>
                <c:pt idx="169">
                  <c:v>72000</c:v>
                </c:pt>
                <c:pt idx="170">
                  <c:v>72500</c:v>
                </c:pt>
                <c:pt idx="171">
                  <c:v>73000</c:v>
                </c:pt>
                <c:pt idx="172">
                  <c:v>73500</c:v>
                </c:pt>
                <c:pt idx="173">
                  <c:v>74000</c:v>
                </c:pt>
                <c:pt idx="174">
                  <c:v>74500</c:v>
                </c:pt>
                <c:pt idx="175">
                  <c:v>75000</c:v>
                </c:pt>
                <c:pt idx="176">
                  <c:v>75500</c:v>
                </c:pt>
                <c:pt idx="177">
                  <c:v>76000</c:v>
                </c:pt>
                <c:pt idx="178">
                  <c:v>76500</c:v>
                </c:pt>
                <c:pt idx="179">
                  <c:v>77000</c:v>
                </c:pt>
                <c:pt idx="180">
                  <c:v>77500</c:v>
                </c:pt>
                <c:pt idx="181">
                  <c:v>78000</c:v>
                </c:pt>
                <c:pt idx="182">
                  <c:v>78500</c:v>
                </c:pt>
                <c:pt idx="183">
                  <c:v>79000</c:v>
                </c:pt>
                <c:pt idx="184">
                  <c:v>79500</c:v>
                </c:pt>
                <c:pt idx="185">
                  <c:v>80000</c:v>
                </c:pt>
                <c:pt idx="186">
                  <c:v>80500</c:v>
                </c:pt>
                <c:pt idx="187">
                  <c:v>81000</c:v>
                </c:pt>
                <c:pt idx="188">
                  <c:v>81500</c:v>
                </c:pt>
                <c:pt idx="189">
                  <c:v>82000</c:v>
                </c:pt>
                <c:pt idx="190">
                  <c:v>82500</c:v>
                </c:pt>
                <c:pt idx="191">
                  <c:v>83000</c:v>
                </c:pt>
                <c:pt idx="192">
                  <c:v>83500</c:v>
                </c:pt>
                <c:pt idx="193">
                  <c:v>84000</c:v>
                </c:pt>
                <c:pt idx="194">
                  <c:v>84500</c:v>
                </c:pt>
                <c:pt idx="195">
                  <c:v>85000</c:v>
                </c:pt>
                <c:pt idx="196">
                  <c:v>85500</c:v>
                </c:pt>
                <c:pt idx="197">
                  <c:v>86000</c:v>
                </c:pt>
                <c:pt idx="198">
                  <c:v>86500</c:v>
                </c:pt>
                <c:pt idx="199">
                  <c:v>87000</c:v>
                </c:pt>
                <c:pt idx="200">
                  <c:v>87500</c:v>
                </c:pt>
                <c:pt idx="201">
                  <c:v>88000</c:v>
                </c:pt>
                <c:pt idx="202">
                  <c:v>88500</c:v>
                </c:pt>
                <c:pt idx="203">
                  <c:v>89000</c:v>
                </c:pt>
                <c:pt idx="204">
                  <c:v>89500</c:v>
                </c:pt>
                <c:pt idx="205">
                  <c:v>90000</c:v>
                </c:pt>
                <c:pt idx="206">
                  <c:v>90500</c:v>
                </c:pt>
                <c:pt idx="207">
                  <c:v>91000</c:v>
                </c:pt>
                <c:pt idx="208">
                  <c:v>91500</c:v>
                </c:pt>
                <c:pt idx="209">
                  <c:v>92000</c:v>
                </c:pt>
                <c:pt idx="210">
                  <c:v>92500</c:v>
                </c:pt>
                <c:pt idx="211">
                  <c:v>93000</c:v>
                </c:pt>
                <c:pt idx="212">
                  <c:v>93500</c:v>
                </c:pt>
                <c:pt idx="213">
                  <c:v>94000</c:v>
                </c:pt>
                <c:pt idx="214">
                  <c:v>94500</c:v>
                </c:pt>
                <c:pt idx="215">
                  <c:v>95000</c:v>
                </c:pt>
                <c:pt idx="216">
                  <c:v>95500</c:v>
                </c:pt>
                <c:pt idx="217">
                  <c:v>96000</c:v>
                </c:pt>
                <c:pt idx="218">
                  <c:v>96500</c:v>
                </c:pt>
                <c:pt idx="219">
                  <c:v>97000</c:v>
                </c:pt>
                <c:pt idx="220">
                  <c:v>97500</c:v>
                </c:pt>
                <c:pt idx="221">
                  <c:v>98000</c:v>
                </c:pt>
                <c:pt idx="222">
                  <c:v>98500</c:v>
                </c:pt>
                <c:pt idx="223">
                  <c:v>99000</c:v>
                </c:pt>
                <c:pt idx="224">
                  <c:v>99500</c:v>
                </c:pt>
                <c:pt idx="225">
                  <c:v>100000</c:v>
                </c:pt>
                <c:pt idx="226">
                  <c:v>105000</c:v>
                </c:pt>
                <c:pt idx="227">
                  <c:v>110000</c:v>
                </c:pt>
                <c:pt idx="228">
                  <c:v>115000</c:v>
                </c:pt>
                <c:pt idx="229">
                  <c:v>120000</c:v>
                </c:pt>
                <c:pt idx="230">
                  <c:v>125000</c:v>
                </c:pt>
                <c:pt idx="231">
                  <c:v>130000</c:v>
                </c:pt>
                <c:pt idx="232">
                  <c:v>135000</c:v>
                </c:pt>
                <c:pt idx="233">
                  <c:v>140000</c:v>
                </c:pt>
                <c:pt idx="234">
                  <c:v>145000</c:v>
                </c:pt>
                <c:pt idx="235">
                  <c:v>150000</c:v>
                </c:pt>
                <c:pt idx="236">
                  <c:v>155000</c:v>
                </c:pt>
                <c:pt idx="237">
                  <c:v>160000</c:v>
                </c:pt>
                <c:pt idx="238">
                  <c:v>165000</c:v>
                </c:pt>
                <c:pt idx="239">
                  <c:v>170000</c:v>
                </c:pt>
                <c:pt idx="240">
                  <c:v>175000</c:v>
                </c:pt>
                <c:pt idx="241">
                  <c:v>180000</c:v>
                </c:pt>
                <c:pt idx="242">
                  <c:v>185000</c:v>
                </c:pt>
                <c:pt idx="243">
                  <c:v>190000</c:v>
                </c:pt>
                <c:pt idx="244">
                  <c:v>195000</c:v>
                </c:pt>
                <c:pt idx="245">
                  <c:v>200000</c:v>
                </c:pt>
                <c:pt idx="246">
                  <c:v>205000</c:v>
                </c:pt>
                <c:pt idx="247">
                  <c:v>210000</c:v>
                </c:pt>
                <c:pt idx="248">
                  <c:v>215000</c:v>
                </c:pt>
                <c:pt idx="249">
                  <c:v>220000</c:v>
                </c:pt>
                <c:pt idx="250">
                  <c:v>225000</c:v>
                </c:pt>
                <c:pt idx="251">
                  <c:v>230000</c:v>
                </c:pt>
                <c:pt idx="252">
                  <c:v>235000</c:v>
                </c:pt>
                <c:pt idx="253">
                  <c:v>240000</c:v>
                </c:pt>
                <c:pt idx="254">
                  <c:v>245000</c:v>
                </c:pt>
                <c:pt idx="255">
                  <c:v>250000</c:v>
                </c:pt>
                <c:pt idx="256">
                  <c:v>255000</c:v>
                </c:pt>
                <c:pt idx="257">
                  <c:v>260000</c:v>
                </c:pt>
                <c:pt idx="258">
                  <c:v>265000</c:v>
                </c:pt>
                <c:pt idx="259">
                  <c:v>270000</c:v>
                </c:pt>
                <c:pt idx="260">
                  <c:v>275000</c:v>
                </c:pt>
                <c:pt idx="261">
                  <c:v>280000</c:v>
                </c:pt>
                <c:pt idx="262">
                  <c:v>285000</c:v>
                </c:pt>
                <c:pt idx="263">
                  <c:v>290000</c:v>
                </c:pt>
                <c:pt idx="264">
                  <c:v>295000</c:v>
                </c:pt>
                <c:pt idx="265">
                  <c:v>300000</c:v>
                </c:pt>
                <c:pt idx="266">
                  <c:v>305000</c:v>
                </c:pt>
                <c:pt idx="267">
                  <c:v>310000</c:v>
                </c:pt>
                <c:pt idx="268">
                  <c:v>315000</c:v>
                </c:pt>
                <c:pt idx="269">
                  <c:v>320000</c:v>
                </c:pt>
                <c:pt idx="270">
                  <c:v>325000</c:v>
                </c:pt>
                <c:pt idx="271">
                  <c:v>330000</c:v>
                </c:pt>
                <c:pt idx="272">
                  <c:v>335000</c:v>
                </c:pt>
                <c:pt idx="273">
                  <c:v>340000</c:v>
                </c:pt>
                <c:pt idx="274">
                  <c:v>345000</c:v>
                </c:pt>
                <c:pt idx="275">
                  <c:v>350000</c:v>
                </c:pt>
                <c:pt idx="276">
                  <c:v>355000</c:v>
                </c:pt>
                <c:pt idx="277">
                  <c:v>360000</c:v>
                </c:pt>
                <c:pt idx="278">
                  <c:v>365000</c:v>
                </c:pt>
                <c:pt idx="279">
                  <c:v>370000</c:v>
                </c:pt>
                <c:pt idx="280">
                  <c:v>375000</c:v>
                </c:pt>
                <c:pt idx="281">
                  <c:v>380000</c:v>
                </c:pt>
                <c:pt idx="282">
                  <c:v>385000</c:v>
                </c:pt>
                <c:pt idx="283">
                  <c:v>390000</c:v>
                </c:pt>
                <c:pt idx="284">
                  <c:v>395000</c:v>
                </c:pt>
                <c:pt idx="285">
                  <c:v>400000</c:v>
                </c:pt>
                <c:pt idx="286">
                  <c:v>405000</c:v>
                </c:pt>
                <c:pt idx="287">
                  <c:v>410000</c:v>
                </c:pt>
                <c:pt idx="288">
                  <c:v>415000</c:v>
                </c:pt>
                <c:pt idx="289">
                  <c:v>420000</c:v>
                </c:pt>
                <c:pt idx="290">
                  <c:v>425000</c:v>
                </c:pt>
                <c:pt idx="291">
                  <c:v>430000</c:v>
                </c:pt>
                <c:pt idx="292">
                  <c:v>435000</c:v>
                </c:pt>
                <c:pt idx="293">
                  <c:v>440000</c:v>
                </c:pt>
                <c:pt idx="294">
                  <c:v>445000</c:v>
                </c:pt>
                <c:pt idx="295">
                  <c:v>450000</c:v>
                </c:pt>
                <c:pt idx="296">
                  <c:v>455000</c:v>
                </c:pt>
                <c:pt idx="297">
                  <c:v>460000</c:v>
                </c:pt>
                <c:pt idx="298">
                  <c:v>465000</c:v>
                </c:pt>
                <c:pt idx="299">
                  <c:v>470000</c:v>
                </c:pt>
                <c:pt idx="300">
                  <c:v>475000</c:v>
                </c:pt>
                <c:pt idx="301">
                  <c:v>480000</c:v>
                </c:pt>
                <c:pt idx="302">
                  <c:v>485000</c:v>
                </c:pt>
                <c:pt idx="303">
                  <c:v>490000</c:v>
                </c:pt>
                <c:pt idx="304">
                  <c:v>495000</c:v>
                </c:pt>
                <c:pt idx="305">
                  <c:v>500000</c:v>
                </c:pt>
                <c:pt idx="306">
                  <c:v>505000</c:v>
                </c:pt>
                <c:pt idx="307">
                  <c:v>510000</c:v>
                </c:pt>
                <c:pt idx="308">
                  <c:v>515000</c:v>
                </c:pt>
                <c:pt idx="309">
                  <c:v>520000</c:v>
                </c:pt>
                <c:pt idx="310">
                  <c:v>525000</c:v>
                </c:pt>
                <c:pt idx="311">
                  <c:v>530000</c:v>
                </c:pt>
                <c:pt idx="312">
                  <c:v>535000</c:v>
                </c:pt>
                <c:pt idx="313">
                  <c:v>540000</c:v>
                </c:pt>
                <c:pt idx="314">
                  <c:v>545000</c:v>
                </c:pt>
                <c:pt idx="315">
                  <c:v>550000</c:v>
                </c:pt>
                <c:pt idx="316">
                  <c:v>555000</c:v>
                </c:pt>
                <c:pt idx="317">
                  <c:v>560000</c:v>
                </c:pt>
                <c:pt idx="318">
                  <c:v>565000</c:v>
                </c:pt>
                <c:pt idx="319">
                  <c:v>570000</c:v>
                </c:pt>
                <c:pt idx="320">
                  <c:v>575000</c:v>
                </c:pt>
                <c:pt idx="321">
                  <c:v>580000</c:v>
                </c:pt>
                <c:pt idx="322">
                  <c:v>585000</c:v>
                </c:pt>
                <c:pt idx="323">
                  <c:v>590000</c:v>
                </c:pt>
                <c:pt idx="324">
                  <c:v>595000</c:v>
                </c:pt>
                <c:pt idx="325">
                  <c:v>600000</c:v>
                </c:pt>
                <c:pt idx="326">
                  <c:v>605000</c:v>
                </c:pt>
                <c:pt idx="327">
                  <c:v>610000</c:v>
                </c:pt>
                <c:pt idx="328">
                  <c:v>615000</c:v>
                </c:pt>
                <c:pt idx="329">
                  <c:v>620000</c:v>
                </c:pt>
                <c:pt idx="330">
                  <c:v>625000</c:v>
                </c:pt>
                <c:pt idx="331">
                  <c:v>630000</c:v>
                </c:pt>
                <c:pt idx="332">
                  <c:v>635000</c:v>
                </c:pt>
                <c:pt idx="333">
                  <c:v>640000</c:v>
                </c:pt>
                <c:pt idx="334">
                  <c:v>645000</c:v>
                </c:pt>
                <c:pt idx="335">
                  <c:v>650000</c:v>
                </c:pt>
                <c:pt idx="336">
                  <c:v>655000</c:v>
                </c:pt>
                <c:pt idx="337">
                  <c:v>660000</c:v>
                </c:pt>
                <c:pt idx="338">
                  <c:v>665000</c:v>
                </c:pt>
                <c:pt idx="339">
                  <c:v>670000</c:v>
                </c:pt>
                <c:pt idx="340">
                  <c:v>675000</c:v>
                </c:pt>
                <c:pt idx="341">
                  <c:v>680000</c:v>
                </c:pt>
                <c:pt idx="342">
                  <c:v>685000</c:v>
                </c:pt>
                <c:pt idx="343">
                  <c:v>690000</c:v>
                </c:pt>
                <c:pt idx="344">
                  <c:v>695000</c:v>
                </c:pt>
                <c:pt idx="345">
                  <c:v>700000</c:v>
                </c:pt>
                <c:pt idx="346">
                  <c:v>705000</c:v>
                </c:pt>
                <c:pt idx="347">
                  <c:v>710000</c:v>
                </c:pt>
                <c:pt idx="348">
                  <c:v>715000</c:v>
                </c:pt>
                <c:pt idx="349">
                  <c:v>720000</c:v>
                </c:pt>
                <c:pt idx="350">
                  <c:v>725000</c:v>
                </c:pt>
                <c:pt idx="351">
                  <c:v>730000</c:v>
                </c:pt>
                <c:pt idx="352">
                  <c:v>735000</c:v>
                </c:pt>
                <c:pt idx="353">
                  <c:v>740000</c:v>
                </c:pt>
                <c:pt idx="354">
                  <c:v>745000</c:v>
                </c:pt>
                <c:pt idx="355">
                  <c:v>750000</c:v>
                </c:pt>
                <c:pt idx="356">
                  <c:v>755000</c:v>
                </c:pt>
                <c:pt idx="357">
                  <c:v>760000</c:v>
                </c:pt>
                <c:pt idx="358">
                  <c:v>765000</c:v>
                </c:pt>
                <c:pt idx="359">
                  <c:v>770000</c:v>
                </c:pt>
                <c:pt idx="360">
                  <c:v>775000</c:v>
                </c:pt>
                <c:pt idx="361">
                  <c:v>780000</c:v>
                </c:pt>
                <c:pt idx="362">
                  <c:v>785000</c:v>
                </c:pt>
                <c:pt idx="363">
                  <c:v>790000</c:v>
                </c:pt>
                <c:pt idx="364">
                  <c:v>795000</c:v>
                </c:pt>
                <c:pt idx="365">
                  <c:v>800000</c:v>
                </c:pt>
                <c:pt idx="366">
                  <c:v>805000</c:v>
                </c:pt>
                <c:pt idx="367">
                  <c:v>810000</c:v>
                </c:pt>
                <c:pt idx="368">
                  <c:v>815000</c:v>
                </c:pt>
                <c:pt idx="369">
                  <c:v>820000</c:v>
                </c:pt>
                <c:pt idx="370">
                  <c:v>825000</c:v>
                </c:pt>
                <c:pt idx="371">
                  <c:v>830000</c:v>
                </c:pt>
                <c:pt idx="372">
                  <c:v>835000</c:v>
                </c:pt>
                <c:pt idx="373">
                  <c:v>840000</c:v>
                </c:pt>
                <c:pt idx="374">
                  <c:v>845000</c:v>
                </c:pt>
                <c:pt idx="375">
                  <c:v>850000</c:v>
                </c:pt>
                <c:pt idx="376">
                  <c:v>855000</c:v>
                </c:pt>
                <c:pt idx="377">
                  <c:v>860000</c:v>
                </c:pt>
                <c:pt idx="378">
                  <c:v>865000</c:v>
                </c:pt>
                <c:pt idx="379">
                  <c:v>870000</c:v>
                </c:pt>
                <c:pt idx="380">
                  <c:v>875000</c:v>
                </c:pt>
                <c:pt idx="381">
                  <c:v>880000</c:v>
                </c:pt>
                <c:pt idx="382">
                  <c:v>885000</c:v>
                </c:pt>
                <c:pt idx="383">
                  <c:v>890000</c:v>
                </c:pt>
                <c:pt idx="384">
                  <c:v>895000</c:v>
                </c:pt>
                <c:pt idx="385">
                  <c:v>900000</c:v>
                </c:pt>
                <c:pt idx="386">
                  <c:v>905000</c:v>
                </c:pt>
                <c:pt idx="387">
                  <c:v>910000</c:v>
                </c:pt>
                <c:pt idx="388">
                  <c:v>915000</c:v>
                </c:pt>
                <c:pt idx="389">
                  <c:v>920000</c:v>
                </c:pt>
                <c:pt idx="390">
                  <c:v>925000</c:v>
                </c:pt>
                <c:pt idx="391">
                  <c:v>930000</c:v>
                </c:pt>
                <c:pt idx="392">
                  <c:v>935000</c:v>
                </c:pt>
                <c:pt idx="393">
                  <c:v>940000</c:v>
                </c:pt>
                <c:pt idx="394">
                  <c:v>945000</c:v>
                </c:pt>
                <c:pt idx="395">
                  <c:v>950000</c:v>
                </c:pt>
                <c:pt idx="396">
                  <c:v>955000</c:v>
                </c:pt>
                <c:pt idx="397">
                  <c:v>960000</c:v>
                </c:pt>
                <c:pt idx="398">
                  <c:v>965000</c:v>
                </c:pt>
                <c:pt idx="399">
                  <c:v>970000</c:v>
                </c:pt>
                <c:pt idx="400">
                  <c:v>975000</c:v>
                </c:pt>
                <c:pt idx="401">
                  <c:v>980000</c:v>
                </c:pt>
                <c:pt idx="402">
                  <c:v>985000</c:v>
                </c:pt>
                <c:pt idx="403">
                  <c:v>990000</c:v>
                </c:pt>
                <c:pt idx="404">
                  <c:v>995000</c:v>
                </c:pt>
                <c:pt idx="405">
                  <c:v>1000000</c:v>
                </c:pt>
                <c:pt idx="406">
                  <c:v>1005000</c:v>
                </c:pt>
                <c:pt idx="407">
                  <c:v>1010000</c:v>
                </c:pt>
                <c:pt idx="408">
                  <c:v>1015000</c:v>
                </c:pt>
                <c:pt idx="409">
                  <c:v>1020000</c:v>
                </c:pt>
                <c:pt idx="410">
                  <c:v>1025000</c:v>
                </c:pt>
                <c:pt idx="411">
                  <c:v>1030000</c:v>
                </c:pt>
                <c:pt idx="412">
                  <c:v>1035000</c:v>
                </c:pt>
                <c:pt idx="413">
                  <c:v>1040000</c:v>
                </c:pt>
                <c:pt idx="414">
                  <c:v>1045000</c:v>
                </c:pt>
                <c:pt idx="415">
                  <c:v>1050000</c:v>
                </c:pt>
                <c:pt idx="416">
                  <c:v>1055000</c:v>
                </c:pt>
                <c:pt idx="417">
                  <c:v>1060000</c:v>
                </c:pt>
                <c:pt idx="418">
                  <c:v>1065000</c:v>
                </c:pt>
                <c:pt idx="419">
                  <c:v>1070000</c:v>
                </c:pt>
                <c:pt idx="420">
                  <c:v>1075000</c:v>
                </c:pt>
                <c:pt idx="421">
                  <c:v>1080000</c:v>
                </c:pt>
                <c:pt idx="422">
                  <c:v>1085000</c:v>
                </c:pt>
                <c:pt idx="423">
                  <c:v>1090000</c:v>
                </c:pt>
                <c:pt idx="424">
                  <c:v>1095000</c:v>
                </c:pt>
                <c:pt idx="425">
                  <c:v>1100000</c:v>
                </c:pt>
                <c:pt idx="426">
                  <c:v>1105000</c:v>
                </c:pt>
                <c:pt idx="427">
                  <c:v>1110000</c:v>
                </c:pt>
                <c:pt idx="428">
                  <c:v>1115000</c:v>
                </c:pt>
                <c:pt idx="429">
                  <c:v>1120000</c:v>
                </c:pt>
                <c:pt idx="430">
                  <c:v>1125000</c:v>
                </c:pt>
                <c:pt idx="431">
                  <c:v>1130000</c:v>
                </c:pt>
                <c:pt idx="432">
                  <c:v>1135000</c:v>
                </c:pt>
                <c:pt idx="433">
                  <c:v>1140000</c:v>
                </c:pt>
                <c:pt idx="434">
                  <c:v>1145000</c:v>
                </c:pt>
                <c:pt idx="435">
                  <c:v>1150000</c:v>
                </c:pt>
                <c:pt idx="436">
                  <c:v>1155000</c:v>
                </c:pt>
                <c:pt idx="437">
                  <c:v>1160000</c:v>
                </c:pt>
                <c:pt idx="438">
                  <c:v>1165000</c:v>
                </c:pt>
                <c:pt idx="439">
                  <c:v>1170000</c:v>
                </c:pt>
                <c:pt idx="440">
                  <c:v>1175000</c:v>
                </c:pt>
                <c:pt idx="441">
                  <c:v>1180000</c:v>
                </c:pt>
                <c:pt idx="442">
                  <c:v>1185000</c:v>
                </c:pt>
                <c:pt idx="443">
                  <c:v>1190000</c:v>
                </c:pt>
                <c:pt idx="444">
                  <c:v>1195000</c:v>
                </c:pt>
                <c:pt idx="445">
                  <c:v>1200000</c:v>
                </c:pt>
                <c:pt idx="446">
                  <c:v>1205000</c:v>
                </c:pt>
                <c:pt idx="447">
                  <c:v>1210000</c:v>
                </c:pt>
                <c:pt idx="448">
                  <c:v>1215000</c:v>
                </c:pt>
                <c:pt idx="449">
                  <c:v>1220000</c:v>
                </c:pt>
                <c:pt idx="450">
                  <c:v>1225000</c:v>
                </c:pt>
                <c:pt idx="451">
                  <c:v>1230000</c:v>
                </c:pt>
                <c:pt idx="452">
                  <c:v>1235000</c:v>
                </c:pt>
                <c:pt idx="453">
                  <c:v>1240000</c:v>
                </c:pt>
                <c:pt idx="454">
                  <c:v>1245000</c:v>
                </c:pt>
                <c:pt idx="455">
                  <c:v>1250000</c:v>
                </c:pt>
                <c:pt idx="456">
                  <c:v>1255000</c:v>
                </c:pt>
                <c:pt idx="457">
                  <c:v>1260000</c:v>
                </c:pt>
                <c:pt idx="458">
                  <c:v>1265000</c:v>
                </c:pt>
                <c:pt idx="459">
                  <c:v>1270000</c:v>
                </c:pt>
                <c:pt idx="460">
                  <c:v>1275000</c:v>
                </c:pt>
                <c:pt idx="461">
                  <c:v>1280000</c:v>
                </c:pt>
                <c:pt idx="462">
                  <c:v>1285000</c:v>
                </c:pt>
                <c:pt idx="463">
                  <c:v>1290000</c:v>
                </c:pt>
                <c:pt idx="464">
                  <c:v>1295000</c:v>
                </c:pt>
                <c:pt idx="465">
                  <c:v>1300000</c:v>
                </c:pt>
                <c:pt idx="466">
                  <c:v>1305000</c:v>
                </c:pt>
                <c:pt idx="467">
                  <c:v>1310000</c:v>
                </c:pt>
                <c:pt idx="468">
                  <c:v>1315000</c:v>
                </c:pt>
                <c:pt idx="469">
                  <c:v>1320000</c:v>
                </c:pt>
                <c:pt idx="470">
                  <c:v>1325000</c:v>
                </c:pt>
                <c:pt idx="471">
                  <c:v>1330000</c:v>
                </c:pt>
                <c:pt idx="472">
                  <c:v>1335000</c:v>
                </c:pt>
                <c:pt idx="473">
                  <c:v>1340000</c:v>
                </c:pt>
                <c:pt idx="474">
                  <c:v>1345000</c:v>
                </c:pt>
                <c:pt idx="475">
                  <c:v>1350000</c:v>
                </c:pt>
                <c:pt idx="476">
                  <c:v>1355000</c:v>
                </c:pt>
                <c:pt idx="477">
                  <c:v>1360000</c:v>
                </c:pt>
                <c:pt idx="478">
                  <c:v>1365000</c:v>
                </c:pt>
                <c:pt idx="479">
                  <c:v>1370000</c:v>
                </c:pt>
                <c:pt idx="480">
                  <c:v>1375000</c:v>
                </c:pt>
                <c:pt idx="481">
                  <c:v>1380000</c:v>
                </c:pt>
                <c:pt idx="482">
                  <c:v>1385000</c:v>
                </c:pt>
                <c:pt idx="483">
                  <c:v>1390000</c:v>
                </c:pt>
                <c:pt idx="484">
                  <c:v>1395000</c:v>
                </c:pt>
                <c:pt idx="485">
                  <c:v>1400000</c:v>
                </c:pt>
                <c:pt idx="486">
                  <c:v>1405000</c:v>
                </c:pt>
                <c:pt idx="487">
                  <c:v>1410000</c:v>
                </c:pt>
                <c:pt idx="488">
                  <c:v>1415000</c:v>
                </c:pt>
                <c:pt idx="489">
                  <c:v>1420000</c:v>
                </c:pt>
                <c:pt idx="490">
                  <c:v>1425000</c:v>
                </c:pt>
                <c:pt idx="491">
                  <c:v>1430000</c:v>
                </c:pt>
                <c:pt idx="492">
                  <c:v>1435000</c:v>
                </c:pt>
                <c:pt idx="493">
                  <c:v>1440000</c:v>
                </c:pt>
                <c:pt idx="494">
                  <c:v>1445000</c:v>
                </c:pt>
                <c:pt idx="495">
                  <c:v>1450000</c:v>
                </c:pt>
                <c:pt idx="496">
                  <c:v>1455000</c:v>
                </c:pt>
                <c:pt idx="497">
                  <c:v>1460000</c:v>
                </c:pt>
                <c:pt idx="498">
                  <c:v>1465000</c:v>
                </c:pt>
                <c:pt idx="499">
                  <c:v>1470000</c:v>
                </c:pt>
                <c:pt idx="500">
                  <c:v>1475000</c:v>
                </c:pt>
                <c:pt idx="501">
                  <c:v>1480000</c:v>
                </c:pt>
                <c:pt idx="502">
                  <c:v>1485000</c:v>
                </c:pt>
                <c:pt idx="503">
                  <c:v>1490000</c:v>
                </c:pt>
                <c:pt idx="504">
                  <c:v>1495000</c:v>
                </c:pt>
                <c:pt idx="505">
                  <c:v>1500000</c:v>
                </c:pt>
                <c:pt idx="506">
                  <c:v>1505000</c:v>
                </c:pt>
                <c:pt idx="507">
                  <c:v>1510000</c:v>
                </c:pt>
                <c:pt idx="508">
                  <c:v>1515000</c:v>
                </c:pt>
                <c:pt idx="509">
                  <c:v>1520000</c:v>
                </c:pt>
                <c:pt idx="510">
                  <c:v>1525000</c:v>
                </c:pt>
                <c:pt idx="511">
                  <c:v>1530000</c:v>
                </c:pt>
                <c:pt idx="512">
                  <c:v>1535000</c:v>
                </c:pt>
                <c:pt idx="513">
                  <c:v>1540000</c:v>
                </c:pt>
                <c:pt idx="514">
                  <c:v>1545000</c:v>
                </c:pt>
                <c:pt idx="515">
                  <c:v>1550000</c:v>
                </c:pt>
                <c:pt idx="516">
                  <c:v>1555000</c:v>
                </c:pt>
                <c:pt idx="517">
                  <c:v>1560000</c:v>
                </c:pt>
                <c:pt idx="518">
                  <c:v>1565000</c:v>
                </c:pt>
                <c:pt idx="519">
                  <c:v>1570000</c:v>
                </c:pt>
                <c:pt idx="520">
                  <c:v>1575000</c:v>
                </c:pt>
                <c:pt idx="521">
                  <c:v>1580000</c:v>
                </c:pt>
                <c:pt idx="522">
                  <c:v>1585000</c:v>
                </c:pt>
                <c:pt idx="523">
                  <c:v>1590000</c:v>
                </c:pt>
                <c:pt idx="524">
                  <c:v>1595000</c:v>
                </c:pt>
                <c:pt idx="525">
                  <c:v>1600000</c:v>
                </c:pt>
                <c:pt idx="526">
                  <c:v>1605000</c:v>
                </c:pt>
                <c:pt idx="527">
                  <c:v>1610000</c:v>
                </c:pt>
                <c:pt idx="528">
                  <c:v>1615000</c:v>
                </c:pt>
                <c:pt idx="529">
                  <c:v>1620000</c:v>
                </c:pt>
                <c:pt idx="530">
                  <c:v>1625000</c:v>
                </c:pt>
                <c:pt idx="531">
                  <c:v>1630000</c:v>
                </c:pt>
                <c:pt idx="532">
                  <c:v>1635000</c:v>
                </c:pt>
                <c:pt idx="533">
                  <c:v>1640000</c:v>
                </c:pt>
                <c:pt idx="534">
                  <c:v>1645000</c:v>
                </c:pt>
                <c:pt idx="535">
                  <c:v>1650000</c:v>
                </c:pt>
                <c:pt idx="536">
                  <c:v>1655000</c:v>
                </c:pt>
                <c:pt idx="537">
                  <c:v>1660000</c:v>
                </c:pt>
                <c:pt idx="538">
                  <c:v>1665000</c:v>
                </c:pt>
                <c:pt idx="539">
                  <c:v>1670000</c:v>
                </c:pt>
                <c:pt idx="540">
                  <c:v>1675000</c:v>
                </c:pt>
                <c:pt idx="541">
                  <c:v>1680000</c:v>
                </c:pt>
                <c:pt idx="542">
                  <c:v>1685000</c:v>
                </c:pt>
                <c:pt idx="543">
                  <c:v>1690000</c:v>
                </c:pt>
                <c:pt idx="544">
                  <c:v>1695000</c:v>
                </c:pt>
                <c:pt idx="545">
                  <c:v>1700000</c:v>
                </c:pt>
                <c:pt idx="546">
                  <c:v>1705000</c:v>
                </c:pt>
                <c:pt idx="547">
                  <c:v>1710000</c:v>
                </c:pt>
                <c:pt idx="548">
                  <c:v>1715000</c:v>
                </c:pt>
                <c:pt idx="549">
                  <c:v>1720000</c:v>
                </c:pt>
                <c:pt idx="550">
                  <c:v>1725000</c:v>
                </c:pt>
                <c:pt idx="551">
                  <c:v>1730000</c:v>
                </c:pt>
                <c:pt idx="552">
                  <c:v>1735000</c:v>
                </c:pt>
                <c:pt idx="553">
                  <c:v>1740000</c:v>
                </c:pt>
                <c:pt idx="554">
                  <c:v>1745000</c:v>
                </c:pt>
                <c:pt idx="555">
                  <c:v>1750000</c:v>
                </c:pt>
                <c:pt idx="556">
                  <c:v>1755000</c:v>
                </c:pt>
                <c:pt idx="557">
                  <c:v>1760000</c:v>
                </c:pt>
                <c:pt idx="558">
                  <c:v>1765000</c:v>
                </c:pt>
                <c:pt idx="559">
                  <c:v>1770000</c:v>
                </c:pt>
                <c:pt idx="560">
                  <c:v>1775000</c:v>
                </c:pt>
                <c:pt idx="561">
                  <c:v>1780000</c:v>
                </c:pt>
                <c:pt idx="562">
                  <c:v>1785000</c:v>
                </c:pt>
                <c:pt idx="563">
                  <c:v>1790000</c:v>
                </c:pt>
                <c:pt idx="564">
                  <c:v>1795000</c:v>
                </c:pt>
                <c:pt idx="565">
                  <c:v>1800000</c:v>
                </c:pt>
                <c:pt idx="566">
                  <c:v>1805000</c:v>
                </c:pt>
                <c:pt idx="567">
                  <c:v>1810000</c:v>
                </c:pt>
                <c:pt idx="568">
                  <c:v>1815000</c:v>
                </c:pt>
                <c:pt idx="569">
                  <c:v>1820000</c:v>
                </c:pt>
                <c:pt idx="570">
                  <c:v>1825000</c:v>
                </c:pt>
                <c:pt idx="571">
                  <c:v>1830000</c:v>
                </c:pt>
                <c:pt idx="572">
                  <c:v>1835000</c:v>
                </c:pt>
                <c:pt idx="573">
                  <c:v>1840000</c:v>
                </c:pt>
                <c:pt idx="574">
                  <c:v>1845000</c:v>
                </c:pt>
                <c:pt idx="575">
                  <c:v>1850000</c:v>
                </c:pt>
                <c:pt idx="576">
                  <c:v>1855000</c:v>
                </c:pt>
                <c:pt idx="577">
                  <c:v>1860000</c:v>
                </c:pt>
                <c:pt idx="578">
                  <c:v>1865000</c:v>
                </c:pt>
                <c:pt idx="579">
                  <c:v>1870000</c:v>
                </c:pt>
                <c:pt idx="580">
                  <c:v>1875000</c:v>
                </c:pt>
                <c:pt idx="581">
                  <c:v>1880000</c:v>
                </c:pt>
                <c:pt idx="582">
                  <c:v>1885000</c:v>
                </c:pt>
                <c:pt idx="583">
                  <c:v>1890000</c:v>
                </c:pt>
                <c:pt idx="584">
                  <c:v>1895000</c:v>
                </c:pt>
                <c:pt idx="585">
                  <c:v>1900000</c:v>
                </c:pt>
                <c:pt idx="586">
                  <c:v>1905000</c:v>
                </c:pt>
                <c:pt idx="587">
                  <c:v>1910000</c:v>
                </c:pt>
                <c:pt idx="588">
                  <c:v>1915000</c:v>
                </c:pt>
                <c:pt idx="589">
                  <c:v>1920000</c:v>
                </c:pt>
                <c:pt idx="590">
                  <c:v>1925000</c:v>
                </c:pt>
                <c:pt idx="591">
                  <c:v>1930000</c:v>
                </c:pt>
                <c:pt idx="592">
                  <c:v>1935000</c:v>
                </c:pt>
                <c:pt idx="593">
                  <c:v>1940000</c:v>
                </c:pt>
                <c:pt idx="594">
                  <c:v>1945000</c:v>
                </c:pt>
                <c:pt idx="595">
                  <c:v>1950000</c:v>
                </c:pt>
                <c:pt idx="596">
                  <c:v>1955000</c:v>
                </c:pt>
                <c:pt idx="597">
                  <c:v>1960000</c:v>
                </c:pt>
                <c:pt idx="598">
                  <c:v>1965000</c:v>
                </c:pt>
                <c:pt idx="599">
                  <c:v>1970000</c:v>
                </c:pt>
                <c:pt idx="600">
                  <c:v>1975000</c:v>
                </c:pt>
                <c:pt idx="601">
                  <c:v>1980000</c:v>
                </c:pt>
                <c:pt idx="602">
                  <c:v>1985000</c:v>
                </c:pt>
                <c:pt idx="603">
                  <c:v>1990000</c:v>
                </c:pt>
                <c:pt idx="604">
                  <c:v>1995000</c:v>
                </c:pt>
                <c:pt idx="605">
                  <c:v>2000000</c:v>
                </c:pt>
                <c:pt idx="606">
                  <c:v>2250000</c:v>
                </c:pt>
                <c:pt idx="607">
                  <c:v>2500000</c:v>
                </c:pt>
                <c:pt idx="608">
                  <c:v>2750000</c:v>
                </c:pt>
                <c:pt idx="609">
                  <c:v>3000000</c:v>
                </c:pt>
                <c:pt idx="610">
                  <c:v>3250000</c:v>
                </c:pt>
                <c:pt idx="611">
                  <c:v>3500000</c:v>
                </c:pt>
                <c:pt idx="612">
                  <c:v>3750000</c:v>
                </c:pt>
                <c:pt idx="613">
                  <c:v>4000000</c:v>
                </c:pt>
                <c:pt idx="614">
                  <c:v>4250000</c:v>
                </c:pt>
                <c:pt idx="615">
                  <c:v>4500000</c:v>
                </c:pt>
                <c:pt idx="616">
                  <c:v>4750000</c:v>
                </c:pt>
                <c:pt idx="617">
                  <c:v>5000000</c:v>
                </c:pt>
                <c:pt idx="618">
                  <c:v>5100000</c:v>
                </c:pt>
                <c:pt idx="619">
                  <c:v>5200000</c:v>
                </c:pt>
                <c:pt idx="620">
                  <c:v>5300000</c:v>
                </c:pt>
                <c:pt idx="621">
                  <c:v>5400000</c:v>
                </c:pt>
                <c:pt idx="622">
                  <c:v>5500000</c:v>
                </c:pt>
                <c:pt idx="623">
                  <c:v>5600000</c:v>
                </c:pt>
                <c:pt idx="624">
                  <c:v>5700000</c:v>
                </c:pt>
                <c:pt idx="625">
                  <c:v>5800000</c:v>
                </c:pt>
                <c:pt idx="626">
                  <c:v>5900000</c:v>
                </c:pt>
                <c:pt idx="627">
                  <c:v>6000000</c:v>
                </c:pt>
                <c:pt idx="628">
                  <c:v>6100000</c:v>
                </c:pt>
                <c:pt idx="629">
                  <c:v>6200000</c:v>
                </c:pt>
                <c:pt idx="630">
                  <c:v>6300000</c:v>
                </c:pt>
                <c:pt idx="631">
                  <c:v>6400000</c:v>
                </c:pt>
                <c:pt idx="632">
                  <c:v>6500000</c:v>
                </c:pt>
                <c:pt idx="633">
                  <c:v>6600000</c:v>
                </c:pt>
                <c:pt idx="634">
                  <c:v>6700000</c:v>
                </c:pt>
                <c:pt idx="635">
                  <c:v>6800000</c:v>
                </c:pt>
                <c:pt idx="636">
                  <c:v>6900000</c:v>
                </c:pt>
                <c:pt idx="637">
                  <c:v>7000000</c:v>
                </c:pt>
                <c:pt idx="638">
                  <c:v>7100000</c:v>
                </c:pt>
                <c:pt idx="639">
                  <c:v>7200000</c:v>
                </c:pt>
                <c:pt idx="640">
                  <c:v>7300000</c:v>
                </c:pt>
                <c:pt idx="641">
                  <c:v>7400000</c:v>
                </c:pt>
                <c:pt idx="642">
                  <c:v>7500000</c:v>
                </c:pt>
                <c:pt idx="643">
                  <c:v>7600000</c:v>
                </c:pt>
                <c:pt idx="644">
                  <c:v>7700000</c:v>
                </c:pt>
                <c:pt idx="645">
                  <c:v>7800000</c:v>
                </c:pt>
                <c:pt idx="646">
                  <c:v>7900000</c:v>
                </c:pt>
                <c:pt idx="647">
                  <c:v>8000000</c:v>
                </c:pt>
                <c:pt idx="648">
                  <c:v>8100000</c:v>
                </c:pt>
                <c:pt idx="649">
                  <c:v>8200000</c:v>
                </c:pt>
                <c:pt idx="650">
                  <c:v>8300000</c:v>
                </c:pt>
                <c:pt idx="651">
                  <c:v>8400000</c:v>
                </c:pt>
                <c:pt idx="652">
                  <c:v>8500000</c:v>
                </c:pt>
                <c:pt idx="653">
                  <c:v>8600000</c:v>
                </c:pt>
                <c:pt idx="654">
                  <c:v>8700000</c:v>
                </c:pt>
                <c:pt idx="655">
                  <c:v>8800000</c:v>
                </c:pt>
                <c:pt idx="656">
                  <c:v>8900000</c:v>
                </c:pt>
                <c:pt idx="657">
                  <c:v>9000000</c:v>
                </c:pt>
                <c:pt idx="658">
                  <c:v>9100000</c:v>
                </c:pt>
                <c:pt idx="659">
                  <c:v>9200000</c:v>
                </c:pt>
                <c:pt idx="660">
                  <c:v>9300000</c:v>
                </c:pt>
                <c:pt idx="661">
                  <c:v>9400000</c:v>
                </c:pt>
                <c:pt idx="662">
                  <c:v>9500000</c:v>
                </c:pt>
                <c:pt idx="663">
                  <c:v>9600000</c:v>
                </c:pt>
                <c:pt idx="664">
                  <c:v>9700000</c:v>
                </c:pt>
                <c:pt idx="665">
                  <c:v>9800000</c:v>
                </c:pt>
                <c:pt idx="666">
                  <c:v>9900000</c:v>
                </c:pt>
                <c:pt idx="667">
                  <c:v>10000000</c:v>
                </c:pt>
              </c:numCache>
            </c:numRef>
          </c:xVal>
          <c:yVal>
            <c:numRef>
              <c:f>'Bode Plots Calculations'!$BI$9:$BI$676</c:f>
              <c:numCache>
                <c:formatCode>General</c:formatCode>
                <c:ptCount val="668"/>
                <c:pt idx="0">
                  <c:v>178.32325675179</c:v>
                </c:pt>
                <c:pt idx="1">
                  <c:v>176.665038913703</c:v>
                </c:pt>
                <c:pt idx="2">
                  <c:v>175.043096568152</c:v>
                </c:pt>
                <c:pt idx="3">
                  <c:v>173.473703029022</c:v>
                </c:pt>
                <c:pt idx="4">
                  <c:v>171.971088570163</c:v>
                </c:pt>
                <c:pt idx="5">
                  <c:v>170.547048734621</c:v>
                </c:pt>
                <c:pt idx="6">
                  <c:v>169.210740924527</c:v>
                </c:pt>
                <c:pt idx="7">
                  <c:v>167.968659053332</c:v>
                </c:pt>
                <c:pt idx="8">
                  <c:v>166.824758100891</c:v>
                </c:pt>
                <c:pt idx="9">
                  <c:v>165.780690348373</c:v>
                </c:pt>
                <c:pt idx="10">
                  <c:v>160.183172526166</c:v>
                </c:pt>
                <c:pt idx="11">
                  <c:v>159.933229517503</c:v>
                </c:pt>
                <c:pt idx="12">
                  <c:v>161.447794906057</c:v>
                </c:pt>
                <c:pt idx="13">
                  <c:v>163.282037923043</c:v>
                </c:pt>
                <c:pt idx="14">
                  <c:v>164.986179424207</c:v>
                </c:pt>
                <c:pt idx="15">
                  <c:v>166.455742139338</c:v>
                </c:pt>
                <c:pt idx="16">
                  <c:v>167.693957854553</c:v>
                </c:pt>
                <c:pt idx="17">
                  <c:v>168.732386165972</c:v>
                </c:pt>
                <c:pt idx="18">
                  <c:v>169.605624297078</c:v>
                </c:pt>
                <c:pt idx="19">
                  <c:v>173.75913226495</c:v>
                </c:pt>
                <c:pt idx="20">
                  <c:v>174.94259653208</c:v>
                </c:pt>
                <c:pt idx="21">
                  <c:v>175.29346672004</c:v>
                </c:pt>
                <c:pt idx="22">
                  <c:v>175.301818592592</c:v>
                </c:pt>
                <c:pt idx="23">
                  <c:v>175.137115736987</c:v>
                </c:pt>
                <c:pt idx="24">
                  <c:v>174.873176100293</c:v>
                </c:pt>
                <c:pt idx="25">
                  <c:v>174.547255894736</c:v>
                </c:pt>
                <c:pt idx="26">
                  <c:v>174.180191126072</c:v>
                </c:pt>
                <c:pt idx="27">
                  <c:v>173.784554947548</c:v>
                </c:pt>
                <c:pt idx="28">
                  <c:v>171.585224604813</c:v>
                </c:pt>
                <c:pt idx="29">
                  <c:v>169.239155875864</c:v>
                </c:pt>
                <c:pt idx="30">
                  <c:v>166.860830100033</c:v>
                </c:pt>
                <c:pt idx="31">
                  <c:v>164.493378211053</c:v>
                </c:pt>
                <c:pt idx="32">
                  <c:v>162.15873909831</c:v>
                </c:pt>
                <c:pt idx="33">
                  <c:v>159.870177106742</c:v>
                </c:pt>
                <c:pt idx="34">
                  <c:v>157.636454130215</c:v>
                </c:pt>
                <c:pt idx="35">
                  <c:v>155.46352431508</c:v>
                </c:pt>
                <c:pt idx="36">
                  <c:v>153.355347659745</c:v>
                </c:pt>
                <c:pt idx="37">
                  <c:v>151.31434899366</c:v>
                </c:pt>
                <c:pt idx="38">
                  <c:v>149.341719598733</c:v>
                </c:pt>
                <c:pt idx="39">
                  <c:v>147.437641748618</c:v>
                </c:pt>
                <c:pt idx="40">
                  <c:v>145.601470480671</c:v>
                </c:pt>
                <c:pt idx="41">
                  <c:v>143.83188766729</c:v>
                </c:pt>
                <c:pt idx="42">
                  <c:v>142.127035157586</c:v>
                </c:pt>
                <c:pt idx="43">
                  <c:v>140.484630220671</c:v>
                </c:pt>
                <c:pt idx="44">
                  <c:v>138.902065102178</c:v>
                </c:pt>
                <c:pt idx="45">
                  <c:v>137.376492019158</c:v>
                </c:pt>
                <c:pt idx="46">
                  <c:v>135.904894813917</c:v>
                </c:pt>
                <c:pt idx="47">
                  <c:v>134.484148509432</c:v>
                </c:pt>
                <c:pt idx="48">
                  <c:v>133.111068044772</c:v>
                </c:pt>
                <c:pt idx="49">
                  <c:v>131.782447475449</c:v>
                </c:pt>
                <c:pt idx="50">
                  <c:v>130.495090890738</c:v>
                </c:pt>
                <c:pt idx="51">
                  <c:v>129.245836232393</c:v>
                </c:pt>
                <c:pt idx="52">
                  <c:v>128.031573106437</c:v>
                </c:pt>
                <c:pt idx="53">
                  <c:v>126.849255572306</c:v>
                </c:pt>
                <c:pt idx="54">
                  <c:v>125.695910780199</c:v>
                </c:pt>
                <c:pt idx="55">
                  <c:v>124.568644215092</c:v>
                </c:pt>
                <c:pt idx="56">
                  <c:v>123.464642199026</c:v>
                </c:pt>
                <c:pt idx="57">
                  <c:v>122.381172205126</c:v>
                </c:pt>
                <c:pt idx="58">
                  <c:v>121.315581448781</c:v>
                </c:pt>
                <c:pt idx="59">
                  <c:v>120.265294144221</c:v>
                </c:pt>
                <c:pt idx="60">
                  <c:v>119.227807748144</c:v>
                </c:pt>
                <c:pt idx="61">
                  <c:v>118.200688455612</c:v>
                </c:pt>
                <c:pt idx="62">
                  <c:v>117.181566166263</c:v>
                </c:pt>
                <c:pt idx="63">
                  <c:v>116.168129100166</c:v>
                </c:pt>
                <c:pt idx="64">
                  <c:v>115.158118211352</c:v>
                </c:pt>
                <c:pt idx="65">
                  <c:v>114.149321522442</c:v>
                </c:pt>
                <c:pt idx="66">
                  <c:v>113.139568484901</c:v>
                </c:pt>
                <c:pt idx="67">
                  <c:v>112.126724455732</c:v>
                </c:pt>
                <c:pt idx="68">
                  <c:v>111.108685372158</c:v>
                </c:pt>
                <c:pt idx="69">
                  <c:v>110.083372700623</c:v>
                </c:pt>
                <c:pt idx="70">
                  <c:v>109.04872873475</c:v>
                </c:pt>
                <c:pt idx="71">
                  <c:v>108.002712318522</c:v>
                </c:pt>
                <c:pt idx="72">
                  <c:v>106.943295075465</c:v>
                </c:pt>
                <c:pt idx="73">
                  <c:v>105.868458231973</c:v>
                </c:pt>
                <c:pt idx="74">
                  <c:v>104.776190132677</c:v>
                </c:pt>
                <c:pt idx="75">
                  <c:v>103.664484557924</c:v>
                </c:pt>
                <c:pt idx="76">
                  <c:v>102.531339967597</c:v>
                </c:pt>
                <c:pt idx="77">
                  <c:v>101.374759811348</c:v>
                </c:pt>
                <c:pt idx="78">
                  <c:v>100.192754062477</c:v>
                </c:pt>
                <c:pt idx="79">
                  <c:v>98.9833421504112</c:v>
                </c:pt>
                <c:pt idx="80">
                  <c:v>97.7445574842639</c:v>
                </c:pt>
                <c:pt idx="81">
                  <c:v>96.4744537760938</c:v>
                </c:pt>
                <c:pt idx="82">
                  <c:v>95.1711133857288</c:v>
                </c:pt>
                <c:pt idx="83">
                  <c:v>93.8326579174257</c:v>
                </c:pt>
                <c:pt idx="84">
                  <c:v>92.4572612997715</c:v>
                </c:pt>
                <c:pt idx="85">
                  <c:v>91.0431655711094</c:v>
                </c:pt>
                <c:pt idx="86">
                  <c:v>89.5886995699088</c:v>
                </c:pt>
                <c:pt idx="87">
                  <c:v>88.0923006888983</c:v>
                </c:pt>
                <c:pt idx="88">
                  <c:v>86.5525397891724</c:v>
                </c:pt>
                <c:pt idx="89">
                  <c:v>84.9681492815014</c:v>
                </c:pt>
                <c:pt idx="90">
                  <c:v>83.3380542627867</c:v>
                </c:pt>
                <c:pt idx="91">
                  <c:v>81.6614064430276</c:v>
                </c:pt>
                <c:pt idx="92">
                  <c:v>79.9376204111448</c:v>
                </c:pt>
                <c:pt idx="93">
                  <c:v>78.1664115681452</c:v>
                </c:pt>
                <c:pt idx="94">
                  <c:v>76.3478348088679</c:v>
                </c:pt>
                <c:pt idx="95">
                  <c:v>74.4823227692878</c:v>
                </c:pt>
                <c:pt idx="96">
                  <c:v>72.5707221911847</c:v>
                </c:pt>
                <c:pt idx="97">
                  <c:v>70.6143267120786</c:v>
                </c:pt>
                <c:pt idx="98">
                  <c:v>68.6149041934639</c:v>
                </c:pt>
                <c:pt idx="99">
                  <c:v>66.574716586313</c:v>
                </c:pt>
                <c:pt idx="100">
                  <c:v>64.4965303323859</c:v>
                </c:pt>
                <c:pt idx="101">
                  <c:v>62.3836154427313</c:v>
                </c:pt>
                <c:pt idx="102">
                  <c:v>60.2397317020674</c:v>
                </c:pt>
                <c:pt idx="103">
                  <c:v>58.0691009265977</c:v>
                </c:pt>
                <c:pt idx="104">
                  <c:v>55.8763648414111</c:v>
                </c:pt>
                <c:pt idx="105">
                  <c:v>53.6665289082503</c:v>
                </c:pt>
                <c:pt idx="106">
                  <c:v>51.4448932698376</c:v>
                </c:pt>
                <c:pt idx="107">
                  <c:v>49.2169728105081</c:v>
                </c:pt>
                <c:pt idx="108">
                  <c:v>46.9884090827244</c:v>
                </c:pt>
                <c:pt idx="109">
                  <c:v>44.7648774350679</c:v>
                </c:pt>
                <c:pt idx="110">
                  <c:v>42.5519930333065</c:v>
                </c:pt>
                <c:pt idx="111">
                  <c:v>40.355219550542</c:v>
                </c:pt>
                <c:pt idx="112">
                  <c:v>38.1797843108957</c:v>
                </c:pt>
                <c:pt idx="113">
                  <c:v>36.0306017759233</c:v>
                </c:pt>
                <c:pt idx="114">
                  <c:v>33.9122109210805</c:v>
                </c:pt>
                <c:pt idx="115">
                  <c:v>31.8287240572225</c:v>
                </c:pt>
                <c:pt idx="116">
                  <c:v>29.783791007237</c:v>
                </c:pt>
                <c:pt idx="117">
                  <c:v>27.7805774141524</c:v>
                </c:pt>
                <c:pt idx="118">
                  <c:v>25.8217566779052</c:v>
                </c:pt>
                <c:pt idx="119">
                  <c:v>23.9095142357306</c:v>
                </c:pt>
                <c:pt idx="120">
                  <c:v>22.045562491655</c:v>
                </c:pt>
                <c:pt idx="121">
                  <c:v>20.2311644618138</c:v>
                </c:pt>
                <c:pt idx="122">
                  <c:v>18.4671641208447</c:v>
                </c:pt>
                <c:pt idx="123">
                  <c:v>16.7540214851227</c:v>
                </c:pt>
                <c:pt idx="124">
                  <c:v>15.0918506196057</c:v>
                </c:pt>
                <c:pt idx="125">
                  <c:v>13.4804589736829</c:v>
                </c:pt>
                <c:pt idx="126">
                  <c:v>11.9193867072621</c:v>
                </c:pt>
                <c:pt idx="127">
                  <c:v>10.4079449357549</c:v>
                </c:pt>
                <c:pt idx="128">
                  <c:v>8.945252081891</c:v>
                </c:pt>
                <c:pt idx="129">
                  <c:v>7.53026775972091</c:v>
                </c:pt>
                <c:pt idx="130">
                  <c:v>6.16182382346747</c:v>
                </c:pt>
                <c:pt idx="131">
                  <c:v>4.8386523873084</c:v>
                </c:pt>
                <c:pt idx="132">
                  <c:v>3.55941076134172</c:v>
                </c:pt>
                <c:pt idx="133">
                  <c:v>2.32270335590934</c:v>
                </c:pt>
                <c:pt idx="134">
                  <c:v>1.12710068457059</c:v>
                </c:pt>
                <c:pt idx="135">
                  <c:v>-0.0288443505001794</c:v>
                </c:pt>
                <c:pt idx="136">
                  <c:v>-1.14658267372016</c:v>
                </c:pt>
                <c:pt idx="137">
                  <c:v>-2.22755751784348</c:v>
                </c:pt>
                <c:pt idx="138">
                  <c:v>-3.27319493341432</c:v>
                </c:pt>
                <c:pt idx="139">
                  <c:v>-4.2848960913889</c:v>
                </c:pt>
                <c:pt idx="140">
                  <c:v>-5.26403115500995</c:v>
                </c:pt>
                <c:pt idx="141">
                  <c:v>-6.21193451177535</c:v>
                </c:pt>
                <c:pt idx="142">
                  <c:v>-7.12990117351154</c:v>
                </c:pt>
                <c:pt idx="143">
                  <c:v>-8.01918417084428</c:v>
                </c:pt>
                <c:pt idx="144">
                  <c:v>-8.88099278679439</c:v>
                </c:pt>
                <c:pt idx="145">
                  <c:v>-9.71649149214835</c:v>
                </c:pt>
                <c:pt idx="146">
                  <c:v>-10.526799462214</c:v>
                </c:pt>
                <c:pt idx="147">
                  <c:v>-11.3129905702963</c:v>
                </c:pt>
                <c:pt idx="148">
                  <c:v>-12.0760937675734</c:v>
                </c:pt>
                <c:pt idx="149">
                  <c:v>-12.8170937719717</c:v>
                </c:pt>
                <c:pt idx="150">
                  <c:v>-13.536932000136</c:v>
                </c:pt>
                <c:pt idx="151">
                  <c:v>-14.2365076867439</c:v>
                </c:pt>
                <c:pt idx="152">
                  <c:v>-14.916679144292</c:v>
                </c:pt>
                <c:pt idx="153">
                  <c:v>-15.5782651242033</c:v>
                </c:pt>
                <c:pt idx="154">
                  <c:v>-16.2220462467724</c:v>
                </c:pt>
                <c:pt idx="155">
                  <c:v>-16.8487664731911</c:v>
                </c:pt>
                <c:pt idx="156">
                  <c:v>-17.4591345977916</c:v>
                </c:pt>
                <c:pt idx="157">
                  <c:v>-18.0538257428001</c:v>
                </c:pt>
                <c:pt idx="158">
                  <c:v>-18.633482841419</c:v>
                </c:pt>
                <c:pt idx="159">
                  <c:v>-19.1987180980139</c:v>
                </c:pt>
                <c:pt idx="160">
                  <c:v>-19.7501144166756</c:v>
                </c:pt>
                <c:pt idx="161">
                  <c:v>-20.2882267914916</c:v>
                </c:pt>
                <c:pt idx="162">
                  <c:v>-20.8135836535942</c:v>
                </c:pt>
                <c:pt idx="163">
                  <c:v>-21.3266881714668</c:v>
                </c:pt>
                <c:pt idx="164">
                  <c:v>-21.8280195021624</c:v>
                </c:pt>
                <c:pt idx="165">
                  <c:v>-22.3180339920411</c:v>
                </c:pt>
                <c:pt idx="166">
                  <c:v>-22.7971663264021</c:v>
                </c:pt>
                <c:pt idx="167">
                  <c:v>-23.2658306280087</c:v>
                </c:pt>
                <c:pt idx="168">
                  <c:v>-23.7244215049937</c:v>
                </c:pt>
                <c:pt idx="169">
                  <c:v>-24.1733150490186</c:v>
                </c:pt>
                <c:pt idx="170">
                  <c:v>-24.6128697848573</c:v>
                </c:pt>
                <c:pt idx="171">
                  <c:v>-25.043427572798</c:v>
                </c:pt>
                <c:pt idx="172">
                  <c:v>-25.4653144654202</c:v>
                </c:pt>
                <c:pt idx="173">
                  <c:v>-25.8788415204178</c:v>
                </c:pt>
                <c:pt idx="174">
                  <c:v>-26.2843055712132</c:v>
                </c:pt>
                <c:pt idx="175">
                  <c:v>-26.6819899571462</c:v>
                </c:pt>
                <c:pt idx="176">
                  <c:v>-27.072165215039</c:v>
                </c:pt>
                <c:pt idx="177">
                  <c:v>-27.4550897339292</c:v>
                </c:pt>
                <c:pt idx="178">
                  <c:v>-27.8310103747418</c:v>
                </c:pt>
                <c:pt idx="179">
                  <c:v>-28.2001630566344</c:v>
                </c:pt>
                <c:pt idx="180">
                  <c:v>-28.5627733117049</c:v>
                </c:pt>
                <c:pt idx="181">
                  <c:v>-28.9190568096989</c:v>
                </c:pt>
                <c:pt idx="182">
                  <c:v>-29.2692198542937</c:v>
                </c:pt>
                <c:pt idx="183">
                  <c:v>-29.6134598524785</c:v>
                </c:pt>
                <c:pt idx="184">
                  <c:v>-29.9519657584833</c:v>
                </c:pt>
                <c:pt idx="185">
                  <c:v>-30.2849184936454</c:v>
                </c:pt>
                <c:pt idx="186">
                  <c:v>-30.6124913435404</c:v>
                </c:pt>
                <c:pt idx="187">
                  <c:v>-30.9348503336361</c:v>
                </c:pt>
                <c:pt idx="188">
                  <c:v>-31.2521545846675</c:v>
                </c:pt>
                <c:pt idx="189">
                  <c:v>-31.5645566488703</c:v>
                </c:pt>
                <c:pt idx="190">
                  <c:v>-31.8722028281471</c:v>
                </c:pt>
                <c:pt idx="191">
                  <c:v>-32.1752334751864</c:v>
                </c:pt>
                <c:pt idx="192">
                  <c:v>-32.4737832784968</c:v>
                </c:pt>
                <c:pt idx="193">
                  <c:v>-32.767981532266</c:v>
                </c:pt>
                <c:pt idx="194">
                  <c:v>-33.0579523919044</c:v>
                </c:pt>
                <c:pt idx="195">
                  <c:v>-33.3438151160828</c:v>
                </c:pt>
                <c:pt idx="196">
                  <c:v>-33.6256842960287</c:v>
                </c:pt>
                <c:pt idx="197">
                  <c:v>-33.903670072801</c:v>
                </c:pt>
                <c:pt idx="198">
                  <c:v>-34.1778783432235</c:v>
                </c:pt>
                <c:pt idx="199">
                  <c:v>-34.4484109551144</c:v>
                </c:pt>
                <c:pt idx="200">
                  <c:v>-34.7153658924156</c:v>
                </c:pt>
                <c:pt idx="201">
                  <c:v>-34.9788374507881</c:v>
                </c:pt>
                <c:pt idx="202">
                  <c:v>-35.2389164042069</c:v>
                </c:pt>
                <c:pt idx="203">
                  <c:v>-35.4956901630603</c:v>
                </c:pt>
                <c:pt idx="204">
                  <c:v>-35.7492429242223</c:v>
                </c:pt>
                <c:pt idx="205">
                  <c:v>-35.9996558135484</c:v>
                </c:pt>
                <c:pt idx="206">
                  <c:v>-36.2470070212096</c:v>
                </c:pt>
                <c:pt idx="207">
                  <c:v>-36.4913719302627</c:v>
                </c:pt>
                <c:pt idx="208">
                  <c:v>-36.7328232388252</c:v>
                </c:pt>
                <c:pt idx="209">
                  <c:v>-36.9714310762079</c:v>
                </c:pt>
                <c:pt idx="210">
                  <c:v>-37.2072631133302</c:v>
                </c:pt>
                <c:pt idx="211">
                  <c:v>-37.440384667733</c:v>
                </c:pt>
                <c:pt idx="212">
                  <c:v>-37.6708588034764</c:v>
                </c:pt>
                <c:pt idx="213">
                  <c:v>-37.8987464262021</c:v>
                </c:pt>
                <c:pt idx="214">
                  <c:v>-38.124106373614</c:v>
                </c:pt>
                <c:pt idx="215">
                  <c:v>-38.346995501627</c:v>
                </c:pt>
                <c:pt idx="216">
                  <c:v>-38.5674687664093</c:v>
                </c:pt>
                <c:pt idx="217">
                  <c:v>-38.7855793025381</c:v>
                </c:pt>
                <c:pt idx="218">
                  <c:v>-39.0013784974711</c:v>
                </c:pt>
                <c:pt idx="219">
                  <c:v>-39.2149160625282</c:v>
                </c:pt>
                <c:pt idx="220">
                  <c:v>-39.4262401005641</c:v>
                </c:pt>
                <c:pt idx="221">
                  <c:v>-39.6353971705037</c:v>
                </c:pt>
                <c:pt idx="222">
                  <c:v>-39.8424323489022</c:v>
                </c:pt>
                <c:pt idx="223">
                  <c:v>-40.0473892886827</c:v>
                </c:pt>
                <c:pt idx="224">
                  <c:v>-40.2503102751949</c:v>
                </c:pt>
                <c:pt idx="225">
                  <c:v>-40.4512362797324</c:v>
                </c:pt>
                <c:pt idx="226">
                  <c:v>-42.3589422511577</c:v>
                </c:pt>
                <c:pt idx="227">
                  <c:v>-44.1041690802105</c:v>
                </c:pt>
                <c:pt idx="228">
                  <c:v>-45.7124531945993</c:v>
                </c:pt>
                <c:pt idx="229">
                  <c:v>-47.2033901458727</c:v>
                </c:pt>
                <c:pt idx="230">
                  <c:v>-48.5923404541068</c:v>
                </c:pt>
                <c:pt idx="231">
                  <c:v>-49.8915827562585</c:v>
                </c:pt>
                <c:pt idx="232">
                  <c:v>-51.1111090035792</c:v>
                </c:pt>
                <c:pt idx="233">
                  <c:v>-52.2591830655076</c:v>
                </c:pt>
                <c:pt idx="234">
                  <c:v>-53.3427399984283</c:v>
                </c:pt>
                <c:pt idx="235">
                  <c:v>-54.3676761391745</c:v>
                </c:pt>
                <c:pt idx="236">
                  <c:v>-55.3390631823833</c:v>
                </c:pt>
                <c:pt idx="237">
                  <c:v>-56.2613085291533</c:v>
                </c:pt>
                <c:pt idx="238">
                  <c:v>-57.1382771188003</c:v>
                </c:pt>
                <c:pt idx="239">
                  <c:v>-57.9733852752017</c:v>
                </c:pt>
                <c:pt idx="240">
                  <c:v>-58.7696739567031</c:v>
                </c:pt>
                <c:pt idx="241">
                  <c:v>-59.5298666591347</c:v>
                </c:pt>
                <c:pt idx="242">
                  <c:v>-60.2564157460743</c:v>
                </c:pt>
                <c:pt idx="243">
                  <c:v>-60.9515399506706</c:v>
                </c:pt>
                <c:pt idx="244">
                  <c:v>-61.6172550663366</c:v>
                </c:pt>
                <c:pt idx="245">
                  <c:v>-62.2553993248712</c:v>
                </c:pt>
                <c:pt idx="246">
                  <c:v>-62.8676545866077</c:v>
                </c:pt>
                <c:pt idx="247">
                  <c:v>-63.4555641949675</c:v>
                </c:pt>
                <c:pt idx="248">
                  <c:v>-64.0205481477653</c:v>
                </c:pt>
                <c:pt idx="249">
                  <c:v>-64.5639160892736</c:v>
                </c:pt>
                <c:pt idx="250">
                  <c:v>-65.0868785160872</c:v>
                </c:pt>
                <c:pt idx="251">
                  <c:v>-65.5905565060795</c:v>
                </c:pt>
                <c:pt idx="252">
                  <c:v>-66.0759902160174</c:v>
                </c:pt>
                <c:pt idx="253">
                  <c:v>-66.5441463444935</c:v>
                </c:pt>
                <c:pt idx="254">
                  <c:v>-66.9959247189983</c:v>
                </c:pt>
                <c:pt idx="255">
                  <c:v>-67.4321641364477</c:v>
                </c:pt>
                <c:pt idx="256">
                  <c:v>-67.8536475632866</c:v>
                </c:pt>
                <c:pt idx="257">
                  <c:v>-68.2611067829096</c:v>
                </c:pt>
                <c:pt idx="258">
                  <c:v>-68.6552265634761</c:v>
                </c:pt>
                <c:pt idx="259">
                  <c:v>-69.0366484073982</c:v>
                </c:pt>
                <c:pt idx="260">
                  <c:v>-69.4059739342224</c:v>
                </c:pt>
                <c:pt idx="261">
                  <c:v>-69.7637679408332</c:v>
                </c:pt>
                <c:pt idx="262">
                  <c:v>-70.1105611765007</c:v>
                </c:pt>
                <c:pt idx="263">
                  <c:v>-70.446852864998</c:v>
                </c:pt>
                <c:pt idx="264">
                  <c:v>-70.7731130016115</c:v>
                </c:pt>
                <c:pt idx="265">
                  <c:v>-71.0897844491716</c:v>
                </c:pt>
                <c:pt idx="266">
                  <c:v>-71.397284854132</c:v>
                </c:pt>
                <c:pt idx="267">
                  <c:v>-71.6960084010865</c:v>
                </c:pt>
                <c:pt idx="268">
                  <c:v>-71.9863274218785</c:v>
                </c:pt>
                <c:pt idx="269">
                  <c:v>-72.26859387354</c:v>
                </c:pt>
                <c:pt idx="270">
                  <c:v>-72.5431406976462</c:v>
                </c:pt>
                <c:pt idx="271">
                  <c:v>-72.8102830722562</c:v>
                </c:pt>
                <c:pt idx="272">
                  <c:v>-73.0703195663703</c:v>
                </c:pt>
                <c:pt idx="273">
                  <c:v>-73.3235332057658</c:v>
                </c:pt>
                <c:pt idx="274">
                  <c:v>-73.5701924581328</c:v>
                </c:pt>
                <c:pt idx="275">
                  <c:v>-73.8105521446109</c:v>
                </c:pt>
                <c:pt idx="276">
                  <c:v>-74.0448542841036</c:v>
                </c:pt>
                <c:pt idx="277">
                  <c:v>-74.2733288761112</c:v>
                </c:pt>
                <c:pt idx="278">
                  <c:v>-74.4961946272578</c:v>
                </c:pt>
                <c:pt idx="279">
                  <c:v>-74.7136596261875</c:v>
                </c:pt>
                <c:pt idx="280">
                  <c:v>-74.925921971061</c:v>
                </c:pt>
                <c:pt idx="281">
                  <c:v>-75.1331703534879</c:v>
                </c:pt>
                <c:pt idx="282">
                  <c:v>-75.3355846023743</c:v>
                </c:pt>
                <c:pt idx="283">
                  <c:v>-75.53333619085</c:v>
                </c:pt>
                <c:pt idx="284">
                  <c:v>-75.7265887091558</c:v>
                </c:pt>
                <c:pt idx="285">
                  <c:v>-75.915498306114</c:v>
                </c:pt>
                <c:pt idx="286">
                  <c:v>-76.1002141015799</c:v>
                </c:pt>
                <c:pt idx="287">
                  <c:v>-76.2808785720594</c:v>
                </c:pt>
                <c:pt idx="288">
                  <c:v>-76.4576279114972</c:v>
                </c:pt>
                <c:pt idx="289">
                  <c:v>-76.6305923690666</c:v>
                </c:pt>
                <c:pt idx="290">
                  <c:v>-76.7998965656409</c:v>
                </c:pt>
                <c:pt idx="291">
                  <c:v>-76.965659790488</c:v>
                </c:pt>
                <c:pt idx="292">
                  <c:v>-77.1279962796045</c:v>
                </c:pt>
                <c:pt idx="293">
                  <c:v>-77.2870154769887</c:v>
                </c:pt>
                <c:pt idx="294">
                  <c:v>-77.4428222800523</c:v>
                </c:pt>
                <c:pt idx="295">
                  <c:v>-77.5955172702706</c:v>
                </c:pt>
                <c:pt idx="296">
                  <c:v>-77.7451969300916</c:v>
                </c:pt>
                <c:pt idx="297">
                  <c:v>-77.8919538470359</c:v>
                </c:pt>
                <c:pt idx="298">
                  <c:v>-78.0358769058591</c:v>
                </c:pt>
                <c:pt idx="299">
                  <c:v>-78.1770514695721</c:v>
                </c:pt>
                <c:pt idx="300">
                  <c:v>-78.31555955006</c:v>
                </c:pt>
                <c:pt idx="301">
                  <c:v>-78.451479968985</c:v>
                </c:pt>
                <c:pt idx="302">
                  <c:v>-78.5848885096056</c:v>
                </c:pt>
                <c:pt idx="303">
                  <c:v>-78.7158580600989</c:v>
                </c:pt>
                <c:pt idx="304">
                  <c:v>-78.8444587489326</c:v>
                </c:pt>
                <c:pt idx="305">
                  <c:v>-78.97075807279</c:v>
                </c:pt>
                <c:pt idx="306">
                  <c:v>-79.0948210175173</c:v>
                </c:pt>
                <c:pt idx="307">
                  <c:v>-79.2167101725306</c:v>
                </c:pt>
                <c:pt idx="308">
                  <c:v>-79.3364858390864</c:v>
                </c:pt>
                <c:pt idx="309">
                  <c:v>-79.4542061327929</c:v>
                </c:pt>
                <c:pt idx="310">
                  <c:v>-79.5699270807143</c:v>
                </c:pt>
                <c:pt idx="311">
                  <c:v>-79.6837027133931</c:v>
                </c:pt>
                <c:pt idx="312">
                  <c:v>-79.7955851520974</c:v>
                </c:pt>
                <c:pt idx="313">
                  <c:v>-79.9056246915753</c:v>
                </c:pt>
                <c:pt idx="314">
                  <c:v>-80.0138698785826</c:v>
                </c:pt>
                <c:pt idx="315">
                  <c:v>-80.1203675864319</c:v>
                </c:pt>
                <c:pt idx="316">
                  <c:v>-80.2251630857931</c:v>
                </c:pt>
                <c:pt idx="317">
                  <c:v>-80.3283001119621</c:v>
                </c:pt>
                <c:pt idx="318">
                  <c:v>-80.4298209287998</c:v>
                </c:pt>
                <c:pt idx="319">
                  <c:v>-80.5297663895314</c:v>
                </c:pt>
                <c:pt idx="320">
                  <c:v>-80.6281759945799</c:v>
                </c:pt>
                <c:pt idx="321">
                  <c:v>-80.7250879466047</c:v>
                </c:pt>
                <c:pt idx="322">
                  <c:v>-80.8205392028953</c:v>
                </c:pt>
                <c:pt idx="323">
                  <c:v>-80.9145655252693</c:v>
                </c:pt>
                <c:pt idx="324">
                  <c:v>-81.0072015276109</c:v>
                </c:pt>
                <c:pt idx="325">
                  <c:v>-81.0984807211758</c:v>
                </c:pt>
                <c:pt idx="326">
                  <c:v>-81.1884355577859</c:v>
                </c:pt>
                <c:pt idx="327">
                  <c:v>-81.2770974710248</c:v>
                </c:pt>
                <c:pt idx="328">
                  <c:v>-81.3644969155414</c:v>
                </c:pt>
                <c:pt idx="329">
                  <c:v>-81.4506634045604</c:v>
                </c:pt>
                <c:pt idx="330">
                  <c:v>-81.535625545695</c:v>
                </c:pt>
                <c:pt idx="331">
                  <c:v>-81.6194110751495</c:v>
                </c:pt>
                <c:pt idx="332">
                  <c:v>-81.7020468903943</c:v>
                </c:pt>
                <c:pt idx="333">
                  <c:v>-81.783559081393</c:v>
                </c:pt>
                <c:pt idx="334">
                  <c:v>-81.8639729604553</c:v>
                </c:pt>
                <c:pt idx="335">
                  <c:v>-81.943313090783</c:v>
                </c:pt>
                <c:pt idx="336">
                  <c:v>-82.021603313779</c:v>
                </c:pt>
                <c:pt idx="337">
                  <c:v>-82.0988667751769</c:v>
                </c:pt>
                <c:pt idx="338">
                  <c:v>-82.1751259500519</c:v>
                </c:pt>
                <c:pt idx="339">
                  <c:v>-82.2504026667685</c:v>
                </c:pt>
                <c:pt idx="340">
                  <c:v>-82.324718129915</c:v>
                </c:pt>
                <c:pt idx="341">
                  <c:v>-82.3980929422764</c:v>
                </c:pt>
                <c:pt idx="342">
                  <c:v>-82.4705471258907</c:v>
                </c:pt>
                <c:pt idx="343">
                  <c:v>-82.5421001422329</c:v>
                </c:pt>
                <c:pt idx="344">
                  <c:v>-82.6127709115685</c:v>
                </c:pt>
                <c:pt idx="345">
                  <c:v>-82.682577831516</c:v>
                </c:pt>
                <c:pt idx="346">
                  <c:v>-82.7515387948548</c:v>
                </c:pt>
                <c:pt idx="347">
                  <c:v>-82.819671206615</c:v>
                </c:pt>
                <c:pt idx="348">
                  <c:v>-82.8869920004816</c:v>
                </c:pt>
                <c:pt idx="349">
                  <c:v>-82.9535176545451</c:v>
                </c:pt>
                <c:pt idx="350">
                  <c:v>-83.0192642064284</c:v>
                </c:pt>
                <c:pt idx="351">
                  <c:v>-83.0842472678186</c:v>
                </c:pt>
                <c:pt idx="352">
                  <c:v>-83.1484820384308</c:v>
                </c:pt>
                <c:pt idx="353">
                  <c:v>-83.2119833194283</c:v>
                </c:pt>
                <c:pt idx="354">
                  <c:v>-83.2747655263264</c:v>
                </c:pt>
                <c:pt idx="355">
                  <c:v>-83.3368427013987</c:v>
                </c:pt>
                <c:pt idx="356">
                  <c:v>-83.3982285256122</c:v>
                </c:pt>
                <c:pt idx="357">
                  <c:v>-83.4589363301085</c:v>
                </c:pt>
                <c:pt idx="358">
                  <c:v>-83.5189791072526</c:v>
                </c:pt>
                <c:pt idx="359">
                  <c:v>-83.578369521268</c:v>
                </c:pt>
                <c:pt idx="360">
                  <c:v>-83.6371199184762</c:v>
                </c:pt>
                <c:pt idx="361">
                  <c:v>-83.6952423371562</c:v>
                </c:pt>
                <c:pt idx="362">
                  <c:v>-83.7527485170416</c:v>
                </c:pt>
                <c:pt idx="363">
                  <c:v>-83.8096499084709</c:v>
                </c:pt>
                <c:pt idx="364">
                  <c:v>-83.8659576812041</c:v>
                </c:pt>
                <c:pt idx="365">
                  <c:v>-83.9216827329209</c:v>
                </c:pt>
                <c:pt idx="366">
                  <c:v>-83.9768356974136</c:v>
                </c:pt>
                <c:pt idx="367">
                  <c:v>-84.0314269524869</c:v>
                </c:pt>
                <c:pt idx="368">
                  <c:v>-84.0854666275768</c:v>
                </c:pt>
                <c:pt idx="369">
                  <c:v>-84.1389646111012</c:v>
                </c:pt>
                <c:pt idx="370">
                  <c:v>-84.1919305575507</c:v>
                </c:pt>
                <c:pt idx="371">
                  <c:v>-84.2443738943333</c:v>
                </c:pt>
                <c:pt idx="372">
                  <c:v>-84.2963038283799</c:v>
                </c:pt>
                <c:pt idx="373">
                  <c:v>-84.3477293525228</c:v>
                </c:pt>
                <c:pt idx="374">
                  <c:v>-84.3986592516539</c:v>
                </c:pt>
                <c:pt idx="375">
                  <c:v>-84.4491021086734</c:v>
                </c:pt>
                <c:pt idx="376">
                  <c:v>-84.4990663102361</c:v>
                </c:pt>
                <c:pt idx="377">
                  <c:v>-84.5485600523031</c:v>
                </c:pt>
                <c:pt idx="378">
                  <c:v>-84.5975913455072</c:v>
                </c:pt>
                <c:pt idx="379">
                  <c:v>-84.6461680203394</c:v>
                </c:pt>
                <c:pt idx="380">
                  <c:v>-84.6942977321619</c:v>
                </c:pt>
                <c:pt idx="381">
                  <c:v>-84.7419879660562</c:v>
                </c:pt>
                <c:pt idx="382">
                  <c:v>-84.7892460415115</c:v>
                </c:pt>
                <c:pt idx="383">
                  <c:v>-84.8360791169591</c:v>
                </c:pt>
                <c:pt idx="384">
                  <c:v>-84.8824941941601</c:v>
                </c:pt>
                <c:pt idx="385">
                  <c:v>-84.9284981224504</c:v>
                </c:pt>
                <c:pt idx="386">
                  <c:v>-84.9740976028496</c:v>
                </c:pt>
                <c:pt idx="387">
                  <c:v>-85.0192991920366</c:v>
                </c:pt>
                <c:pt idx="388">
                  <c:v>-85.0641093062012</c:v>
                </c:pt>
                <c:pt idx="389">
                  <c:v>-85.1085342247707</c:v>
                </c:pt>
                <c:pt idx="390">
                  <c:v>-85.1525800940212</c:v>
                </c:pt>
                <c:pt idx="391">
                  <c:v>-85.1962529305736</c:v>
                </c:pt>
                <c:pt idx="392">
                  <c:v>-85.2395586247821</c:v>
                </c:pt>
                <c:pt idx="393">
                  <c:v>-85.2825029440165</c:v>
                </c:pt>
                <c:pt idx="394">
                  <c:v>-85.3250915358424</c:v>
                </c:pt>
                <c:pt idx="395">
                  <c:v>-85.3673299311056</c:v>
                </c:pt>
                <c:pt idx="396">
                  <c:v>-85.4092235469198</c:v>
                </c:pt>
                <c:pt idx="397">
                  <c:v>-85.4507776895643</c:v>
                </c:pt>
                <c:pt idx="398">
                  <c:v>-85.4919975572946</c:v>
                </c:pt>
                <c:pt idx="399">
                  <c:v>-85.5328882430668</c:v>
                </c:pt>
                <c:pt idx="400">
                  <c:v>-85.573454737181</c:v>
                </c:pt>
                <c:pt idx="401">
                  <c:v>-85.6137019298458</c:v>
                </c:pt>
                <c:pt idx="402">
                  <c:v>-85.6536346136661</c:v>
                </c:pt>
                <c:pt idx="403">
                  <c:v>-85.6932574860583</c:v>
                </c:pt>
                <c:pt idx="404">
                  <c:v>-85.7325751515925</c:v>
                </c:pt>
                <c:pt idx="405">
                  <c:v>-85.7715921242686</c:v>
                </c:pt>
                <c:pt idx="406">
                  <c:v>-85.8103128297238</c:v>
                </c:pt>
                <c:pt idx="407">
                  <c:v>-85.8487416073771</c:v>
                </c:pt>
                <c:pt idx="408">
                  <c:v>-85.886882712512</c:v>
                </c:pt>
                <c:pt idx="409">
                  <c:v>-85.9247403182985</c:v>
                </c:pt>
                <c:pt idx="410">
                  <c:v>-85.9623185177581</c:v>
                </c:pt>
                <c:pt idx="411">
                  <c:v>-85.9996213256723</c:v>
                </c:pt>
                <c:pt idx="412">
                  <c:v>-86.0366526804373</c:v>
                </c:pt>
                <c:pt idx="413">
                  <c:v>-86.0734164458659</c:v>
                </c:pt>
                <c:pt idx="414">
                  <c:v>-86.1099164129392</c:v>
                </c:pt>
                <c:pt idx="415">
                  <c:v>-86.1461563015092</c:v>
                </c:pt>
                <c:pt idx="416">
                  <c:v>-86.1821397619543</c:v>
                </c:pt>
                <c:pt idx="417">
                  <c:v>-86.2178703767879</c:v>
                </c:pt>
                <c:pt idx="418">
                  <c:v>-86.2533516622238</c:v>
                </c:pt>
                <c:pt idx="419">
                  <c:v>-86.2885870696982</c:v>
                </c:pt>
                <c:pt idx="420">
                  <c:v>-86.3235799873499</c:v>
                </c:pt>
                <c:pt idx="421">
                  <c:v>-86.3583337414599</c:v>
                </c:pt>
                <c:pt idx="422">
                  <c:v>-86.3928515978533</c:v>
                </c:pt>
                <c:pt idx="423">
                  <c:v>-86.4271367632617</c:v>
                </c:pt>
                <c:pt idx="424">
                  <c:v>-86.4611923866502</c:v>
                </c:pt>
                <c:pt idx="425">
                  <c:v>-86.495021560508</c:v>
                </c:pt>
                <c:pt idx="426">
                  <c:v>-86.5286273221062</c:v>
                </c:pt>
                <c:pt idx="427">
                  <c:v>-86.5620126547199</c:v>
                </c:pt>
                <c:pt idx="428">
                  <c:v>-86.5951804888202</c:v>
                </c:pt>
                <c:pt idx="429">
                  <c:v>-86.6281337032335</c:v>
                </c:pt>
                <c:pt idx="430">
                  <c:v>-86.6608751262714</c:v>
                </c:pt>
                <c:pt idx="431">
                  <c:v>-86.6934075368304</c:v>
                </c:pt>
                <c:pt idx="432">
                  <c:v>-86.7257336654631</c:v>
                </c:pt>
                <c:pt idx="433">
                  <c:v>-86.7578561954227</c:v>
                </c:pt>
                <c:pt idx="434">
                  <c:v>-86.7897777636791</c:v>
                </c:pt>
                <c:pt idx="435">
                  <c:v>-86.8215009619107</c:v>
                </c:pt>
                <c:pt idx="436">
                  <c:v>-86.8530283374689</c:v>
                </c:pt>
                <c:pt idx="437">
                  <c:v>-86.8843623943199</c:v>
                </c:pt>
                <c:pt idx="438">
                  <c:v>-86.9155055939617</c:v>
                </c:pt>
                <c:pt idx="439">
                  <c:v>-86.9464603563181</c:v>
                </c:pt>
                <c:pt idx="440">
                  <c:v>-86.9772290606106</c:v>
                </c:pt>
                <c:pt idx="441">
                  <c:v>-87.0078140462082</c:v>
                </c:pt>
                <c:pt idx="442">
                  <c:v>-87.0382176134557</c:v>
                </c:pt>
                <c:pt idx="443">
                  <c:v>-87.0684420244826</c:v>
                </c:pt>
                <c:pt idx="444">
                  <c:v>-87.098489503991</c:v>
                </c:pt>
                <c:pt idx="445">
                  <c:v>-87.1283622400241</c:v>
                </c:pt>
                <c:pt idx="446">
                  <c:v>-87.1580623847168</c:v>
                </c:pt>
                <c:pt idx="447">
                  <c:v>-87.1875920550269</c:v>
                </c:pt>
                <c:pt idx="448">
                  <c:v>-87.2169533334496</c:v>
                </c:pt>
                <c:pt idx="449">
                  <c:v>-87.2461482687134</c:v>
                </c:pt>
                <c:pt idx="450">
                  <c:v>-87.2751788764606</c:v>
                </c:pt>
                <c:pt idx="451">
                  <c:v>-87.3040471399107</c:v>
                </c:pt>
                <c:pt idx="452">
                  <c:v>-87.3327550105077</c:v>
                </c:pt>
                <c:pt idx="453">
                  <c:v>-87.3613044085528</c:v>
                </c:pt>
                <c:pt idx="454">
                  <c:v>-87.3896972238215</c:v>
                </c:pt>
                <c:pt idx="455">
                  <c:v>-87.4179353161659</c:v>
                </c:pt>
                <c:pt idx="456">
                  <c:v>-87.4460205161037</c:v>
                </c:pt>
                <c:pt idx="457">
                  <c:v>-87.4739546253924</c:v>
                </c:pt>
                <c:pt idx="458">
                  <c:v>-87.5017394175908</c:v>
                </c:pt>
                <c:pt idx="459">
                  <c:v>-87.5293766386071</c:v>
                </c:pt>
                <c:pt idx="460">
                  <c:v>-87.5568680072342</c:v>
                </c:pt>
                <c:pt idx="461">
                  <c:v>-87.5842152156728</c:v>
                </c:pt>
                <c:pt idx="462">
                  <c:v>-87.6114199300428</c:v>
                </c:pt>
                <c:pt idx="463">
                  <c:v>-87.638483790882</c:v>
                </c:pt>
                <c:pt idx="464">
                  <c:v>-87.6654084136346</c:v>
                </c:pt>
                <c:pt idx="465">
                  <c:v>-87.6921953891276</c:v>
                </c:pt>
                <c:pt idx="466">
                  <c:v>-87.7188462840373</c:v>
                </c:pt>
                <c:pt idx="467">
                  <c:v>-87.7453626413438</c:v>
                </c:pt>
                <c:pt idx="468">
                  <c:v>-87.7717459807776</c:v>
                </c:pt>
                <c:pt idx="469">
                  <c:v>-87.7979977992536</c:v>
                </c:pt>
                <c:pt idx="470">
                  <c:v>-87.8241195712974</c:v>
                </c:pt>
                <c:pt idx="471">
                  <c:v>-87.8501127494613</c:v>
                </c:pt>
                <c:pt idx="472">
                  <c:v>-87.8759787647304</c:v>
                </c:pt>
                <c:pt idx="473">
                  <c:v>-87.9017190269215</c:v>
                </c:pt>
                <c:pt idx="474">
                  <c:v>-87.9273349250713</c:v>
                </c:pt>
                <c:pt idx="475">
                  <c:v>-87.9528278278176</c:v>
                </c:pt>
                <c:pt idx="476">
                  <c:v>-87.978199083771</c:v>
                </c:pt>
                <c:pt idx="477">
                  <c:v>-88.0034500218792</c:v>
                </c:pt>
                <c:pt idx="478">
                  <c:v>-88.0285819517836</c:v>
                </c:pt>
                <c:pt idx="479">
                  <c:v>-88.0535961641674</c:v>
                </c:pt>
                <c:pt idx="480">
                  <c:v>-88.0784939310965</c:v>
                </c:pt>
                <c:pt idx="481">
                  <c:v>-88.1032765063537</c:v>
                </c:pt>
                <c:pt idx="482">
                  <c:v>-88.1279451257645</c:v>
                </c:pt>
                <c:pt idx="483">
                  <c:v>-88.1525010075178</c:v>
                </c:pt>
                <c:pt idx="484">
                  <c:v>-88.1769453524775</c:v>
                </c:pt>
                <c:pt idx="485">
                  <c:v>-88.2012793444895</c:v>
                </c:pt>
                <c:pt idx="486">
                  <c:v>-88.225504150681</c:v>
                </c:pt>
                <c:pt idx="487">
                  <c:v>-88.2496209217541</c:v>
                </c:pt>
                <c:pt idx="488">
                  <c:v>-88.2736307922731</c:v>
                </c:pt>
                <c:pt idx="489">
                  <c:v>-88.2975348809455</c:v>
                </c:pt>
                <c:pt idx="490">
                  <c:v>-88.3213342908977</c:v>
                </c:pt>
                <c:pt idx="491">
                  <c:v>-88.3450301099446</c:v>
                </c:pt>
                <c:pt idx="492">
                  <c:v>-88.368623410854</c:v>
                </c:pt>
                <c:pt idx="493">
                  <c:v>-88.3921152516047</c:v>
                </c:pt>
                <c:pt idx="494">
                  <c:v>-88.4155066756404</c:v>
                </c:pt>
                <c:pt idx="495">
                  <c:v>-88.4387987121175</c:v>
                </c:pt>
                <c:pt idx="496">
                  <c:v>-88.4619923761489</c:v>
                </c:pt>
                <c:pt idx="497">
                  <c:v>-88.4850886690413</c:v>
                </c:pt>
                <c:pt idx="498">
                  <c:v>-88.5080885785294</c:v>
                </c:pt>
                <c:pt idx="499">
                  <c:v>-88.5309930790038</c:v>
                </c:pt>
                <c:pt idx="500">
                  <c:v>-88.5538031317359</c:v>
                </c:pt>
                <c:pt idx="501">
                  <c:v>-88.5765196850968</c:v>
                </c:pt>
                <c:pt idx="502">
                  <c:v>-88.5991436747726</c:v>
                </c:pt>
                <c:pt idx="503">
                  <c:v>-88.6216760239756</c:v>
                </c:pt>
                <c:pt idx="504">
                  <c:v>-88.6441176436509</c:v>
                </c:pt>
                <c:pt idx="505">
                  <c:v>-88.6664694326786</c:v>
                </c:pt>
                <c:pt idx="506">
                  <c:v>-88.688732278073</c:v>
                </c:pt>
                <c:pt idx="507">
                  <c:v>-88.710907055177</c:v>
                </c:pt>
                <c:pt idx="508">
                  <c:v>-88.7329946278532</c:v>
                </c:pt>
                <c:pt idx="509">
                  <c:v>-88.7549958486707</c:v>
                </c:pt>
                <c:pt idx="510">
                  <c:v>-88.776911559089</c:v>
                </c:pt>
                <c:pt idx="511">
                  <c:v>-88.7987425896379</c:v>
                </c:pt>
                <c:pt idx="512">
                  <c:v>-88.8204897600938</c:v>
                </c:pt>
                <c:pt idx="513">
                  <c:v>-88.8421538796529</c:v>
                </c:pt>
                <c:pt idx="514">
                  <c:v>-88.863735747101</c:v>
                </c:pt>
                <c:pt idx="515">
                  <c:v>-88.8852361509798</c:v>
                </c:pt>
                <c:pt idx="516">
                  <c:v>-88.9066558697505</c:v>
                </c:pt>
                <c:pt idx="517">
                  <c:v>-88.9279956719538</c:v>
                </c:pt>
                <c:pt idx="518">
                  <c:v>-88.9492563163671</c:v>
                </c:pt>
                <c:pt idx="519">
                  <c:v>-88.9704385521588</c:v>
                </c:pt>
                <c:pt idx="520">
                  <c:v>-88.9915431190394</c:v>
                </c:pt>
                <c:pt idx="521">
                  <c:v>-89.0125707474101</c:v>
                </c:pt>
                <c:pt idx="522">
                  <c:v>-89.0335221585082</c:v>
                </c:pt>
                <c:pt idx="523">
                  <c:v>-89.0543980645506</c:v>
                </c:pt>
                <c:pt idx="524">
                  <c:v>-89.0751991688732</c:v>
                </c:pt>
                <c:pt idx="525">
                  <c:v>-89.0959261660694</c:v>
                </c:pt>
                <c:pt idx="526">
                  <c:v>-89.1165797421249</c:v>
                </c:pt>
                <c:pt idx="527">
                  <c:v>-89.1371605745499</c:v>
                </c:pt>
                <c:pt idx="528">
                  <c:v>-89.1576693325101</c:v>
                </c:pt>
                <c:pt idx="529">
                  <c:v>-89.1781066769536</c:v>
                </c:pt>
                <c:pt idx="530">
                  <c:v>-89.1984732607371</c:v>
                </c:pt>
                <c:pt idx="531">
                  <c:v>-89.2187697287486</c:v>
                </c:pt>
                <c:pt idx="532">
                  <c:v>-89.2389967180287</c:v>
                </c:pt>
                <c:pt idx="533">
                  <c:v>-89.2591548578887</c:v>
                </c:pt>
                <c:pt idx="534">
                  <c:v>-89.2792447700281</c:v>
                </c:pt>
                <c:pt idx="535">
                  <c:v>-89.2992670686479</c:v>
                </c:pt>
                <c:pt idx="536">
                  <c:v>-89.3192223605643</c:v>
                </c:pt>
                <c:pt idx="537">
                  <c:v>-89.3391112453182</c:v>
                </c:pt>
                <c:pt idx="538">
                  <c:v>-89.358934315284</c:v>
                </c:pt>
                <c:pt idx="539">
                  <c:v>-89.378692155776</c:v>
                </c:pt>
                <c:pt idx="540">
                  <c:v>-89.3983853451532</c:v>
                </c:pt>
                <c:pt idx="541">
                  <c:v>-89.4180144549216</c:v>
                </c:pt>
                <c:pt idx="542">
                  <c:v>-89.4375800498359</c:v>
                </c:pt>
                <c:pt idx="543">
                  <c:v>-89.4570826879979</c:v>
                </c:pt>
                <c:pt idx="544">
                  <c:v>-89.4765229209543</c:v>
                </c:pt>
                <c:pt idx="545">
                  <c:v>-89.4959012937925</c:v>
                </c:pt>
                <c:pt idx="546">
                  <c:v>-89.5152183452346</c:v>
                </c:pt>
                <c:pt idx="547">
                  <c:v>-89.5344746077295</c:v>
                </c:pt>
                <c:pt idx="548">
                  <c:v>-89.5536706075444</c:v>
                </c:pt>
                <c:pt idx="549">
                  <c:v>-89.572806864853</c:v>
                </c:pt>
                <c:pt idx="550">
                  <c:v>-89.5918838938245</c:v>
                </c:pt>
                <c:pt idx="551">
                  <c:v>-89.6109022027085</c:v>
                </c:pt>
                <c:pt idx="552">
                  <c:v>-89.629862293921</c:v>
                </c:pt>
                <c:pt idx="553">
                  <c:v>-89.6487646641261</c:v>
                </c:pt>
                <c:pt idx="554">
                  <c:v>-89.6676098043197</c:v>
                </c:pt>
                <c:pt idx="555">
                  <c:v>-89.6863981999084</c:v>
                </c:pt>
                <c:pt idx="556">
                  <c:v>-89.7051303307893</c:v>
                </c:pt>
                <c:pt idx="557">
                  <c:v>-89.7238066714275</c:v>
                </c:pt>
                <c:pt idx="558">
                  <c:v>-89.7424276909331</c:v>
                </c:pt>
                <c:pt idx="559">
                  <c:v>-89.7609938531355</c:v>
                </c:pt>
                <c:pt idx="560">
                  <c:v>-89.779505616658</c:v>
                </c:pt>
                <c:pt idx="561">
                  <c:v>-89.79796343499</c:v>
                </c:pt>
                <c:pt idx="562">
                  <c:v>-89.8163677565585</c:v>
                </c:pt>
                <c:pt idx="563">
                  <c:v>-89.834719024799</c:v>
                </c:pt>
                <c:pt idx="564">
                  <c:v>-89.8530176782235</c:v>
                </c:pt>
                <c:pt idx="565">
                  <c:v>-89.8712641504891</c:v>
                </c:pt>
                <c:pt idx="566">
                  <c:v>-89.8894588704652</c:v>
                </c:pt>
                <c:pt idx="567">
                  <c:v>-89.9076022622983</c:v>
                </c:pt>
                <c:pt idx="568">
                  <c:v>-89.9256947454772</c:v>
                </c:pt>
                <c:pt idx="569">
                  <c:v>-89.9437367348966</c:v>
                </c:pt>
                <c:pt idx="570">
                  <c:v>-89.9617286409196</c:v>
                </c:pt>
                <c:pt idx="571">
                  <c:v>-89.9796708694391</c:v>
                </c:pt>
                <c:pt idx="572">
                  <c:v>-89.9975638219385</c:v>
                </c:pt>
                <c:pt idx="573">
                  <c:v>-90.0154078955511</c:v>
                </c:pt>
                <c:pt idx="574">
                  <c:v>-90.0332034831188</c:v>
                </c:pt>
                <c:pt idx="575">
                  <c:v>-90.0509509732498</c:v>
                </c:pt>
                <c:pt idx="576">
                  <c:v>-90.0686507503752</c:v>
                </c:pt>
                <c:pt idx="577">
                  <c:v>-90.0863031948049</c:v>
                </c:pt>
                <c:pt idx="578">
                  <c:v>-90.1039086827825</c:v>
                </c:pt>
                <c:pt idx="579">
                  <c:v>-90.1214675865391</c:v>
                </c:pt>
                <c:pt idx="580">
                  <c:v>-90.1389802743472</c:v>
                </c:pt>
                <c:pt idx="581">
                  <c:v>-90.1564471105723</c:v>
                </c:pt>
                <c:pt idx="582">
                  <c:v>-90.1738684557246</c:v>
                </c:pt>
                <c:pt idx="583">
                  <c:v>-90.1912446665099</c:v>
                </c:pt>
                <c:pt idx="584">
                  <c:v>-90.2085760958797</c:v>
                </c:pt>
                <c:pt idx="585">
                  <c:v>-90.2258630930795</c:v>
                </c:pt>
                <c:pt idx="586">
                  <c:v>-90.243106003698</c:v>
                </c:pt>
                <c:pt idx="587">
                  <c:v>-90.2603051697145</c:v>
                </c:pt>
                <c:pt idx="588">
                  <c:v>-90.2774609295455</c:v>
                </c:pt>
                <c:pt idx="589">
                  <c:v>-90.294573618091</c:v>
                </c:pt>
                <c:pt idx="590">
                  <c:v>-90.31164356678</c:v>
                </c:pt>
                <c:pt idx="591">
                  <c:v>-90.328671103615</c:v>
                </c:pt>
                <c:pt idx="592">
                  <c:v>-90.3456565532164</c:v>
                </c:pt>
                <c:pt idx="593">
                  <c:v>-90.3626002368656</c:v>
                </c:pt>
                <c:pt idx="594">
                  <c:v>-90.3795024725471</c:v>
                </c:pt>
                <c:pt idx="595">
                  <c:v>-90.3963635749922</c:v>
                </c:pt>
                <c:pt idx="596">
                  <c:v>-90.4131838557184</c:v>
                </c:pt>
                <c:pt idx="597">
                  <c:v>-90.4299636230717</c:v>
                </c:pt>
                <c:pt idx="598">
                  <c:v>-90.4467031822658</c:v>
                </c:pt>
                <c:pt idx="599">
                  <c:v>-90.4634028354223</c:v>
                </c:pt>
                <c:pt idx="600">
                  <c:v>-90.480062881609</c:v>
                </c:pt>
                <c:pt idx="601">
                  <c:v>-90.4966836168788</c:v>
                </c:pt>
                <c:pt idx="602">
                  <c:v>-90.5132653343074</c:v>
                </c:pt>
                <c:pt idx="603">
                  <c:v>-90.52980832403</c:v>
                </c:pt>
                <c:pt idx="604">
                  <c:v>-90.5463128732787</c:v>
                </c:pt>
                <c:pt idx="605">
                  <c:v>-90.5627792664181</c:v>
                </c:pt>
                <c:pt idx="606">
                  <c:v>-91.3429950264429</c:v>
                </c:pt>
                <c:pt idx="607">
                  <c:v>-92.0555049827806</c:v>
                </c:pt>
                <c:pt idx="608">
                  <c:v>-92.7184164675066</c:v>
                </c:pt>
                <c:pt idx="609">
                  <c:v>-93.3437858300006</c:v>
                </c:pt>
                <c:pt idx="610">
                  <c:v>-93.9399405173419</c:v>
                </c:pt>
                <c:pt idx="611">
                  <c:v>-94.5128085409614</c:v>
                </c:pt>
                <c:pt idx="612">
                  <c:v>-95.0667173377291</c:v>
                </c:pt>
                <c:pt idx="613">
                  <c:v>-95.6048936441433</c:v>
                </c:pt>
                <c:pt idx="614">
                  <c:v>-96.1297872553585</c:v>
                </c:pt>
                <c:pt idx="615">
                  <c:v>-96.6432870403741</c:v>
                </c:pt>
                <c:pt idx="616">
                  <c:v>-97.1468688474513</c:v>
                </c:pt>
                <c:pt idx="617">
                  <c:v>-97.6416991049519</c:v>
                </c:pt>
                <c:pt idx="618">
                  <c:v>-97.8375086537774</c:v>
                </c:pt>
                <c:pt idx="619">
                  <c:v>-98.0321162636064</c:v>
                </c:pt>
                <c:pt idx="620">
                  <c:v>-98.2255688615018</c:v>
                </c:pt>
                <c:pt idx="621">
                  <c:v>-98.4179095882956</c:v>
                </c:pt>
                <c:pt idx="622">
                  <c:v>-98.6091781471247</c:v>
                </c:pt>
                <c:pt idx="623">
                  <c:v>-98.7994111146931</c:v>
                </c:pt>
                <c:pt idx="624">
                  <c:v>-98.9886422198318</c:v>
                </c:pt>
                <c:pt idx="625">
                  <c:v>-99.1769025932987</c:v>
                </c:pt>
                <c:pt idx="626">
                  <c:v>-99.3642209922244</c:v>
                </c:pt>
                <c:pt idx="627">
                  <c:v>-99.5506240021606</c:v>
                </c:pt>
                <c:pt idx="628">
                  <c:v>-99.7361362192936</c:v>
                </c:pt>
                <c:pt idx="629">
                  <c:v>-99.9207804150621</c:v>
                </c:pt>
                <c:pt idx="630">
                  <c:v>-100.10457768513</c:v>
                </c:pt>
                <c:pt idx="631">
                  <c:v>-100.287547584421</c:v>
                </c:pt>
                <c:pt idx="632">
                  <c:v>-100.469708249717</c:v>
                </c:pt>
                <c:pt idx="633">
                  <c:v>-100.651076511132</c:v>
                </c:pt>
                <c:pt idx="634">
                  <c:v>-100.831667993626</c:v>
                </c:pt>
                <c:pt idx="635">
                  <c:v>-101.011497209577</c:v>
                </c:pt>
                <c:pt idx="636">
                  <c:v>-101.190577643324</c:v>
                </c:pt>
                <c:pt idx="637">
                  <c:v>-101.368921828468</c:v>
                </c:pt>
                <c:pt idx="638">
                  <c:v>-101.546541418661</c:v>
                </c:pt>
                <c:pt idx="639">
                  <c:v>-101.723447252501</c:v>
                </c:pt>
                <c:pt idx="640">
                  <c:v>-101.899649413098</c:v>
                </c:pt>
                <c:pt idx="641">
                  <c:v>-102.075157282824</c:v>
                </c:pt>
                <c:pt idx="642">
                  <c:v>-102.249979593673</c:v>
                </c:pt>
                <c:pt idx="643">
                  <c:v>-102.424124473666</c:v>
                </c:pt>
                <c:pt idx="644">
                  <c:v>-102.597599489622</c:v>
                </c:pt>
                <c:pt idx="645">
                  <c:v>-102.770411686654</c:v>
                </c:pt>
                <c:pt idx="646">
                  <c:v>-102.942567624651</c:v>
                </c:pt>
                <c:pt idx="647">
                  <c:v>-103.114073412033</c:v>
                </c:pt>
                <c:pt idx="648">
                  <c:v>-103.284934736984</c:v>
                </c:pt>
                <c:pt idx="649">
                  <c:v>-103.455156896415</c:v>
                </c:pt>
                <c:pt idx="650">
                  <c:v>-103.624744822807</c:v>
                </c:pt>
                <c:pt idx="651">
                  <c:v>-103.793703109142</c:v>
                </c:pt>
                <c:pt idx="652">
                  <c:v>-103.962036032058</c:v>
                </c:pt>
                <c:pt idx="653">
                  <c:v>-104.129747573383</c:v>
                </c:pt>
                <c:pt idx="654">
                  <c:v>-104.29684144017</c:v>
                </c:pt>
                <c:pt idx="655">
                  <c:v>-104.463321083357</c:v>
                </c:pt>
                <c:pt idx="656">
                  <c:v>-104.629189715151</c:v>
                </c:pt>
                <c:pt idx="657">
                  <c:v>-104.794450325251</c:v>
                </c:pt>
                <c:pt idx="658">
                  <c:v>-104.959105695973</c:v>
                </c:pt>
                <c:pt idx="659">
                  <c:v>-105.123158416385</c:v>
                </c:pt>
                <c:pt idx="660">
                  <c:v>-105.28661089551</c:v>
                </c:pt>
                <c:pt idx="661">
                  <c:v>-105.449465374671</c:v>
                </c:pt>
                <c:pt idx="662">
                  <c:v>-105.611723939039</c:v>
                </c:pt>
                <c:pt idx="663">
                  <c:v>-105.773388528443</c:v>
                </c:pt>
                <c:pt idx="664">
                  <c:v>-105.934460947494</c:v>
                </c:pt>
                <c:pt idx="665">
                  <c:v>-106.094942875071</c:v>
                </c:pt>
                <c:pt idx="666">
                  <c:v>-106.254835873211</c:v>
                </c:pt>
                <c:pt idx="667">
                  <c:v>-106.414141395448</c:v>
                </c:pt>
              </c:numCache>
            </c:numRef>
          </c:yVal>
        </c:ser>
        <c:axId val="17985"/>
        <c:axId val="13455"/>
      </c:scatterChart>
      <c:valAx>
        <c:axId val="19693"/>
        <c:scaling>
          <c:orientation val="minMax"/>
          <c:logBase val="10"/>
          <c:max val="10000000"/>
          <c:min val="1000"/>
        </c:scaling>
        <c:delete val="0"/>
        <c:axPos val="b"/>
        <c:title>
          <c:tx>
            <c:rich>
              <a:bodyPr/>
              <a:lstStyle/>
              <a:p>
                <a:pPr>
                  <a:defRPr/>
                </a:pPr>
                <a:r>
                  <a:rPr b="1" sz="800">
                    <a:solidFill>
                      <a:srgbClr val="000000"/>
                    </a:solidFill>
                    <a:latin typeface="Arial"/>
                    <a:ea typeface="Arial"/>
                  </a:rPr>
                  <a:t>Frequency (Hz)</a:t>
                </a:r>
              </a:p>
            </c:rich>
          </c:tx>
          <c:layout/>
        </c:title>
        <c:majorTickMark val="out"/>
        <c:minorTickMark val="in"/>
        <c:tickLblPos val="nextTo"/>
        <c:spPr>
          <a:ln w="3240">
            <a:solidFill>
              <a:srgbClr val="000000"/>
            </a:solidFill>
            <a:round/>
          </a:ln>
        </c:spPr>
        <c:crossAx val="15440"/>
        <c:crossesAt val="-80"/>
      </c:valAx>
      <c:valAx>
        <c:axId val="15440"/>
        <c:scaling>
          <c:orientation val="minMax"/>
          <c:min val="-60"/>
        </c:scaling>
        <c:delete val="0"/>
        <c:axPos val="l"/>
        <c:majorGridlines>
          <c:spPr>
            <a:ln w="3240">
              <a:solidFill>
                <a:srgbClr val="000000"/>
              </a:solidFill>
              <a:round/>
            </a:ln>
          </c:spPr>
        </c:majorGridlines>
        <c:title>
          <c:tx>
            <c:rich>
              <a:bodyPr/>
              <a:lstStyle/>
              <a:p>
                <a:pPr>
                  <a:defRPr/>
                </a:pPr>
                <a:r>
                  <a:rPr b="1" sz="800">
                    <a:solidFill>
                      <a:srgbClr val="000000"/>
                    </a:solidFill>
                    <a:latin typeface="Arial"/>
                    <a:ea typeface="Arial"/>
                  </a:rPr>
                  <a:t>Gain (db)</a:t>
                </a:r>
              </a:p>
            </c:rich>
          </c:tx>
          <c:layout/>
        </c:title>
        <c:majorTickMark val="out"/>
        <c:minorTickMark val="none"/>
        <c:tickLblPos val="nextTo"/>
        <c:spPr>
          <a:ln w="3240">
            <a:solidFill>
              <a:srgbClr val="000000"/>
            </a:solidFill>
            <a:round/>
          </a:ln>
        </c:spPr>
        <c:crossAx val="19693"/>
        <c:crossesAt val="1"/>
      </c:valAx>
      <c:valAx>
        <c:axId val="17985"/>
        <c:scaling>
          <c:orientation val="minMax"/>
          <c:logBase val="10"/>
          <c:max val="10000000"/>
          <c:min val="1000"/>
        </c:scaling>
        <c:delete val="0"/>
        <c:axPos val="b"/>
        <c:title>
          <c:tx>
            <c:rich>
              <a:bodyPr/>
              <a:lstStyle/>
              <a:p>
                <a:pPr>
                  <a:defRPr/>
                </a:pPr>
                <a:r>
                  <a:rPr b="1" sz="800">
                    <a:solidFill>
                      <a:srgbClr val="000000"/>
                    </a:solidFill>
                    <a:latin typeface="Arial"/>
                    <a:ea typeface="Arial"/>
                  </a:rPr>
                  <a:t>Frequency (Hz)</a:t>
                </a:r>
              </a:p>
            </c:rich>
          </c:tx>
          <c:layout/>
        </c:title>
        <c:majorTickMark val="out"/>
        <c:minorTickMark val="in"/>
        <c:tickLblPos val="nextTo"/>
        <c:spPr>
          <a:ln w="3240">
            <a:solidFill>
              <a:srgbClr val="000000"/>
            </a:solidFill>
            <a:round/>
          </a:ln>
        </c:spPr>
        <c:crossAx val="13455"/>
        <c:crossesAt val="-80"/>
      </c:valAx>
      <c:valAx>
        <c:axId val="13455"/>
        <c:scaling>
          <c:orientation val="minMax"/>
        </c:scaling>
        <c:delete val="0"/>
        <c:axPos val="l"/>
        <c:title>
          <c:tx>
            <c:rich>
              <a:bodyPr/>
              <a:lstStyle/>
              <a:p>
                <a:pPr>
                  <a:defRPr/>
                </a:pPr>
                <a:r>
                  <a:rPr b="1" sz="800">
                    <a:solidFill>
                      <a:srgbClr val="000000"/>
                    </a:solidFill>
                    <a:latin typeface="Arial"/>
                    <a:ea typeface="Arial"/>
                  </a:rPr>
                  <a:t>Phase Margin (Deg)</a:t>
                </a:r>
              </a:p>
            </c:rich>
          </c:tx>
          <c:layout/>
        </c:title>
        <c:majorTickMark val="cross"/>
        <c:minorTickMark val="none"/>
        <c:tickLblPos val="nextTo"/>
        <c:spPr>
          <a:ln w="3240">
            <a:solidFill>
              <a:srgbClr val="000000"/>
            </a:solidFill>
            <a:round/>
          </a:ln>
        </c:spPr>
        <c:crossAx val="17985"/>
        <c:crosses val="max"/>
      </c:valAx>
      <c:spPr>
        <a:noFill/>
        <a:ln w="12600">
          <a:solidFill>
            <a:srgbClr val="808080"/>
          </a:solidFill>
          <a:round/>
        </a:ln>
      </c:spPr>
    </c:plotArea>
    <c:legend>
      <c:legendPos val="t"/>
      <c:overlay val="0"/>
      <c:spPr>
        <a:solidFill>
          <a:srgbClr val="ffffff"/>
        </a:solidFill>
        <a:ln w="3240">
          <a:solidFill>
            <a:srgbClr val="000000"/>
          </a:solidFill>
          <a:round/>
        </a:ln>
      </c:spPr>
    </c:legend>
    <c:plotVisOnly val="1"/>
  </c:chart>
  <c:spPr>
    <a:solidFill>
      <a:srgbClr val="ffffff"/>
    </a:solidFill>
    <a:ln w="25560">
      <a:solidFill>
        <a:srgbClr val="000000"/>
      </a:solidFill>
      <a:round/>
    </a:ln>
  </c:spPr>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b="1" sz="850">
                <a:solidFill>
                  <a:srgbClr val="000000"/>
                </a:solidFill>
                <a:latin typeface="Arial"/>
                <a:ea typeface="Arial"/>
              </a:rPr>
              <a:t>FeedBack To Comp</a:t>
            </a:r>
          </a:p>
        </c:rich>
      </c:tx>
      <c:layout/>
    </c:title>
    <c:plotArea>
      <c:layout/>
      <c:scatterChart>
        <c:scatterStyle val="lineMarker"/>
        <c:varyColors val="0"/>
        <c:ser>
          <c:idx val="0"/>
          <c:order val="0"/>
          <c:tx>
            <c:strRef>
              <c:f>"Actual gain"</c:f>
              <c:strCache>
                <c:ptCount val="1"/>
                <c:pt idx="0">
                  <c:v>Actual gain</c:v>
                </c:pt>
              </c:strCache>
            </c:strRef>
          </c:tx>
          <c:spPr>
            <a:solidFill>
              <a:srgbClr val="ff0000"/>
            </a:solidFill>
            <a:ln w="38160">
              <a:solidFill>
                <a:srgbClr val="ff0000"/>
              </a:solidFill>
              <a:round/>
            </a:ln>
          </c:spPr>
          <c:marker>
            <c:symbol val="none"/>
          </c:marker>
          <c:xVal>
            <c:numRef>
              <c:f>'Bode Plots Calculations'!$A$9:$A$676</c:f>
              <c:numCache>
                <c:formatCode>General</c:formatCode>
                <c:ptCount val="668"/>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1500</c:v>
                </c:pt>
                <c:pt idx="29">
                  <c:v>2000</c:v>
                </c:pt>
                <c:pt idx="30">
                  <c:v>2500</c:v>
                </c:pt>
                <c:pt idx="31">
                  <c:v>3000</c:v>
                </c:pt>
                <c:pt idx="32">
                  <c:v>3500</c:v>
                </c:pt>
                <c:pt idx="33">
                  <c:v>4000</c:v>
                </c:pt>
                <c:pt idx="34">
                  <c:v>4500</c:v>
                </c:pt>
                <c:pt idx="35">
                  <c:v>5000</c:v>
                </c:pt>
                <c:pt idx="36">
                  <c:v>5500</c:v>
                </c:pt>
                <c:pt idx="37">
                  <c:v>6000</c:v>
                </c:pt>
                <c:pt idx="38">
                  <c:v>6500</c:v>
                </c:pt>
                <c:pt idx="39">
                  <c:v>7000</c:v>
                </c:pt>
                <c:pt idx="40">
                  <c:v>7500</c:v>
                </c:pt>
                <c:pt idx="41">
                  <c:v>8000</c:v>
                </c:pt>
                <c:pt idx="42">
                  <c:v>8500</c:v>
                </c:pt>
                <c:pt idx="43">
                  <c:v>9000</c:v>
                </c:pt>
                <c:pt idx="44">
                  <c:v>9500</c:v>
                </c:pt>
                <c:pt idx="45">
                  <c:v>10000</c:v>
                </c:pt>
                <c:pt idx="46">
                  <c:v>10500</c:v>
                </c:pt>
                <c:pt idx="47">
                  <c:v>11000</c:v>
                </c:pt>
                <c:pt idx="48">
                  <c:v>11500</c:v>
                </c:pt>
                <c:pt idx="49">
                  <c:v>12000</c:v>
                </c:pt>
                <c:pt idx="50">
                  <c:v>12500</c:v>
                </c:pt>
                <c:pt idx="51">
                  <c:v>13000</c:v>
                </c:pt>
                <c:pt idx="52">
                  <c:v>13500</c:v>
                </c:pt>
                <c:pt idx="53">
                  <c:v>14000</c:v>
                </c:pt>
                <c:pt idx="54">
                  <c:v>14500</c:v>
                </c:pt>
                <c:pt idx="55">
                  <c:v>15000</c:v>
                </c:pt>
                <c:pt idx="56">
                  <c:v>15500</c:v>
                </c:pt>
                <c:pt idx="57">
                  <c:v>16000</c:v>
                </c:pt>
                <c:pt idx="58">
                  <c:v>16500</c:v>
                </c:pt>
                <c:pt idx="59">
                  <c:v>17000</c:v>
                </c:pt>
                <c:pt idx="60">
                  <c:v>17500</c:v>
                </c:pt>
                <c:pt idx="61">
                  <c:v>18000</c:v>
                </c:pt>
                <c:pt idx="62">
                  <c:v>18500</c:v>
                </c:pt>
                <c:pt idx="63">
                  <c:v>19000</c:v>
                </c:pt>
                <c:pt idx="64">
                  <c:v>19500</c:v>
                </c:pt>
                <c:pt idx="65">
                  <c:v>20000</c:v>
                </c:pt>
                <c:pt idx="66">
                  <c:v>20500</c:v>
                </c:pt>
                <c:pt idx="67">
                  <c:v>21000</c:v>
                </c:pt>
                <c:pt idx="68">
                  <c:v>21500</c:v>
                </c:pt>
                <c:pt idx="69">
                  <c:v>22000</c:v>
                </c:pt>
                <c:pt idx="70">
                  <c:v>22500</c:v>
                </c:pt>
                <c:pt idx="71">
                  <c:v>23000</c:v>
                </c:pt>
                <c:pt idx="72">
                  <c:v>23500</c:v>
                </c:pt>
                <c:pt idx="73">
                  <c:v>24000</c:v>
                </c:pt>
                <c:pt idx="74">
                  <c:v>24500</c:v>
                </c:pt>
                <c:pt idx="75">
                  <c:v>25000</c:v>
                </c:pt>
                <c:pt idx="76">
                  <c:v>25500</c:v>
                </c:pt>
                <c:pt idx="77">
                  <c:v>26000</c:v>
                </c:pt>
                <c:pt idx="78">
                  <c:v>26500</c:v>
                </c:pt>
                <c:pt idx="79">
                  <c:v>27000</c:v>
                </c:pt>
                <c:pt idx="80">
                  <c:v>27500</c:v>
                </c:pt>
                <c:pt idx="81">
                  <c:v>28000</c:v>
                </c:pt>
                <c:pt idx="82">
                  <c:v>28500</c:v>
                </c:pt>
                <c:pt idx="83">
                  <c:v>29000</c:v>
                </c:pt>
                <c:pt idx="84">
                  <c:v>29500</c:v>
                </c:pt>
                <c:pt idx="85">
                  <c:v>30000</c:v>
                </c:pt>
                <c:pt idx="86">
                  <c:v>30500</c:v>
                </c:pt>
                <c:pt idx="87">
                  <c:v>31000</c:v>
                </c:pt>
                <c:pt idx="88">
                  <c:v>31500</c:v>
                </c:pt>
                <c:pt idx="89">
                  <c:v>32000</c:v>
                </c:pt>
                <c:pt idx="90">
                  <c:v>32500</c:v>
                </c:pt>
                <c:pt idx="91">
                  <c:v>33000</c:v>
                </c:pt>
                <c:pt idx="92">
                  <c:v>33500</c:v>
                </c:pt>
                <c:pt idx="93">
                  <c:v>34000</c:v>
                </c:pt>
                <c:pt idx="94">
                  <c:v>34500</c:v>
                </c:pt>
                <c:pt idx="95">
                  <c:v>35000</c:v>
                </c:pt>
                <c:pt idx="96">
                  <c:v>35500</c:v>
                </c:pt>
                <c:pt idx="97">
                  <c:v>36000</c:v>
                </c:pt>
                <c:pt idx="98">
                  <c:v>36500</c:v>
                </c:pt>
                <c:pt idx="99">
                  <c:v>37000</c:v>
                </c:pt>
                <c:pt idx="100">
                  <c:v>37500</c:v>
                </c:pt>
                <c:pt idx="101">
                  <c:v>38000</c:v>
                </c:pt>
                <c:pt idx="102">
                  <c:v>38500</c:v>
                </c:pt>
                <c:pt idx="103">
                  <c:v>39000</c:v>
                </c:pt>
                <c:pt idx="104">
                  <c:v>39500</c:v>
                </c:pt>
                <c:pt idx="105">
                  <c:v>40000</c:v>
                </c:pt>
                <c:pt idx="106">
                  <c:v>40500</c:v>
                </c:pt>
                <c:pt idx="107">
                  <c:v>41000</c:v>
                </c:pt>
                <c:pt idx="108">
                  <c:v>41500</c:v>
                </c:pt>
                <c:pt idx="109">
                  <c:v>42000</c:v>
                </c:pt>
                <c:pt idx="110">
                  <c:v>42500</c:v>
                </c:pt>
                <c:pt idx="111">
                  <c:v>43000</c:v>
                </c:pt>
                <c:pt idx="112">
                  <c:v>43500</c:v>
                </c:pt>
                <c:pt idx="113">
                  <c:v>44000</c:v>
                </c:pt>
                <c:pt idx="114">
                  <c:v>44500</c:v>
                </c:pt>
                <c:pt idx="115">
                  <c:v>45000</c:v>
                </c:pt>
                <c:pt idx="116">
                  <c:v>45500</c:v>
                </c:pt>
                <c:pt idx="117">
                  <c:v>46000</c:v>
                </c:pt>
                <c:pt idx="118">
                  <c:v>46500</c:v>
                </c:pt>
                <c:pt idx="119">
                  <c:v>47000</c:v>
                </c:pt>
                <c:pt idx="120">
                  <c:v>47500</c:v>
                </c:pt>
                <c:pt idx="121">
                  <c:v>48000</c:v>
                </c:pt>
                <c:pt idx="122">
                  <c:v>48500</c:v>
                </c:pt>
                <c:pt idx="123">
                  <c:v>49000</c:v>
                </c:pt>
                <c:pt idx="124">
                  <c:v>49500</c:v>
                </c:pt>
                <c:pt idx="125">
                  <c:v>50000</c:v>
                </c:pt>
                <c:pt idx="126">
                  <c:v>50500</c:v>
                </c:pt>
                <c:pt idx="127">
                  <c:v>51000</c:v>
                </c:pt>
                <c:pt idx="128">
                  <c:v>51500</c:v>
                </c:pt>
                <c:pt idx="129">
                  <c:v>52000</c:v>
                </c:pt>
                <c:pt idx="130">
                  <c:v>52500</c:v>
                </c:pt>
                <c:pt idx="131">
                  <c:v>53000</c:v>
                </c:pt>
                <c:pt idx="132">
                  <c:v>53500</c:v>
                </c:pt>
                <c:pt idx="133">
                  <c:v>54000</c:v>
                </c:pt>
                <c:pt idx="134">
                  <c:v>54500</c:v>
                </c:pt>
                <c:pt idx="135">
                  <c:v>55000</c:v>
                </c:pt>
                <c:pt idx="136">
                  <c:v>55500</c:v>
                </c:pt>
                <c:pt idx="137">
                  <c:v>56000</c:v>
                </c:pt>
                <c:pt idx="138">
                  <c:v>56500</c:v>
                </c:pt>
                <c:pt idx="139">
                  <c:v>57000</c:v>
                </c:pt>
                <c:pt idx="140">
                  <c:v>57500</c:v>
                </c:pt>
                <c:pt idx="141">
                  <c:v>58000</c:v>
                </c:pt>
                <c:pt idx="142">
                  <c:v>58500</c:v>
                </c:pt>
                <c:pt idx="143">
                  <c:v>59000</c:v>
                </c:pt>
                <c:pt idx="144">
                  <c:v>59500</c:v>
                </c:pt>
                <c:pt idx="145">
                  <c:v>60000</c:v>
                </c:pt>
                <c:pt idx="146">
                  <c:v>60500</c:v>
                </c:pt>
                <c:pt idx="147">
                  <c:v>61000</c:v>
                </c:pt>
                <c:pt idx="148">
                  <c:v>61500</c:v>
                </c:pt>
                <c:pt idx="149">
                  <c:v>62000</c:v>
                </c:pt>
                <c:pt idx="150">
                  <c:v>62500</c:v>
                </c:pt>
                <c:pt idx="151">
                  <c:v>63000</c:v>
                </c:pt>
                <c:pt idx="152">
                  <c:v>63500</c:v>
                </c:pt>
                <c:pt idx="153">
                  <c:v>64000</c:v>
                </c:pt>
                <c:pt idx="154">
                  <c:v>64500</c:v>
                </c:pt>
                <c:pt idx="155">
                  <c:v>65000</c:v>
                </c:pt>
                <c:pt idx="156">
                  <c:v>65500</c:v>
                </c:pt>
                <c:pt idx="157">
                  <c:v>66000</c:v>
                </c:pt>
                <c:pt idx="158">
                  <c:v>66500</c:v>
                </c:pt>
                <c:pt idx="159">
                  <c:v>67000</c:v>
                </c:pt>
                <c:pt idx="160">
                  <c:v>67500</c:v>
                </c:pt>
                <c:pt idx="161">
                  <c:v>68000</c:v>
                </c:pt>
                <c:pt idx="162">
                  <c:v>68500</c:v>
                </c:pt>
                <c:pt idx="163">
                  <c:v>69000</c:v>
                </c:pt>
                <c:pt idx="164">
                  <c:v>69500</c:v>
                </c:pt>
                <c:pt idx="165">
                  <c:v>70000</c:v>
                </c:pt>
                <c:pt idx="166">
                  <c:v>70500</c:v>
                </c:pt>
                <c:pt idx="167">
                  <c:v>71000</c:v>
                </c:pt>
                <c:pt idx="168">
                  <c:v>71500</c:v>
                </c:pt>
                <c:pt idx="169">
                  <c:v>72000</c:v>
                </c:pt>
                <c:pt idx="170">
                  <c:v>72500</c:v>
                </c:pt>
                <c:pt idx="171">
                  <c:v>73000</c:v>
                </c:pt>
                <c:pt idx="172">
                  <c:v>73500</c:v>
                </c:pt>
                <c:pt idx="173">
                  <c:v>74000</c:v>
                </c:pt>
                <c:pt idx="174">
                  <c:v>74500</c:v>
                </c:pt>
                <c:pt idx="175">
                  <c:v>75000</c:v>
                </c:pt>
                <c:pt idx="176">
                  <c:v>75500</c:v>
                </c:pt>
                <c:pt idx="177">
                  <c:v>76000</c:v>
                </c:pt>
                <c:pt idx="178">
                  <c:v>76500</c:v>
                </c:pt>
                <c:pt idx="179">
                  <c:v>77000</c:v>
                </c:pt>
                <c:pt idx="180">
                  <c:v>77500</c:v>
                </c:pt>
                <c:pt idx="181">
                  <c:v>78000</c:v>
                </c:pt>
                <c:pt idx="182">
                  <c:v>78500</c:v>
                </c:pt>
                <c:pt idx="183">
                  <c:v>79000</c:v>
                </c:pt>
                <c:pt idx="184">
                  <c:v>79500</c:v>
                </c:pt>
                <c:pt idx="185">
                  <c:v>80000</c:v>
                </c:pt>
                <c:pt idx="186">
                  <c:v>80500</c:v>
                </c:pt>
                <c:pt idx="187">
                  <c:v>81000</c:v>
                </c:pt>
                <c:pt idx="188">
                  <c:v>81500</c:v>
                </c:pt>
                <c:pt idx="189">
                  <c:v>82000</c:v>
                </c:pt>
                <c:pt idx="190">
                  <c:v>82500</c:v>
                </c:pt>
                <c:pt idx="191">
                  <c:v>83000</c:v>
                </c:pt>
                <c:pt idx="192">
                  <c:v>83500</c:v>
                </c:pt>
                <c:pt idx="193">
                  <c:v>84000</c:v>
                </c:pt>
                <c:pt idx="194">
                  <c:v>84500</c:v>
                </c:pt>
                <c:pt idx="195">
                  <c:v>85000</c:v>
                </c:pt>
                <c:pt idx="196">
                  <c:v>85500</c:v>
                </c:pt>
                <c:pt idx="197">
                  <c:v>86000</c:v>
                </c:pt>
                <c:pt idx="198">
                  <c:v>86500</c:v>
                </c:pt>
                <c:pt idx="199">
                  <c:v>87000</c:v>
                </c:pt>
                <c:pt idx="200">
                  <c:v>87500</c:v>
                </c:pt>
                <c:pt idx="201">
                  <c:v>88000</c:v>
                </c:pt>
                <c:pt idx="202">
                  <c:v>88500</c:v>
                </c:pt>
                <c:pt idx="203">
                  <c:v>89000</c:v>
                </c:pt>
                <c:pt idx="204">
                  <c:v>89500</c:v>
                </c:pt>
                <c:pt idx="205">
                  <c:v>90000</c:v>
                </c:pt>
                <c:pt idx="206">
                  <c:v>90500</c:v>
                </c:pt>
                <c:pt idx="207">
                  <c:v>91000</c:v>
                </c:pt>
                <c:pt idx="208">
                  <c:v>91500</c:v>
                </c:pt>
                <c:pt idx="209">
                  <c:v>92000</c:v>
                </c:pt>
                <c:pt idx="210">
                  <c:v>92500</c:v>
                </c:pt>
                <c:pt idx="211">
                  <c:v>93000</c:v>
                </c:pt>
                <c:pt idx="212">
                  <c:v>93500</c:v>
                </c:pt>
                <c:pt idx="213">
                  <c:v>94000</c:v>
                </c:pt>
                <c:pt idx="214">
                  <c:v>94500</c:v>
                </c:pt>
                <c:pt idx="215">
                  <c:v>95000</c:v>
                </c:pt>
                <c:pt idx="216">
                  <c:v>95500</c:v>
                </c:pt>
                <c:pt idx="217">
                  <c:v>96000</c:v>
                </c:pt>
                <c:pt idx="218">
                  <c:v>96500</c:v>
                </c:pt>
                <c:pt idx="219">
                  <c:v>97000</c:v>
                </c:pt>
                <c:pt idx="220">
                  <c:v>97500</c:v>
                </c:pt>
                <c:pt idx="221">
                  <c:v>98000</c:v>
                </c:pt>
                <c:pt idx="222">
                  <c:v>98500</c:v>
                </c:pt>
                <c:pt idx="223">
                  <c:v>99000</c:v>
                </c:pt>
                <c:pt idx="224">
                  <c:v>99500</c:v>
                </c:pt>
                <c:pt idx="225">
                  <c:v>100000</c:v>
                </c:pt>
                <c:pt idx="226">
                  <c:v>105000</c:v>
                </c:pt>
                <c:pt idx="227">
                  <c:v>110000</c:v>
                </c:pt>
                <c:pt idx="228">
                  <c:v>115000</c:v>
                </c:pt>
                <c:pt idx="229">
                  <c:v>120000</c:v>
                </c:pt>
                <c:pt idx="230">
                  <c:v>125000</c:v>
                </c:pt>
                <c:pt idx="231">
                  <c:v>130000</c:v>
                </c:pt>
                <c:pt idx="232">
                  <c:v>135000</c:v>
                </c:pt>
                <c:pt idx="233">
                  <c:v>140000</c:v>
                </c:pt>
                <c:pt idx="234">
                  <c:v>145000</c:v>
                </c:pt>
                <c:pt idx="235">
                  <c:v>150000</c:v>
                </c:pt>
                <c:pt idx="236">
                  <c:v>155000</c:v>
                </c:pt>
                <c:pt idx="237">
                  <c:v>160000</c:v>
                </c:pt>
                <c:pt idx="238">
                  <c:v>165000</c:v>
                </c:pt>
                <c:pt idx="239">
                  <c:v>170000</c:v>
                </c:pt>
                <c:pt idx="240">
                  <c:v>175000</c:v>
                </c:pt>
                <c:pt idx="241">
                  <c:v>180000</c:v>
                </c:pt>
                <c:pt idx="242">
                  <c:v>185000</c:v>
                </c:pt>
                <c:pt idx="243">
                  <c:v>190000</c:v>
                </c:pt>
                <c:pt idx="244">
                  <c:v>195000</c:v>
                </c:pt>
                <c:pt idx="245">
                  <c:v>200000</c:v>
                </c:pt>
                <c:pt idx="246">
                  <c:v>205000</c:v>
                </c:pt>
                <c:pt idx="247">
                  <c:v>210000</c:v>
                </c:pt>
                <c:pt idx="248">
                  <c:v>215000</c:v>
                </c:pt>
                <c:pt idx="249">
                  <c:v>220000</c:v>
                </c:pt>
                <c:pt idx="250">
                  <c:v>225000</c:v>
                </c:pt>
                <c:pt idx="251">
                  <c:v>230000</c:v>
                </c:pt>
                <c:pt idx="252">
                  <c:v>235000</c:v>
                </c:pt>
                <c:pt idx="253">
                  <c:v>240000</c:v>
                </c:pt>
                <c:pt idx="254">
                  <c:v>245000</c:v>
                </c:pt>
                <c:pt idx="255">
                  <c:v>250000</c:v>
                </c:pt>
                <c:pt idx="256">
                  <c:v>255000</c:v>
                </c:pt>
                <c:pt idx="257">
                  <c:v>260000</c:v>
                </c:pt>
                <c:pt idx="258">
                  <c:v>265000</c:v>
                </c:pt>
                <c:pt idx="259">
                  <c:v>270000</c:v>
                </c:pt>
                <c:pt idx="260">
                  <c:v>275000</c:v>
                </c:pt>
                <c:pt idx="261">
                  <c:v>280000</c:v>
                </c:pt>
                <c:pt idx="262">
                  <c:v>285000</c:v>
                </c:pt>
                <c:pt idx="263">
                  <c:v>290000</c:v>
                </c:pt>
                <c:pt idx="264">
                  <c:v>295000</c:v>
                </c:pt>
                <c:pt idx="265">
                  <c:v>300000</c:v>
                </c:pt>
                <c:pt idx="266">
                  <c:v>305000</c:v>
                </c:pt>
                <c:pt idx="267">
                  <c:v>310000</c:v>
                </c:pt>
                <c:pt idx="268">
                  <c:v>315000</c:v>
                </c:pt>
                <c:pt idx="269">
                  <c:v>320000</c:v>
                </c:pt>
                <c:pt idx="270">
                  <c:v>325000</c:v>
                </c:pt>
                <c:pt idx="271">
                  <c:v>330000</c:v>
                </c:pt>
                <c:pt idx="272">
                  <c:v>335000</c:v>
                </c:pt>
                <c:pt idx="273">
                  <c:v>340000</c:v>
                </c:pt>
                <c:pt idx="274">
                  <c:v>345000</c:v>
                </c:pt>
                <c:pt idx="275">
                  <c:v>350000</c:v>
                </c:pt>
                <c:pt idx="276">
                  <c:v>355000</c:v>
                </c:pt>
                <c:pt idx="277">
                  <c:v>360000</c:v>
                </c:pt>
                <c:pt idx="278">
                  <c:v>365000</c:v>
                </c:pt>
                <c:pt idx="279">
                  <c:v>370000</c:v>
                </c:pt>
                <c:pt idx="280">
                  <c:v>375000</c:v>
                </c:pt>
                <c:pt idx="281">
                  <c:v>380000</c:v>
                </c:pt>
                <c:pt idx="282">
                  <c:v>385000</c:v>
                </c:pt>
                <c:pt idx="283">
                  <c:v>390000</c:v>
                </c:pt>
                <c:pt idx="284">
                  <c:v>395000</c:v>
                </c:pt>
                <c:pt idx="285">
                  <c:v>400000</c:v>
                </c:pt>
                <c:pt idx="286">
                  <c:v>405000</c:v>
                </c:pt>
                <c:pt idx="287">
                  <c:v>410000</c:v>
                </c:pt>
                <c:pt idx="288">
                  <c:v>415000</c:v>
                </c:pt>
                <c:pt idx="289">
                  <c:v>420000</c:v>
                </c:pt>
                <c:pt idx="290">
                  <c:v>425000</c:v>
                </c:pt>
                <c:pt idx="291">
                  <c:v>430000</c:v>
                </c:pt>
                <c:pt idx="292">
                  <c:v>435000</c:v>
                </c:pt>
                <c:pt idx="293">
                  <c:v>440000</c:v>
                </c:pt>
                <c:pt idx="294">
                  <c:v>445000</c:v>
                </c:pt>
                <c:pt idx="295">
                  <c:v>450000</c:v>
                </c:pt>
                <c:pt idx="296">
                  <c:v>455000</c:v>
                </c:pt>
                <c:pt idx="297">
                  <c:v>460000</c:v>
                </c:pt>
                <c:pt idx="298">
                  <c:v>465000</c:v>
                </c:pt>
                <c:pt idx="299">
                  <c:v>470000</c:v>
                </c:pt>
                <c:pt idx="300">
                  <c:v>475000</c:v>
                </c:pt>
                <c:pt idx="301">
                  <c:v>480000</c:v>
                </c:pt>
                <c:pt idx="302">
                  <c:v>485000</c:v>
                </c:pt>
                <c:pt idx="303">
                  <c:v>490000</c:v>
                </c:pt>
                <c:pt idx="304">
                  <c:v>495000</c:v>
                </c:pt>
                <c:pt idx="305">
                  <c:v>500000</c:v>
                </c:pt>
                <c:pt idx="306">
                  <c:v>505000</c:v>
                </c:pt>
                <c:pt idx="307">
                  <c:v>510000</c:v>
                </c:pt>
                <c:pt idx="308">
                  <c:v>515000</c:v>
                </c:pt>
                <c:pt idx="309">
                  <c:v>520000</c:v>
                </c:pt>
                <c:pt idx="310">
                  <c:v>525000</c:v>
                </c:pt>
                <c:pt idx="311">
                  <c:v>530000</c:v>
                </c:pt>
                <c:pt idx="312">
                  <c:v>535000</c:v>
                </c:pt>
                <c:pt idx="313">
                  <c:v>540000</c:v>
                </c:pt>
                <c:pt idx="314">
                  <c:v>545000</c:v>
                </c:pt>
                <c:pt idx="315">
                  <c:v>550000</c:v>
                </c:pt>
                <c:pt idx="316">
                  <c:v>555000</c:v>
                </c:pt>
                <c:pt idx="317">
                  <c:v>560000</c:v>
                </c:pt>
                <c:pt idx="318">
                  <c:v>565000</c:v>
                </c:pt>
                <c:pt idx="319">
                  <c:v>570000</c:v>
                </c:pt>
                <c:pt idx="320">
                  <c:v>575000</c:v>
                </c:pt>
                <c:pt idx="321">
                  <c:v>580000</c:v>
                </c:pt>
                <c:pt idx="322">
                  <c:v>585000</c:v>
                </c:pt>
                <c:pt idx="323">
                  <c:v>590000</c:v>
                </c:pt>
                <c:pt idx="324">
                  <c:v>595000</c:v>
                </c:pt>
                <c:pt idx="325">
                  <c:v>600000</c:v>
                </c:pt>
                <c:pt idx="326">
                  <c:v>605000</c:v>
                </c:pt>
                <c:pt idx="327">
                  <c:v>610000</c:v>
                </c:pt>
                <c:pt idx="328">
                  <c:v>615000</c:v>
                </c:pt>
                <c:pt idx="329">
                  <c:v>620000</c:v>
                </c:pt>
                <c:pt idx="330">
                  <c:v>625000</c:v>
                </c:pt>
                <c:pt idx="331">
                  <c:v>630000</c:v>
                </c:pt>
                <c:pt idx="332">
                  <c:v>635000</c:v>
                </c:pt>
                <c:pt idx="333">
                  <c:v>640000</c:v>
                </c:pt>
                <c:pt idx="334">
                  <c:v>645000</c:v>
                </c:pt>
                <c:pt idx="335">
                  <c:v>650000</c:v>
                </c:pt>
                <c:pt idx="336">
                  <c:v>655000</c:v>
                </c:pt>
                <c:pt idx="337">
                  <c:v>660000</c:v>
                </c:pt>
                <c:pt idx="338">
                  <c:v>665000</c:v>
                </c:pt>
                <c:pt idx="339">
                  <c:v>670000</c:v>
                </c:pt>
                <c:pt idx="340">
                  <c:v>675000</c:v>
                </c:pt>
                <c:pt idx="341">
                  <c:v>680000</c:v>
                </c:pt>
                <c:pt idx="342">
                  <c:v>685000</c:v>
                </c:pt>
                <c:pt idx="343">
                  <c:v>690000</c:v>
                </c:pt>
                <c:pt idx="344">
                  <c:v>695000</c:v>
                </c:pt>
                <c:pt idx="345">
                  <c:v>700000</c:v>
                </c:pt>
                <c:pt idx="346">
                  <c:v>705000</c:v>
                </c:pt>
                <c:pt idx="347">
                  <c:v>710000</c:v>
                </c:pt>
                <c:pt idx="348">
                  <c:v>715000</c:v>
                </c:pt>
                <c:pt idx="349">
                  <c:v>720000</c:v>
                </c:pt>
                <c:pt idx="350">
                  <c:v>725000</c:v>
                </c:pt>
                <c:pt idx="351">
                  <c:v>730000</c:v>
                </c:pt>
                <c:pt idx="352">
                  <c:v>735000</c:v>
                </c:pt>
                <c:pt idx="353">
                  <c:v>740000</c:v>
                </c:pt>
                <c:pt idx="354">
                  <c:v>745000</c:v>
                </c:pt>
                <c:pt idx="355">
                  <c:v>750000</c:v>
                </c:pt>
                <c:pt idx="356">
                  <c:v>755000</c:v>
                </c:pt>
                <c:pt idx="357">
                  <c:v>760000</c:v>
                </c:pt>
                <c:pt idx="358">
                  <c:v>765000</c:v>
                </c:pt>
                <c:pt idx="359">
                  <c:v>770000</c:v>
                </c:pt>
                <c:pt idx="360">
                  <c:v>775000</c:v>
                </c:pt>
                <c:pt idx="361">
                  <c:v>780000</c:v>
                </c:pt>
                <c:pt idx="362">
                  <c:v>785000</c:v>
                </c:pt>
                <c:pt idx="363">
                  <c:v>790000</c:v>
                </c:pt>
                <c:pt idx="364">
                  <c:v>795000</c:v>
                </c:pt>
                <c:pt idx="365">
                  <c:v>800000</c:v>
                </c:pt>
                <c:pt idx="366">
                  <c:v>805000</c:v>
                </c:pt>
                <c:pt idx="367">
                  <c:v>810000</c:v>
                </c:pt>
                <c:pt idx="368">
                  <c:v>815000</c:v>
                </c:pt>
                <c:pt idx="369">
                  <c:v>820000</c:v>
                </c:pt>
                <c:pt idx="370">
                  <c:v>825000</c:v>
                </c:pt>
                <c:pt idx="371">
                  <c:v>830000</c:v>
                </c:pt>
                <c:pt idx="372">
                  <c:v>835000</c:v>
                </c:pt>
                <c:pt idx="373">
                  <c:v>840000</c:v>
                </c:pt>
                <c:pt idx="374">
                  <c:v>845000</c:v>
                </c:pt>
                <c:pt idx="375">
                  <c:v>850000</c:v>
                </c:pt>
                <c:pt idx="376">
                  <c:v>855000</c:v>
                </c:pt>
                <c:pt idx="377">
                  <c:v>860000</c:v>
                </c:pt>
                <c:pt idx="378">
                  <c:v>865000</c:v>
                </c:pt>
                <c:pt idx="379">
                  <c:v>870000</c:v>
                </c:pt>
                <c:pt idx="380">
                  <c:v>875000</c:v>
                </c:pt>
                <c:pt idx="381">
                  <c:v>880000</c:v>
                </c:pt>
                <c:pt idx="382">
                  <c:v>885000</c:v>
                </c:pt>
                <c:pt idx="383">
                  <c:v>890000</c:v>
                </c:pt>
                <c:pt idx="384">
                  <c:v>895000</c:v>
                </c:pt>
                <c:pt idx="385">
                  <c:v>900000</c:v>
                </c:pt>
                <c:pt idx="386">
                  <c:v>905000</c:v>
                </c:pt>
                <c:pt idx="387">
                  <c:v>910000</c:v>
                </c:pt>
                <c:pt idx="388">
                  <c:v>915000</c:v>
                </c:pt>
                <c:pt idx="389">
                  <c:v>920000</c:v>
                </c:pt>
                <c:pt idx="390">
                  <c:v>925000</c:v>
                </c:pt>
                <c:pt idx="391">
                  <c:v>930000</c:v>
                </c:pt>
                <c:pt idx="392">
                  <c:v>935000</c:v>
                </c:pt>
                <c:pt idx="393">
                  <c:v>940000</c:v>
                </c:pt>
                <c:pt idx="394">
                  <c:v>945000</c:v>
                </c:pt>
                <c:pt idx="395">
                  <c:v>950000</c:v>
                </c:pt>
                <c:pt idx="396">
                  <c:v>955000</c:v>
                </c:pt>
                <c:pt idx="397">
                  <c:v>960000</c:v>
                </c:pt>
                <c:pt idx="398">
                  <c:v>965000</c:v>
                </c:pt>
                <c:pt idx="399">
                  <c:v>970000</c:v>
                </c:pt>
                <c:pt idx="400">
                  <c:v>975000</c:v>
                </c:pt>
                <c:pt idx="401">
                  <c:v>980000</c:v>
                </c:pt>
                <c:pt idx="402">
                  <c:v>985000</c:v>
                </c:pt>
                <c:pt idx="403">
                  <c:v>990000</c:v>
                </c:pt>
                <c:pt idx="404">
                  <c:v>995000</c:v>
                </c:pt>
                <c:pt idx="405">
                  <c:v>1000000</c:v>
                </c:pt>
                <c:pt idx="406">
                  <c:v>1005000</c:v>
                </c:pt>
                <c:pt idx="407">
                  <c:v>1010000</c:v>
                </c:pt>
                <c:pt idx="408">
                  <c:v>1015000</c:v>
                </c:pt>
                <c:pt idx="409">
                  <c:v>1020000</c:v>
                </c:pt>
                <c:pt idx="410">
                  <c:v>1025000</c:v>
                </c:pt>
                <c:pt idx="411">
                  <c:v>1030000</c:v>
                </c:pt>
                <c:pt idx="412">
                  <c:v>1035000</c:v>
                </c:pt>
                <c:pt idx="413">
                  <c:v>1040000</c:v>
                </c:pt>
                <c:pt idx="414">
                  <c:v>1045000</c:v>
                </c:pt>
                <c:pt idx="415">
                  <c:v>1050000</c:v>
                </c:pt>
                <c:pt idx="416">
                  <c:v>1055000</c:v>
                </c:pt>
                <c:pt idx="417">
                  <c:v>1060000</c:v>
                </c:pt>
                <c:pt idx="418">
                  <c:v>1065000</c:v>
                </c:pt>
                <c:pt idx="419">
                  <c:v>1070000</c:v>
                </c:pt>
                <c:pt idx="420">
                  <c:v>1075000</c:v>
                </c:pt>
                <c:pt idx="421">
                  <c:v>1080000</c:v>
                </c:pt>
                <c:pt idx="422">
                  <c:v>1085000</c:v>
                </c:pt>
                <c:pt idx="423">
                  <c:v>1090000</c:v>
                </c:pt>
                <c:pt idx="424">
                  <c:v>1095000</c:v>
                </c:pt>
                <c:pt idx="425">
                  <c:v>1100000</c:v>
                </c:pt>
                <c:pt idx="426">
                  <c:v>1105000</c:v>
                </c:pt>
                <c:pt idx="427">
                  <c:v>1110000</c:v>
                </c:pt>
                <c:pt idx="428">
                  <c:v>1115000</c:v>
                </c:pt>
                <c:pt idx="429">
                  <c:v>1120000</c:v>
                </c:pt>
                <c:pt idx="430">
                  <c:v>1125000</c:v>
                </c:pt>
                <c:pt idx="431">
                  <c:v>1130000</c:v>
                </c:pt>
                <c:pt idx="432">
                  <c:v>1135000</c:v>
                </c:pt>
                <c:pt idx="433">
                  <c:v>1140000</c:v>
                </c:pt>
                <c:pt idx="434">
                  <c:v>1145000</c:v>
                </c:pt>
                <c:pt idx="435">
                  <c:v>1150000</c:v>
                </c:pt>
                <c:pt idx="436">
                  <c:v>1155000</c:v>
                </c:pt>
                <c:pt idx="437">
                  <c:v>1160000</c:v>
                </c:pt>
                <c:pt idx="438">
                  <c:v>1165000</c:v>
                </c:pt>
                <c:pt idx="439">
                  <c:v>1170000</c:v>
                </c:pt>
                <c:pt idx="440">
                  <c:v>1175000</c:v>
                </c:pt>
                <c:pt idx="441">
                  <c:v>1180000</c:v>
                </c:pt>
                <c:pt idx="442">
                  <c:v>1185000</c:v>
                </c:pt>
                <c:pt idx="443">
                  <c:v>1190000</c:v>
                </c:pt>
                <c:pt idx="444">
                  <c:v>1195000</c:v>
                </c:pt>
                <c:pt idx="445">
                  <c:v>1200000</c:v>
                </c:pt>
                <c:pt idx="446">
                  <c:v>1205000</c:v>
                </c:pt>
                <c:pt idx="447">
                  <c:v>1210000</c:v>
                </c:pt>
                <c:pt idx="448">
                  <c:v>1215000</c:v>
                </c:pt>
                <c:pt idx="449">
                  <c:v>1220000</c:v>
                </c:pt>
                <c:pt idx="450">
                  <c:v>1225000</c:v>
                </c:pt>
                <c:pt idx="451">
                  <c:v>1230000</c:v>
                </c:pt>
                <c:pt idx="452">
                  <c:v>1235000</c:v>
                </c:pt>
                <c:pt idx="453">
                  <c:v>1240000</c:v>
                </c:pt>
                <c:pt idx="454">
                  <c:v>1245000</c:v>
                </c:pt>
                <c:pt idx="455">
                  <c:v>1250000</c:v>
                </c:pt>
                <c:pt idx="456">
                  <c:v>1255000</c:v>
                </c:pt>
                <c:pt idx="457">
                  <c:v>1260000</c:v>
                </c:pt>
                <c:pt idx="458">
                  <c:v>1265000</c:v>
                </c:pt>
                <c:pt idx="459">
                  <c:v>1270000</c:v>
                </c:pt>
                <c:pt idx="460">
                  <c:v>1275000</c:v>
                </c:pt>
                <c:pt idx="461">
                  <c:v>1280000</c:v>
                </c:pt>
                <c:pt idx="462">
                  <c:v>1285000</c:v>
                </c:pt>
                <c:pt idx="463">
                  <c:v>1290000</c:v>
                </c:pt>
                <c:pt idx="464">
                  <c:v>1295000</c:v>
                </c:pt>
                <c:pt idx="465">
                  <c:v>1300000</c:v>
                </c:pt>
                <c:pt idx="466">
                  <c:v>1305000</c:v>
                </c:pt>
                <c:pt idx="467">
                  <c:v>1310000</c:v>
                </c:pt>
                <c:pt idx="468">
                  <c:v>1315000</c:v>
                </c:pt>
                <c:pt idx="469">
                  <c:v>1320000</c:v>
                </c:pt>
                <c:pt idx="470">
                  <c:v>1325000</c:v>
                </c:pt>
                <c:pt idx="471">
                  <c:v>1330000</c:v>
                </c:pt>
                <c:pt idx="472">
                  <c:v>1335000</c:v>
                </c:pt>
                <c:pt idx="473">
                  <c:v>1340000</c:v>
                </c:pt>
                <c:pt idx="474">
                  <c:v>1345000</c:v>
                </c:pt>
                <c:pt idx="475">
                  <c:v>1350000</c:v>
                </c:pt>
                <c:pt idx="476">
                  <c:v>1355000</c:v>
                </c:pt>
                <c:pt idx="477">
                  <c:v>1360000</c:v>
                </c:pt>
                <c:pt idx="478">
                  <c:v>1365000</c:v>
                </c:pt>
                <c:pt idx="479">
                  <c:v>1370000</c:v>
                </c:pt>
                <c:pt idx="480">
                  <c:v>1375000</c:v>
                </c:pt>
                <c:pt idx="481">
                  <c:v>1380000</c:v>
                </c:pt>
                <c:pt idx="482">
                  <c:v>1385000</c:v>
                </c:pt>
                <c:pt idx="483">
                  <c:v>1390000</c:v>
                </c:pt>
                <c:pt idx="484">
                  <c:v>1395000</c:v>
                </c:pt>
                <c:pt idx="485">
                  <c:v>1400000</c:v>
                </c:pt>
                <c:pt idx="486">
                  <c:v>1405000</c:v>
                </c:pt>
                <c:pt idx="487">
                  <c:v>1410000</c:v>
                </c:pt>
                <c:pt idx="488">
                  <c:v>1415000</c:v>
                </c:pt>
                <c:pt idx="489">
                  <c:v>1420000</c:v>
                </c:pt>
                <c:pt idx="490">
                  <c:v>1425000</c:v>
                </c:pt>
                <c:pt idx="491">
                  <c:v>1430000</c:v>
                </c:pt>
                <c:pt idx="492">
                  <c:v>1435000</c:v>
                </c:pt>
                <c:pt idx="493">
                  <c:v>1440000</c:v>
                </c:pt>
                <c:pt idx="494">
                  <c:v>1445000</c:v>
                </c:pt>
                <c:pt idx="495">
                  <c:v>1450000</c:v>
                </c:pt>
                <c:pt idx="496">
                  <c:v>1455000</c:v>
                </c:pt>
                <c:pt idx="497">
                  <c:v>1460000</c:v>
                </c:pt>
                <c:pt idx="498">
                  <c:v>1465000</c:v>
                </c:pt>
                <c:pt idx="499">
                  <c:v>1470000</c:v>
                </c:pt>
                <c:pt idx="500">
                  <c:v>1475000</c:v>
                </c:pt>
                <c:pt idx="501">
                  <c:v>1480000</c:v>
                </c:pt>
                <c:pt idx="502">
                  <c:v>1485000</c:v>
                </c:pt>
                <c:pt idx="503">
                  <c:v>1490000</c:v>
                </c:pt>
                <c:pt idx="504">
                  <c:v>1495000</c:v>
                </c:pt>
                <c:pt idx="505">
                  <c:v>1500000</c:v>
                </c:pt>
                <c:pt idx="506">
                  <c:v>1505000</c:v>
                </c:pt>
                <c:pt idx="507">
                  <c:v>1510000</c:v>
                </c:pt>
                <c:pt idx="508">
                  <c:v>1515000</c:v>
                </c:pt>
                <c:pt idx="509">
                  <c:v>1520000</c:v>
                </c:pt>
                <c:pt idx="510">
                  <c:v>1525000</c:v>
                </c:pt>
                <c:pt idx="511">
                  <c:v>1530000</c:v>
                </c:pt>
                <c:pt idx="512">
                  <c:v>1535000</c:v>
                </c:pt>
                <c:pt idx="513">
                  <c:v>1540000</c:v>
                </c:pt>
                <c:pt idx="514">
                  <c:v>1545000</c:v>
                </c:pt>
                <c:pt idx="515">
                  <c:v>1550000</c:v>
                </c:pt>
                <c:pt idx="516">
                  <c:v>1555000</c:v>
                </c:pt>
                <c:pt idx="517">
                  <c:v>1560000</c:v>
                </c:pt>
                <c:pt idx="518">
                  <c:v>1565000</c:v>
                </c:pt>
                <c:pt idx="519">
                  <c:v>1570000</c:v>
                </c:pt>
                <c:pt idx="520">
                  <c:v>1575000</c:v>
                </c:pt>
                <c:pt idx="521">
                  <c:v>1580000</c:v>
                </c:pt>
                <c:pt idx="522">
                  <c:v>1585000</c:v>
                </c:pt>
                <c:pt idx="523">
                  <c:v>1590000</c:v>
                </c:pt>
                <c:pt idx="524">
                  <c:v>1595000</c:v>
                </c:pt>
                <c:pt idx="525">
                  <c:v>1600000</c:v>
                </c:pt>
                <c:pt idx="526">
                  <c:v>1605000</c:v>
                </c:pt>
                <c:pt idx="527">
                  <c:v>1610000</c:v>
                </c:pt>
                <c:pt idx="528">
                  <c:v>1615000</c:v>
                </c:pt>
                <c:pt idx="529">
                  <c:v>1620000</c:v>
                </c:pt>
                <c:pt idx="530">
                  <c:v>1625000</c:v>
                </c:pt>
                <c:pt idx="531">
                  <c:v>1630000</c:v>
                </c:pt>
                <c:pt idx="532">
                  <c:v>1635000</c:v>
                </c:pt>
                <c:pt idx="533">
                  <c:v>1640000</c:v>
                </c:pt>
                <c:pt idx="534">
                  <c:v>1645000</c:v>
                </c:pt>
                <c:pt idx="535">
                  <c:v>1650000</c:v>
                </c:pt>
                <c:pt idx="536">
                  <c:v>1655000</c:v>
                </c:pt>
                <c:pt idx="537">
                  <c:v>1660000</c:v>
                </c:pt>
                <c:pt idx="538">
                  <c:v>1665000</c:v>
                </c:pt>
                <c:pt idx="539">
                  <c:v>1670000</c:v>
                </c:pt>
                <c:pt idx="540">
                  <c:v>1675000</c:v>
                </c:pt>
                <c:pt idx="541">
                  <c:v>1680000</c:v>
                </c:pt>
                <c:pt idx="542">
                  <c:v>1685000</c:v>
                </c:pt>
                <c:pt idx="543">
                  <c:v>1690000</c:v>
                </c:pt>
                <c:pt idx="544">
                  <c:v>1695000</c:v>
                </c:pt>
                <c:pt idx="545">
                  <c:v>1700000</c:v>
                </c:pt>
                <c:pt idx="546">
                  <c:v>1705000</c:v>
                </c:pt>
                <c:pt idx="547">
                  <c:v>1710000</c:v>
                </c:pt>
                <c:pt idx="548">
                  <c:v>1715000</c:v>
                </c:pt>
                <c:pt idx="549">
                  <c:v>1720000</c:v>
                </c:pt>
                <c:pt idx="550">
                  <c:v>1725000</c:v>
                </c:pt>
                <c:pt idx="551">
                  <c:v>1730000</c:v>
                </c:pt>
                <c:pt idx="552">
                  <c:v>1735000</c:v>
                </c:pt>
                <c:pt idx="553">
                  <c:v>1740000</c:v>
                </c:pt>
                <c:pt idx="554">
                  <c:v>1745000</c:v>
                </c:pt>
                <c:pt idx="555">
                  <c:v>1750000</c:v>
                </c:pt>
                <c:pt idx="556">
                  <c:v>1755000</c:v>
                </c:pt>
                <c:pt idx="557">
                  <c:v>1760000</c:v>
                </c:pt>
                <c:pt idx="558">
                  <c:v>1765000</c:v>
                </c:pt>
                <c:pt idx="559">
                  <c:v>1770000</c:v>
                </c:pt>
                <c:pt idx="560">
                  <c:v>1775000</c:v>
                </c:pt>
                <c:pt idx="561">
                  <c:v>1780000</c:v>
                </c:pt>
                <c:pt idx="562">
                  <c:v>1785000</c:v>
                </c:pt>
                <c:pt idx="563">
                  <c:v>1790000</c:v>
                </c:pt>
                <c:pt idx="564">
                  <c:v>1795000</c:v>
                </c:pt>
                <c:pt idx="565">
                  <c:v>1800000</c:v>
                </c:pt>
                <c:pt idx="566">
                  <c:v>1805000</c:v>
                </c:pt>
                <c:pt idx="567">
                  <c:v>1810000</c:v>
                </c:pt>
                <c:pt idx="568">
                  <c:v>1815000</c:v>
                </c:pt>
                <c:pt idx="569">
                  <c:v>1820000</c:v>
                </c:pt>
                <c:pt idx="570">
                  <c:v>1825000</c:v>
                </c:pt>
                <c:pt idx="571">
                  <c:v>1830000</c:v>
                </c:pt>
                <c:pt idx="572">
                  <c:v>1835000</c:v>
                </c:pt>
                <c:pt idx="573">
                  <c:v>1840000</c:v>
                </c:pt>
                <c:pt idx="574">
                  <c:v>1845000</c:v>
                </c:pt>
                <c:pt idx="575">
                  <c:v>1850000</c:v>
                </c:pt>
                <c:pt idx="576">
                  <c:v>1855000</c:v>
                </c:pt>
                <c:pt idx="577">
                  <c:v>1860000</c:v>
                </c:pt>
                <c:pt idx="578">
                  <c:v>1865000</c:v>
                </c:pt>
                <c:pt idx="579">
                  <c:v>1870000</c:v>
                </c:pt>
                <c:pt idx="580">
                  <c:v>1875000</c:v>
                </c:pt>
                <c:pt idx="581">
                  <c:v>1880000</c:v>
                </c:pt>
                <c:pt idx="582">
                  <c:v>1885000</c:v>
                </c:pt>
                <c:pt idx="583">
                  <c:v>1890000</c:v>
                </c:pt>
                <c:pt idx="584">
                  <c:v>1895000</c:v>
                </c:pt>
                <c:pt idx="585">
                  <c:v>1900000</c:v>
                </c:pt>
                <c:pt idx="586">
                  <c:v>1905000</c:v>
                </c:pt>
                <c:pt idx="587">
                  <c:v>1910000</c:v>
                </c:pt>
                <c:pt idx="588">
                  <c:v>1915000</c:v>
                </c:pt>
                <c:pt idx="589">
                  <c:v>1920000</c:v>
                </c:pt>
                <c:pt idx="590">
                  <c:v>1925000</c:v>
                </c:pt>
                <c:pt idx="591">
                  <c:v>1930000</c:v>
                </c:pt>
                <c:pt idx="592">
                  <c:v>1935000</c:v>
                </c:pt>
                <c:pt idx="593">
                  <c:v>1940000</c:v>
                </c:pt>
                <c:pt idx="594">
                  <c:v>1945000</c:v>
                </c:pt>
                <c:pt idx="595">
                  <c:v>1950000</c:v>
                </c:pt>
                <c:pt idx="596">
                  <c:v>1955000</c:v>
                </c:pt>
                <c:pt idx="597">
                  <c:v>1960000</c:v>
                </c:pt>
                <c:pt idx="598">
                  <c:v>1965000</c:v>
                </c:pt>
                <c:pt idx="599">
                  <c:v>1970000</c:v>
                </c:pt>
                <c:pt idx="600">
                  <c:v>1975000</c:v>
                </c:pt>
                <c:pt idx="601">
                  <c:v>1980000</c:v>
                </c:pt>
                <c:pt idx="602">
                  <c:v>1985000</c:v>
                </c:pt>
                <c:pt idx="603">
                  <c:v>1990000</c:v>
                </c:pt>
                <c:pt idx="604">
                  <c:v>1995000</c:v>
                </c:pt>
                <c:pt idx="605">
                  <c:v>2000000</c:v>
                </c:pt>
                <c:pt idx="606">
                  <c:v>2250000</c:v>
                </c:pt>
                <c:pt idx="607">
                  <c:v>2500000</c:v>
                </c:pt>
                <c:pt idx="608">
                  <c:v>2750000</c:v>
                </c:pt>
                <c:pt idx="609">
                  <c:v>3000000</c:v>
                </c:pt>
                <c:pt idx="610">
                  <c:v>3250000</c:v>
                </c:pt>
                <c:pt idx="611">
                  <c:v>3500000</c:v>
                </c:pt>
                <c:pt idx="612">
                  <c:v>3750000</c:v>
                </c:pt>
                <c:pt idx="613">
                  <c:v>4000000</c:v>
                </c:pt>
                <c:pt idx="614">
                  <c:v>4250000</c:v>
                </c:pt>
                <c:pt idx="615">
                  <c:v>4500000</c:v>
                </c:pt>
                <c:pt idx="616">
                  <c:v>4750000</c:v>
                </c:pt>
                <c:pt idx="617">
                  <c:v>5000000</c:v>
                </c:pt>
                <c:pt idx="618">
                  <c:v>5100000</c:v>
                </c:pt>
                <c:pt idx="619">
                  <c:v>5200000</c:v>
                </c:pt>
                <c:pt idx="620">
                  <c:v>5300000</c:v>
                </c:pt>
                <c:pt idx="621">
                  <c:v>5400000</c:v>
                </c:pt>
                <c:pt idx="622">
                  <c:v>5500000</c:v>
                </c:pt>
                <c:pt idx="623">
                  <c:v>5600000</c:v>
                </c:pt>
                <c:pt idx="624">
                  <c:v>5700000</c:v>
                </c:pt>
                <c:pt idx="625">
                  <c:v>5800000</c:v>
                </c:pt>
                <c:pt idx="626">
                  <c:v>5900000</c:v>
                </c:pt>
                <c:pt idx="627">
                  <c:v>6000000</c:v>
                </c:pt>
                <c:pt idx="628">
                  <c:v>6100000</c:v>
                </c:pt>
                <c:pt idx="629">
                  <c:v>6200000</c:v>
                </c:pt>
                <c:pt idx="630">
                  <c:v>6300000</c:v>
                </c:pt>
                <c:pt idx="631">
                  <c:v>6400000</c:v>
                </c:pt>
                <c:pt idx="632">
                  <c:v>6500000</c:v>
                </c:pt>
                <c:pt idx="633">
                  <c:v>6600000</c:v>
                </c:pt>
                <c:pt idx="634">
                  <c:v>6700000</c:v>
                </c:pt>
                <c:pt idx="635">
                  <c:v>6800000</c:v>
                </c:pt>
                <c:pt idx="636">
                  <c:v>6900000</c:v>
                </c:pt>
                <c:pt idx="637">
                  <c:v>7000000</c:v>
                </c:pt>
                <c:pt idx="638">
                  <c:v>7100000</c:v>
                </c:pt>
                <c:pt idx="639">
                  <c:v>7200000</c:v>
                </c:pt>
                <c:pt idx="640">
                  <c:v>7300000</c:v>
                </c:pt>
                <c:pt idx="641">
                  <c:v>7400000</c:v>
                </c:pt>
                <c:pt idx="642">
                  <c:v>7500000</c:v>
                </c:pt>
                <c:pt idx="643">
                  <c:v>7600000</c:v>
                </c:pt>
                <c:pt idx="644">
                  <c:v>7700000</c:v>
                </c:pt>
                <c:pt idx="645">
                  <c:v>7800000</c:v>
                </c:pt>
                <c:pt idx="646">
                  <c:v>7900000</c:v>
                </c:pt>
                <c:pt idx="647">
                  <c:v>8000000</c:v>
                </c:pt>
                <c:pt idx="648">
                  <c:v>8100000</c:v>
                </c:pt>
                <c:pt idx="649">
                  <c:v>8200000</c:v>
                </c:pt>
                <c:pt idx="650">
                  <c:v>8300000</c:v>
                </c:pt>
                <c:pt idx="651">
                  <c:v>8400000</c:v>
                </c:pt>
                <c:pt idx="652">
                  <c:v>8500000</c:v>
                </c:pt>
                <c:pt idx="653">
                  <c:v>8600000</c:v>
                </c:pt>
                <c:pt idx="654">
                  <c:v>8700000</c:v>
                </c:pt>
                <c:pt idx="655">
                  <c:v>8800000</c:v>
                </c:pt>
                <c:pt idx="656">
                  <c:v>8900000</c:v>
                </c:pt>
                <c:pt idx="657">
                  <c:v>9000000</c:v>
                </c:pt>
                <c:pt idx="658">
                  <c:v>9100000</c:v>
                </c:pt>
                <c:pt idx="659">
                  <c:v>9200000</c:v>
                </c:pt>
                <c:pt idx="660">
                  <c:v>9300000</c:v>
                </c:pt>
                <c:pt idx="661">
                  <c:v>9400000</c:v>
                </c:pt>
                <c:pt idx="662">
                  <c:v>9500000</c:v>
                </c:pt>
                <c:pt idx="663">
                  <c:v>9600000</c:v>
                </c:pt>
                <c:pt idx="664">
                  <c:v>9700000</c:v>
                </c:pt>
                <c:pt idx="665">
                  <c:v>9800000</c:v>
                </c:pt>
                <c:pt idx="666">
                  <c:v>9900000</c:v>
                </c:pt>
                <c:pt idx="667">
                  <c:v>10000000</c:v>
                </c:pt>
              </c:numCache>
            </c:numRef>
          </c:xVal>
          <c:yVal>
            <c:numRef>
              <c:f>'Bode Plots Calculations'!$BB$9:$BB$676</c:f>
              <c:numCache>
                <c:formatCode>General</c:formatCode>
                <c:ptCount val="668"/>
                <c:pt idx="0">
                  <c:v>49.9885109709781</c:v>
                </c:pt>
                <c:pt idx="1">
                  <c:v>49.9565877491028</c:v>
                </c:pt>
                <c:pt idx="2">
                  <c:v>49.9042180952175</c:v>
                </c:pt>
                <c:pt idx="3">
                  <c:v>49.8325984800375</c:v>
                </c:pt>
                <c:pt idx="4">
                  <c:v>49.7432973161032</c:v>
                </c:pt>
                <c:pt idx="5">
                  <c:v>49.6381643166162</c:v>
                </c:pt>
                <c:pt idx="6">
                  <c:v>49.5192331361178</c:v>
                </c:pt>
                <c:pt idx="7">
                  <c:v>49.3886264279422</c:v>
                </c:pt>
                <c:pt idx="8">
                  <c:v>49.2484705312586</c:v>
                </c:pt>
                <c:pt idx="9">
                  <c:v>49.1008244828155</c:v>
                </c:pt>
                <c:pt idx="10">
                  <c:v>47.5510569026281</c:v>
                </c:pt>
                <c:pt idx="11">
                  <c:v>46.3504907837888</c:v>
                </c:pt>
                <c:pt idx="12">
                  <c:v>45.5648875446629</c:v>
                </c:pt>
                <c:pt idx="13">
                  <c:v>45.0602776414559</c:v>
                </c:pt>
                <c:pt idx="14">
                  <c:v>44.728579959498</c:v>
                </c:pt>
                <c:pt idx="15">
                  <c:v>44.5031623653577</c:v>
                </c:pt>
                <c:pt idx="16">
                  <c:v>44.34475388871</c:v>
                </c:pt>
                <c:pt idx="17">
                  <c:v>44.2299731965577</c:v>
                </c:pt>
                <c:pt idx="18">
                  <c:v>44.1445216858352</c:v>
                </c:pt>
                <c:pt idx="19">
                  <c:v>43.8497744396818</c:v>
                </c:pt>
                <c:pt idx="20">
                  <c:v>43.7898872604706</c:v>
                </c:pt>
                <c:pt idx="21">
                  <c:v>43.7668547635053</c:v>
                </c:pt>
                <c:pt idx="22">
                  <c:v>43.7542022258505</c:v>
                </c:pt>
                <c:pt idx="23">
                  <c:v>43.7452617174972</c:v>
                </c:pt>
                <c:pt idx="24">
                  <c:v>43.7377299402646</c:v>
                </c:pt>
                <c:pt idx="25">
                  <c:v>43.7306418434209</c:v>
                </c:pt>
                <c:pt idx="26">
                  <c:v>43.7235366673066</c:v>
                </c:pt>
                <c:pt idx="27">
                  <c:v>43.7161728810606</c:v>
                </c:pt>
                <c:pt idx="28">
                  <c:v>43.6722375776929</c:v>
                </c:pt>
                <c:pt idx="29">
                  <c:v>43.6139865934792</c:v>
                </c:pt>
                <c:pt idx="30">
                  <c:v>43.5410253617349</c:v>
                </c:pt>
                <c:pt idx="31">
                  <c:v>43.453946711279</c:v>
                </c:pt>
                <c:pt idx="32">
                  <c:v>43.3536476019911</c:v>
                </c:pt>
                <c:pt idx="33">
                  <c:v>43.2411718766364</c:v>
                </c:pt>
                <c:pt idx="34">
                  <c:v>43.1176439860569</c:v>
                </c:pt>
                <c:pt idx="35">
                  <c:v>42.984226989544</c:v>
                </c:pt>
                <c:pt idx="36">
                  <c:v>42.8420906058129</c:v>
                </c:pt>
                <c:pt idx="37">
                  <c:v>42.692385702622</c:v>
                </c:pt>
                <c:pt idx="38">
                  <c:v>42.5362241333398</c:v>
                </c:pt>
                <c:pt idx="39">
                  <c:v>42.3746633983133</c:v>
                </c:pt>
                <c:pt idx="40">
                  <c:v>42.208695666296</c:v>
                </c:pt>
                <c:pt idx="41">
                  <c:v>42.0392406350997</c:v>
                </c:pt>
                <c:pt idx="42">
                  <c:v>41.867141659465</c:v>
                </c:pt>
                <c:pt idx="43">
                  <c:v>41.6931645585355</c:v>
                </c:pt>
                <c:pt idx="44">
                  <c:v>41.5179985359628</c:v>
                </c:pt>
                <c:pt idx="45">
                  <c:v>41.3422586935857</c:v>
                </c:pt>
                <c:pt idx="46">
                  <c:v>41.1664896840533</c:v>
                </c:pt>
                <c:pt idx="47">
                  <c:v>40.9911701192181</c:v>
                </c:pt>
                <c:pt idx="48">
                  <c:v>40.8167174224922</c:v>
                </c:pt>
                <c:pt idx="49">
                  <c:v>40.6434928798752</c:v>
                </c:pt>
                <c:pt idx="50">
                  <c:v>40.4718067033103</c:v>
                </c:pt>
                <c:pt idx="51">
                  <c:v>40.3019229702313</c:v>
                </c:pt>
                <c:pt idx="52">
                  <c:v>40.1340643445205</c:v>
                </c:pt>
                <c:pt idx="53">
                  <c:v>39.968416517176</c:v>
                </c:pt>
                <c:pt idx="54">
                  <c:v>39.805132330708</c:v>
                </c:pt>
                <c:pt idx="55">
                  <c:v>39.6443355707355</c:v>
                </c:pt>
                <c:pt idx="56">
                  <c:v>39.486124422526</c:v>
                </c:pt>
                <c:pt idx="57">
                  <c:v>39.3305746003086</c:v>
                </c:pt>
                <c:pt idx="58">
                  <c:v>39.1777421640189</c:v>
                </c:pt>
                <c:pt idx="59">
                  <c:v>39.0276660424276</c:v>
                </c:pt>
                <c:pt idx="60">
                  <c:v>38.8803702840221</c:v>
                </c:pt>
                <c:pt idx="61">
                  <c:v>38.7358660580375</c:v>
                </c:pt>
                <c:pt idx="62">
                  <c:v>38.5941534280788</c:v>
                </c:pt>
                <c:pt idx="63">
                  <c:v>38.4552229201388</c:v>
                </c:pt>
                <c:pt idx="64">
                  <c:v>38.3190569057469</c:v>
                </c:pt>
                <c:pt idx="65">
                  <c:v>38.1856308196349</c:v>
                </c:pt>
                <c:pt idx="66">
                  <c:v>38.0549142298236</c:v>
                </c:pt>
                <c:pt idx="67">
                  <c:v>37.9268717765034</c:v>
                </c:pt>
                <c:pt idx="68">
                  <c:v>37.8014639945562</c:v>
                </c:pt>
                <c:pt idx="69">
                  <c:v>37.6786480331078</c:v>
                </c:pt>
                <c:pt idx="70">
                  <c:v>37.5583782841152</c:v>
                </c:pt>
                <c:pt idx="71">
                  <c:v>37.4406069307092</c:v>
                </c:pt>
                <c:pt idx="72">
                  <c:v>37.3252844248336</c:v>
                </c:pt>
                <c:pt idx="73">
                  <c:v>37.2123599026491</c:v>
                </c:pt>
                <c:pt idx="74">
                  <c:v>37.1017815452</c:v>
                </c:pt>
                <c:pt idx="75">
                  <c:v>36.9934968909696</c:v>
                </c:pt>
                <c:pt idx="76">
                  <c:v>36.8874531061738</c:v>
                </c:pt>
                <c:pt idx="77">
                  <c:v>36.7835972179478</c:v>
                </c:pt>
                <c:pt idx="78">
                  <c:v>36.6818763149651</c:v>
                </c:pt>
                <c:pt idx="79">
                  <c:v>36.5822377194857</c:v>
                </c:pt>
                <c:pt idx="80">
                  <c:v>36.4846291343467</c:v>
                </c:pt>
                <c:pt idx="81">
                  <c:v>36.3889987679849</c:v>
                </c:pt>
                <c:pt idx="82">
                  <c:v>36.2952954402089</c:v>
                </c:pt>
                <c:pt idx="83">
                  <c:v>36.2034686711068</c:v>
                </c:pt>
                <c:pt idx="84">
                  <c:v>36.1134687551876</c:v>
                </c:pt>
                <c:pt idx="85">
                  <c:v>36.0252468226021</c:v>
                </c:pt>
                <c:pt idx="86">
                  <c:v>35.9387548890616</c:v>
                </c:pt>
                <c:pt idx="87">
                  <c:v>35.8539458958826</c:v>
                </c:pt>
                <c:pt idx="88">
                  <c:v>35.7707737414074</c:v>
                </c:pt>
                <c:pt idx="89">
                  <c:v>35.6891933049054</c:v>
                </c:pt>
                <c:pt idx="90">
                  <c:v>35.6091604639226</c:v>
                </c:pt>
                <c:pt idx="91">
                  <c:v>35.5306321059328</c:v>
                </c:pt>
                <c:pt idx="92">
                  <c:v>35.4535661350416</c:v>
                </c:pt>
                <c:pt idx="93">
                  <c:v>35.3779214744026</c:v>
                </c:pt>
                <c:pt idx="94">
                  <c:v>35.3036580649282</c:v>
                </c:pt>
                <c:pt idx="95">
                  <c:v>35.2307368608071</c:v>
                </c:pt>
                <c:pt idx="96">
                  <c:v>35.1591198222782</c:v>
                </c:pt>
                <c:pt idx="97">
                  <c:v>35.088769906059</c:v>
                </c:pt>
                <c:pt idx="98">
                  <c:v>35.0196510537775</c:v>
                </c:pt>
                <c:pt idx="99">
                  <c:v>34.9517281787142</c:v>
                </c:pt>
                <c:pt idx="100">
                  <c:v>34.8849671511269</c:v>
                </c:pt>
                <c:pt idx="101">
                  <c:v>34.8193347823951</c:v>
                </c:pt>
                <c:pt idx="102">
                  <c:v>34.7547988081927</c:v>
                </c:pt>
                <c:pt idx="103">
                  <c:v>34.6913278708757</c:v>
                </c:pt>
                <c:pt idx="104">
                  <c:v>34.6288915012438</c:v>
                </c:pt>
                <c:pt idx="105">
                  <c:v>34.5674600998195</c:v>
                </c:pt>
                <c:pt idx="106">
                  <c:v>34.5070049177679</c:v>
                </c:pt>
                <c:pt idx="107">
                  <c:v>34.4474980375675</c:v>
                </c:pt>
                <c:pt idx="108">
                  <c:v>34.388912353525</c:v>
                </c:pt>
                <c:pt idx="109">
                  <c:v>34.3312215522193</c:v>
                </c:pt>
                <c:pt idx="110">
                  <c:v>34.2744000929453</c:v>
                </c:pt>
                <c:pt idx="111">
                  <c:v>34.2184231882207</c:v>
                </c:pt>
                <c:pt idx="112">
                  <c:v>34.1632667844103</c:v>
                </c:pt>
                <c:pt idx="113">
                  <c:v>34.1089075425137</c:v>
                </c:pt>
                <c:pt idx="114">
                  <c:v>34.0553228191581</c:v>
                </c:pt>
                <c:pt idx="115">
                  <c:v>34.0024906478281</c:v>
                </c:pt>
                <c:pt idx="116">
                  <c:v>33.9503897203639</c:v>
                </c:pt>
                <c:pt idx="117">
                  <c:v>33.8989993687509</c:v>
                </c:pt>
                <c:pt idx="118">
                  <c:v>33.8482995472209</c:v>
                </c:pt>
                <c:pt idx="119">
                  <c:v>33.7982708146835</c:v>
                </c:pt>
                <c:pt idx="120">
                  <c:v>33.7488943174987</c:v>
                </c:pt>
                <c:pt idx="121">
                  <c:v>33.7001517726031</c:v>
                </c:pt>
                <c:pt idx="122">
                  <c:v>33.6520254509978</c:v>
                </c:pt>
                <c:pt idx="123">
                  <c:v>33.6044981616035</c:v>
                </c:pt>
                <c:pt idx="124">
                  <c:v>33.5575532354877</c:v>
                </c:pt>
                <c:pt idx="125">
                  <c:v>33.5111745104656</c:v>
                </c:pt>
                <c:pt idx="126">
                  <c:v>33.4653463160761</c:v>
                </c:pt>
                <c:pt idx="127">
                  <c:v>33.4200534589333</c:v>
                </c:pt>
                <c:pt idx="128">
                  <c:v>33.3752812084504</c:v>
                </c:pt>
                <c:pt idx="129">
                  <c:v>33.3310152829351</c:v>
                </c:pt>
                <c:pt idx="130">
                  <c:v>33.2872418360524</c:v>
                </c:pt>
                <c:pt idx="131">
                  <c:v>33.2439474436513</c:v>
                </c:pt>
                <c:pt idx="132">
                  <c:v>33.2011190909497</c:v>
                </c:pt>
                <c:pt idx="133">
                  <c:v>33.1587441600741</c:v>
                </c:pt>
                <c:pt idx="134">
                  <c:v>33.1168104179463</c:v>
                </c:pt>
                <c:pt idx="135">
                  <c:v>33.0753060045133</c:v>
                </c:pt>
                <c:pt idx="136">
                  <c:v>33.0342194213119</c:v>
                </c:pt>
                <c:pt idx="137">
                  <c:v>32.9935395203634</c:v>
                </c:pt>
                <c:pt idx="138">
                  <c:v>32.9532554933901</c:v>
                </c:pt>
                <c:pt idx="139">
                  <c:v>32.9133568613474</c:v>
                </c:pt>
                <c:pt idx="140">
                  <c:v>32.8738334642644</c:v>
                </c:pt>
                <c:pt idx="141">
                  <c:v>32.8346754513859</c:v>
                </c:pt>
                <c:pt idx="142">
                  <c:v>32.7958732716076</c:v>
                </c:pt>
                <c:pt idx="143">
                  <c:v>32.7574176641997</c:v>
                </c:pt>
                <c:pt idx="144">
                  <c:v>32.7192996498085</c:v>
                </c:pt>
                <c:pt idx="145">
                  <c:v>32.6815105217316</c:v>
                </c:pt>
                <c:pt idx="146">
                  <c:v>32.6440418374581</c:v>
                </c:pt>
                <c:pt idx="147">
                  <c:v>32.606885410467</c:v>
                </c:pt>
                <c:pt idx="148">
                  <c:v>32.5700333022772</c:v>
                </c:pt>
                <c:pt idx="149">
                  <c:v>32.5334778147413</c:v>
                </c:pt>
                <c:pt idx="150">
                  <c:v>32.4972114825777</c:v>
                </c:pt>
                <c:pt idx="151">
                  <c:v>32.4612270661333</c:v>
                </c:pt>
                <c:pt idx="152">
                  <c:v>32.4255175443702</c:v>
                </c:pt>
                <c:pt idx="153">
                  <c:v>32.3900761080708</c:v>
                </c:pt>
                <c:pt idx="154">
                  <c:v>32.3548961532539</c:v>
                </c:pt>
                <c:pt idx="155">
                  <c:v>32.3199712747966</c:v>
                </c:pt>
                <c:pt idx="156">
                  <c:v>32.285295260255</c:v>
                </c:pt>
                <c:pt idx="157">
                  <c:v>32.2508620838787</c:v>
                </c:pt>
                <c:pt idx="158">
                  <c:v>32.216665900812</c:v>
                </c:pt>
                <c:pt idx="159">
                  <c:v>32.1827010414778</c:v>
                </c:pt>
                <c:pt idx="160">
                  <c:v>32.1489620061375</c:v>
                </c:pt>
                <c:pt idx="161">
                  <c:v>32.1154434596217</c:v>
                </c:pt>
                <c:pt idx="162">
                  <c:v>32.0821402262267</c:v>
                </c:pt>
                <c:pt idx="163">
                  <c:v>32.0490472847715</c:v>
                </c:pt>
                <c:pt idx="164">
                  <c:v>32.016159763811</c:v>
                </c:pt>
                <c:pt idx="165">
                  <c:v>31.983472936999</c:v>
                </c:pt>
                <c:pt idx="166">
                  <c:v>31.9509822185981</c:v>
                </c:pt>
                <c:pt idx="167">
                  <c:v>31.9186831591309</c:v>
                </c:pt>
                <c:pt idx="168">
                  <c:v>31.886571441168</c:v>
                </c:pt>
                <c:pt idx="169">
                  <c:v>31.8546428752494</c:v>
                </c:pt>
                <c:pt idx="170">
                  <c:v>31.8228933959338</c:v>
                </c:pt>
                <c:pt idx="171">
                  <c:v>31.791319057973</c:v>
                </c:pt>
                <c:pt idx="172">
                  <c:v>31.7599160326065</c:v>
                </c:pt>
                <c:pt idx="173">
                  <c:v>31.7286806039732</c:v>
                </c:pt>
                <c:pt idx="174">
                  <c:v>31.6976091656358</c:v>
                </c:pt>
                <c:pt idx="175">
                  <c:v>31.6666982172151</c:v>
                </c:pt>
                <c:pt idx="176">
                  <c:v>31.6359443611299</c:v>
                </c:pt>
                <c:pt idx="177">
                  <c:v>31.6053442994394</c:v>
                </c:pt>
                <c:pt idx="178">
                  <c:v>31.5748948307859</c:v>
                </c:pt>
                <c:pt idx="179">
                  <c:v>31.5445928474323</c:v>
                </c:pt>
                <c:pt idx="180">
                  <c:v>31.5144353323934</c:v>
                </c:pt>
                <c:pt idx="181">
                  <c:v>31.4844193566575</c:v>
                </c:pt>
                <c:pt idx="182">
                  <c:v>31.4545420764949</c:v>
                </c:pt>
                <c:pt idx="183">
                  <c:v>31.4248007308506</c:v>
                </c:pt>
                <c:pt idx="184">
                  <c:v>31.3951926388195</c:v>
                </c:pt>
                <c:pt idx="185">
                  <c:v>31.3657151971995</c:v>
                </c:pt>
                <c:pt idx="186">
                  <c:v>31.336365878123</c:v>
                </c:pt>
                <c:pt idx="187">
                  <c:v>31.3071422267602</c:v>
                </c:pt>
                <c:pt idx="188">
                  <c:v>31.2780418590963</c:v>
                </c:pt>
                <c:pt idx="189">
                  <c:v>31.2490624597769</c:v>
                </c:pt>
                <c:pt idx="190">
                  <c:v>31.220201780021</c:v>
                </c:pt>
                <c:pt idx="191">
                  <c:v>31.1914576355989</c:v>
                </c:pt>
                <c:pt idx="192">
                  <c:v>31.1628279048734</c:v>
                </c:pt>
                <c:pt idx="193">
                  <c:v>31.134310526902</c:v>
                </c:pt>
                <c:pt idx="194">
                  <c:v>31.1059034995976</c:v>
                </c:pt>
                <c:pt idx="195">
                  <c:v>31.0776048779467</c:v>
                </c:pt>
                <c:pt idx="196">
                  <c:v>31.0494127722834</c:v>
                </c:pt>
                <c:pt idx="197">
                  <c:v>31.0213253466159</c:v>
                </c:pt>
                <c:pt idx="198">
                  <c:v>30.9933408170056</c:v>
                </c:pt>
                <c:pt idx="199">
                  <c:v>30.9654574499965</c:v>
                </c:pt>
                <c:pt idx="200">
                  <c:v>30.9376735610923</c:v>
                </c:pt>
                <c:pt idx="201">
                  <c:v>30.9099875132819</c:v>
                </c:pt>
                <c:pt idx="202">
                  <c:v>30.8823977156088</c:v>
                </c:pt>
                <c:pt idx="203">
                  <c:v>30.8549026217864</c:v>
                </c:pt>
                <c:pt idx="204">
                  <c:v>30.8275007288545</c:v>
                </c:pt>
                <c:pt idx="205">
                  <c:v>30.800190575878</c:v>
                </c:pt>
                <c:pt idx="206">
                  <c:v>30.7729707426852</c:v>
                </c:pt>
                <c:pt idx="207">
                  <c:v>30.7458398486451</c:v>
                </c:pt>
                <c:pt idx="208">
                  <c:v>30.7187965514824</c:v>
                </c:pt>
                <c:pt idx="209">
                  <c:v>30.6918395461283</c:v>
                </c:pt>
                <c:pt idx="210">
                  <c:v>30.6649675636073</c:v>
                </c:pt>
                <c:pt idx="211">
                  <c:v>30.6381793699571</c:v>
                </c:pt>
                <c:pt idx="212">
                  <c:v>30.6114737651824</c:v>
                </c:pt>
                <c:pt idx="213">
                  <c:v>30.5848495822403</c:v>
                </c:pt>
                <c:pt idx="214">
                  <c:v>30.5583056860567</c:v>
                </c:pt>
                <c:pt idx="215">
                  <c:v>30.5318409725727</c:v>
                </c:pt>
                <c:pt idx="216">
                  <c:v>30.5054543678201</c:v>
                </c:pt>
                <c:pt idx="217">
                  <c:v>30.479144827025</c:v>
                </c:pt>
                <c:pt idx="218">
                  <c:v>30.4529113337387</c:v>
                </c:pt>
                <c:pt idx="219">
                  <c:v>30.4267528989951</c:v>
                </c:pt>
                <c:pt idx="220">
                  <c:v>30.4006685604936</c:v>
                </c:pt>
                <c:pt idx="221">
                  <c:v>30.3746573818065</c:v>
                </c:pt>
                <c:pt idx="222">
                  <c:v>30.3487184516111</c:v>
                </c:pt>
                <c:pt idx="223">
                  <c:v>30.3228508829444</c:v>
                </c:pt>
                <c:pt idx="224">
                  <c:v>30.2970538124807</c:v>
                </c:pt>
                <c:pt idx="225">
                  <c:v>30.2713263998312</c:v>
                </c:pt>
                <c:pt idx="226">
                  <c:v>30.0177136664234</c:v>
                </c:pt>
                <c:pt idx="227">
                  <c:v>29.7702888674075</c:v>
                </c:pt>
                <c:pt idx="228">
                  <c:v>29.5285005779466</c:v>
                </c:pt>
                <c:pt idx="229">
                  <c:v>29.29191794863</c:v>
                </c:pt>
                <c:pt idx="230">
                  <c:v>29.0601997312233</c:v>
                </c:pt>
                <c:pt idx="231">
                  <c:v>28.8330713474329</c:v>
                </c:pt>
                <c:pt idx="232">
                  <c:v>28.6103078928698</c:v>
                </c:pt>
                <c:pt idx="233">
                  <c:v>28.3917215316332</c:v>
                </c:pt>
                <c:pt idx="234">
                  <c:v>28.1771521456275</c:v>
                </c:pt>
                <c:pt idx="235">
                  <c:v>27.9664604005749</c:v>
                </c:pt>
                <c:pt idx="236">
                  <c:v>27.7595226086325</c:v>
                </c:pt>
                <c:pt idx="237">
                  <c:v>27.5562269276282</c:v>
                </c:pt>
                <c:pt idx="238">
                  <c:v>27.3564705549528</c:v>
                </c:pt>
                <c:pt idx="239">
                  <c:v>27.160157661434</c:v>
                </c:pt>
                <c:pt idx="240">
                  <c:v>26.9671978752542</c:v>
                </c:pt>
                <c:pt idx="241">
                  <c:v>26.7775051741136</c:v>
                </c:pt>
                <c:pt idx="242">
                  <c:v>26.5909970797162</c:v>
                </c:pt>
                <c:pt idx="243">
                  <c:v>26.4075940754416</c:v>
                </c:pt>
                <c:pt idx="244">
                  <c:v>26.2272191881011</c:v>
                </c:pt>
                <c:pt idx="245">
                  <c:v>26.0497976896744</c:v>
                </c:pt>
                <c:pt idx="246">
                  <c:v>25.8752568861685</c:v>
                </c:pt>
                <c:pt idx="247">
                  <c:v>25.7035259691715</c:v>
                </c:pt>
                <c:pt idx="248">
                  <c:v>25.5345359119966</c:v>
                </c:pt>
                <c:pt idx="249">
                  <c:v>25.3682193970541</c:v>
                </c:pt>
                <c:pt idx="250">
                  <c:v>25.2045107646427</c:v>
                </c:pt>
                <c:pt idx="251">
                  <c:v>25.0433459760103</c:v>
                </c:pt>
                <c:pt idx="252">
                  <c:v>24.8846625855186</c:v>
                </c:pt>
                <c:pt idx="253">
                  <c:v>24.7283997182272</c:v>
                </c:pt>
                <c:pt idx="254">
                  <c:v>24.5744980503101</c:v>
                </c:pt>
                <c:pt idx="255">
                  <c:v>24.4228997905275</c:v>
                </c:pt>
                <c:pt idx="256">
                  <c:v>24.2735486615727</c:v>
                </c:pt>
                <c:pt idx="257">
                  <c:v>24.1263898805474</c:v>
                </c:pt>
                <c:pt idx="258">
                  <c:v>23.9813701381295</c:v>
                </c:pt>
                <c:pt idx="259">
                  <c:v>23.838437576222</c:v>
                </c:pt>
                <c:pt idx="260">
                  <c:v>23.697541764026</c:v>
                </c:pt>
                <c:pt idx="261">
                  <c:v>23.5586336725839</c:v>
                </c:pt>
                <c:pt idx="262">
                  <c:v>23.4216656479106</c:v>
                </c:pt>
                <c:pt idx="263">
                  <c:v>23.2865913828699</c:v>
                </c:pt>
                <c:pt idx="264">
                  <c:v>23.1533658879781</c:v>
                </c:pt>
                <c:pt idx="265">
                  <c:v>23.0219454613243</c:v>
                </c:pt>
                <c:pt idx="266">
                  <c:v>22.892287657798</c:v>
                </c:pt>
                <c:pt idx="267">
                  <c:v>22.7643512578065</c:v>
                </c:pt>
                <c:pt idx="268">
                  <c:v>22.6380962356544</c:v>
                </c:pt>
                <c:pt idx="269">
                  <c:v>22.5134837277454</c:v>
                </c:pt>
                <c:pt idx="270">
                  <c:v>22.390476000749</c:v>
                </c:pt>
                <c:pt idx="271">
                  <c:v>22.269036419863</c:v>
                </c:pt>
                <c:pt idx="272">
                  <c:v>22.149129417284</c:v>
                </c:pt>
                <c:pt idx="273">
                  <c:v>22.0307204609886</c:v>
                </c:pt>
                <c:pt idx="274">
                  <c:v>21.9137760239089</c:v>
                </c:pt>
                <c:pt idx="275">
                  <c:v>21.7982635535771</c:v>
                </c:pt>
                <c:pt idx="276">
                  <c:v>21.6841514423015</c:v>
                </c:pt>
                <c:pt idx="277">
                  <c:v>21.571408997924</c:v>
                </c:pt>
                <c:pt idx="278">
                  <c:v>21.4600064152018</c:v>
                </c:pt>
                <c:pt idx="279">
                  <c:v>21.3499147478469</c:v>
                </c:pt>
                <c:pt idx="280">
                  <c:v>21.241105881247</c:v>
                </c:pt>
                <c:pt idx="281">
                  <c:v>21.1335525058892</c:v>
                </c:pt>
                <c:pt idx="282">
                  <c:v>21.0272280914978</c:v>
                </c:pt>
                <c:pt idx="283">
                  <c:v>20.9221068618947</c:v>
                </c:pt>
                <c:pt idx="284">
                  <c:v>20.8181637705851</c:v>
                </c:pt>
                <c:pt idx="285">
                  <c:v>20.7153744770692</c:v>
                </c:pt>
                <c:pt idx="286">
                  <c:v>20.6137153238745</c:v>
                </c:pt>
                <c:pt idx="287">
                  <c:v>20.513163314304</c:v>
                </c:pt>
                <c:pt idx="288">
                  <c:v>20.4136960908892</c:v>
                </c:pt>
                <c:pt idx="289">
                  <c:v>20.3152919145388</c:v>
                </c:pt>
                <c:pt idx="290">
                  <c:v>20.2179296443693</c:v>
                </c:pt>
                <c:pt idx="291">
                  <c:v>20.1215887182049</c:v>
                </c:pt>
                <c:pt idx="292">
                  <c:v>20.0262491337295</c:v>
                </c:pt>
                <c:pt idx="293">
                  <c:v>19.9318914302781</c:v>
                </c:pt>
                <c:pt idx="294">
                  <c:v>19.838496671248</c:v>
                </c:pt>
                <c:pt idx="295">
                  <c:v>19.7460464271159</c:v>
                </c:pt>
                <c:pt idx="296">
                  <c:v>19.6545227590412</c:v>
                </c:pt>
                <c:pt idx="297">
                  <c:v>19.5639082030396</c:v>
                </c:pt>
                <c:pt idx="298">
                  <c:v>19.4741857547099</c:v>
                </c:pt>
                <c:pt idx="299">
                  <c:v>19.3853388544955</c:v>
                </c:pt>
                <c:pt idx="300">
                  <c:v>19.2973513734638</c:v>
                </c:pt>
                <c:pt idx="301">
                  <c:v>19.2102075995871</c:v>
                </c:pt>
                <c:pt idx="302">
                  <c:v>19.1238922245078</c:v>
                </c:pt>
                <c:pt idx="303">
                  <c:v>19.0383903307707</c:v>
                </c:pt>
                <c:pt idx="304">
                  <c:v>18.9536873795074</c:v>
                </c:pt>
                <c:pt idx="305">
                  <c:v>18.869769198556</c:v>
                </c:pt>
                <c:pt idx="306">
                  <c:v>18.7866219710019</c:v>
                </c:pt>
                <c:pt idx="307">
                  <c:v>18.7042322241227</c:v>
                </c:pt>
                <c:pt idx="308">
                  <c:v>18.6225868187246</c:v>
                </c:pt>
                <c:pt idx="309">
                  <c:v>18.5416729388548</c:v>
                </c:pt>
                <c:pt idx="310">
                  <c:v>18.4614780818769</c:v>
                </c:pt>
                <c:pt idx="311">
                  <c:v>18.3819900488949</c:v>
                </c:pt>
                <c:pt idx="312">
                  <c:v>18.3031969355143</c:v>
                </c:pt>
                <c:pt idx="313">
                  <c:v>18.2250871229268</c:v>
                </c:pt>
                <c:pt idx="314">
                  <c:v>18.1476492693066</c:v>
                </c:pt>
                <c:pt idx="315">
                  <c:v>18.070872301507</c:v>
                </c:pt>
                <c:pt idx="316">
                  <c:v>17.994745407046</c:v>
                </c:pt>
                <c:pt idx="317">
                  <c:v>17.9192580263697</c:v>
                </c:pt>
                <c:pt idx="318">
                  <c:v>17.8443998453838</c:v>
                </c:pt>
                <c:pt idx="319">
                  <c:v>17.7701607882416</c:v>
                </c:pt>
                <c:pt idx="320">
                  <c:v>17.6965310103813</c:v>
                </c:pt>
                <c:pt idx="321">
                  <c:v>17.6235008918006</c:v>
                </c:pt>
                <c:pt idx="322">
                  <c:v>17.5510610305613</c:v>
                </c:pt>
                <c:pt idx="323">
                  <c:v>17.479202236515</c:v>
                </c:pt>
                <c:pt idx="324">
                  <c:v>17.4079155252409</c:v>
                </c:pt>
                <c:pt idx="325">
                  <c:v>17.3371921121888</c:v>
                </c:pt>
                <c:pt idx="326">
                  <c:v>17.2670234070186</c:v>
                </c:pt>
                <c:pt idx="327">
                  <c:v>17.1974010081297</c:v>
                </c:pt>
                <c:pt idx="328">
                  <c:v>17.1283166973722</c:v>
                </c:pt>
                <c:pt idx="329">
                  <c:v>17.059762434935</c:v>
                </c:pt>
                <c:pt idx="330">
                  <c:v>16.9917303544018</c:v>
                </c:pt>
                <c:pt idx="331">
                  <c:v>16.9242127579708</c:v>
                </c:pt>
                <c:pt idx="332">
                  <c:v>16.8572021118304</c:v>
                </c:pt>
                <c:pt idx="333">
                  <c:v>16.790691041687</c:v>
                </c:pt>
                <c:pt idx="334">
                  <c:v>16.7246723284372</c:v>
                </c:pt>
                <c:pt idx="335">
                  <c:v>16.6591389039805</c:v>
                </c:pt>
                <c:pt idx="336">
                  <c:v>16.5940838471673</c:v>
                </c:pt>
                <c:pt idx="337">
                  <c:v>16.5295003798763</c:v>
                </c:pt>
                <c:pt idx="338">
                  <c:v>16.4653818632178</c:v>
                </c:pt>
                <c:pt idx="339">
                  <c:v>16.4017217938569</c:v>
                </c:pt>
                <c:pt idx="340">
                  <c:v>16.3385138004543</c:v>
                </c:pt>
                <c:pt idx="341">
                  <c:v>16.2757516402176</c:v>
                </c:pt>
                <c:pt idx="342">
                  <c:v>16.2134291955626</c:v>
                </c:pt>
                <c:pt idx="343">
                  <c:v>16.1515404708774</c:v>
                </c:pt>
                <c:pt idx="344">
                  <c:v>16.0900795893874</c:v>
                </c:pt>
                <c:pt idx="345">
                  <c:v>16.0290407901177</c:v>
                </c:pt>
                <c:pt idx="346">
                  <c:v>15.9684184249486</c:v>
                </c:pt>
                <c:pt idx="347">
                  <c:v>15.9082069557612</c:v>
                </c:pt>
                <c:pt idx="348">
                  <c:v>15.8484009516705</c:v>
                </c:pt>
                <c:pt idx="349">
                  <c:v>15.7889950863417</c:v>
                </c:pt>
                <c:pt idx="350">
                  <c:v>15.7299841353887</c:v>
                </c:pt>
                <c:pt idx="351">
                  <c:v>15.6713629738495</c:v>
                </c:pt>
                <c:pt idx="352">
                  <c:v>15.6131265737383</c:v>
                </c:pt>
                <c:pt idx="353">
                  <c:v>15.5552700016697</c:v>
                </c:pt>
                <c:pt idx="354">
                  <c:v>15.4977884165534</c:v>
                </c:pt>
                <c:pt idx="355">
                  <c:v>15.4406770673575</c:v>
                </c:pt>
                <c:pt idx="356">
                  <c:v>15.3839312909366</c:v>
                </c:pt>
                <c:pt idx="357">
                  <c:v>15.3275465099242</c:v>
                </c:pt>
                <c:pt idx="358">
                  <c:v>15.2715182306855</c:v>
                </c:pt>
                <c:pt idx="359">
                  <c:v>15.2158420413304</c:v>
                </c:pt>
                <c:pt idx="360">
                  <c:v>15.1605136097826</c:v>
                </c:pt>
                <c:pt idx="361">
                  <c:v>15.1055286819054</c:v>
                </c:pt>
                <c:pt idx="362">
                  <c:v>15.0508830796795</c:v>
                </c:pt>
                <c:pt idx="363">
                  <c:v>14.996572699434</c:v>
                </c:pt>
                <c:pt idx="364">
                  <c:v>14.9425935101261</c:v>
                </c:pt>
                <c:pt idx="365">
                  <c:v>14.8889415516699</c:v>
                </c:pt>
                <c:pt idx="366">
                  <c:v>14.8356129333122</c:v>
                </c:pt>
                <c:pt idx="367">
                  <c:v>14.7826038320525</c:v>
                </c:pt>
                <c:pt idx="368">
                  <c:v>14.7299104911081</c:v>
                </c:pt>
                <c:pt idx="369">
                  <c:v>14.6775292184206</c:v>
                </c:pt>
                <c:pt idx="370">
                  <c:v>14.625456385204</c:v>
                </c:pt>
                <c:pt idx="371">
                  <c:v>14.573688424532</c:v>
                </c:pt>
                <c:pt idx="372">
                  <c:v>14.5222218299643</c:v>
                </c:pt>
                <c:pt idx="373">
                  <c:v>14.4710531542095</c:v>
                </c:pt>
                <c:pt idx="374">
                  <c:v>14.4201790078249</c:v>
                </c:pt>
                <c:pt idx="375">
                  <c:v>14.3695960579499</c:v>
                </c:pt>
                <c:pt idx="376">
                  <c:v>14.3193010270745</c:v>
                </c:pt>
                <c:pt idx="377">
                  <c:v>14.2692906918401</c:v>
                </c:pt>
                <c:pt idx="378">
                  <c:v>14.2195618818714</c:v>
                </c:pt>
                <c:pt idx="379">
                  <c:v>14.1701114786402</c:v>
                </c:pt>
                <c:pt idx="380">
                  <c:v>14.120936414358</c:v>
                </c:pt>
                <c:pt idx="381">
                  <c:v>14.0720336708983</c:v>
                </c:pt>
                <c:pt idx="382">
                  <c:v>14.0234002787461</c:v>
                </c:pt>
                <c:pt idx="383">
                  <c:v>13.9750333159751</c:v>
                </c:pt>
                <c:pt idx="384">
                  <c:v>13.9269299072512</c:v>
                </c:pt>
                <c:pt idx="385">
                  <c:v>13.8790872228613</c:v>
                </c:pt>
                <c:pt idx="386">
                  <c:v>13.8315024777674</c:v>
                </c:pt>
                <c:pt idx="387">
                  <c:v>13.7841729306835</c:v>
                </c:pt>
                <c:pt idx="388">
                  <c:v>13.7370958831774</c:v>
                </c:pt>
                <c:pt idx="389">
                  <c:v>13.6902686787942</c:v>
                </c:pt>
                <c:pt idx="390">
                  <c:v>13.6436887022017</c:v>
                </c:pt>
                <c:pt idx="391">
                  <c:v>13.5973533783575</c:v>
                </c:pt>
                <c:pt idx="392">
                  <c:v>13.5512601716965</c:v>
                </c:pt>
                <c:pt idx="393">
                  <c:v>13.5054065853388</c:v>
                </c:pt>
                <c:pt idx="394">
                  <c:v>13.4597901603168</c:v>
                </c:pt>
                <c:pt idx="395">
                  <c:v>13.414408474821</c:v>
                </c:pt>
                <c:pt idx="396">
                  <c:v>13.369259143465</c:v>
                </c:pt>
                <c:pt idx="397">
                  <c:v>13.3243398165677</c:v>
                </c:pt>
                <c:pt idx="398">
                  <c:v>13.2796481794528</c:v>
                </c:pt>
                <c:pt idx="399">
                  <c:v>13.2351819517658</c:v>
                </c:pt>
                <c:pt idx="400">
                  <c:v>13.1909388868064</c:v>
                </c:pt>
                <c:pt idx="401">
                  <c:v>13.146916770878</c:v>
                </c:pt>
                <c:pt idx="402">
                  <c:v>13.1031134226516</c:v>
                </c:pt>
                <c:pt idx="403">
                  <c:v>13.0595266925453</c:v>
                </c:pt>
                <c:pt idx="404">
                  <c:v>13.0161544621183</c:v>
                </c:pt>
                <c:pt idx="405">
                  <c:v>12.9729946434793</c:v>
                </c:pt>
                <c:pt idx="406">
                  <c:v>12.9300451787081</c:v>
                </c:pt>
                <c:pt idx="407">
                  <c:v>12.8873040392916</c:v>
                </c:pt>
                <c:pt idx="408">
                  <c:v>12.8447692255719</c:v>
                </c:pt>
                <c:pt idx="409">
                  <c:v>12.8024387662078</c:v>
                </c:pt>
                <c:pt idx="410">
                  <c:v>12.7603107176484</c:v>
                </c:pt>
                <c:pt idx="411">
                  <c:v>12.7183831636186</c:v>
                </c:pt>
                <c:pt idx="412">
                  <c:v>12.6766542146168</c:v>
                </c:pt>
                <c:pt idx="413">
                  <c:v>12.6351220074234</c:v>
                </c:pt>
                <c:pt idx="414">
                  <c:v>12.5937847046206</c:v>
                </c:pt>
                <c:pt idx="415">
                  <c:v>12.5526404941232</c:v>
                </c:pt>
                <c:pt idx="416">
                  <c:v>12.5116875887199</c:v>
                </c:pt>
                <c:pt idx="417">
                  <c:v>12.4709242256243</c:v>
                </c:pt>
                <c:pt idx="418">
                  <c:v>12.4303486660367</c:v>
                </c:pt>
                <c:pt idx="419">
                  <c:v>12.3899591947146</c:v>
                </c:pt>
                <c:pt idx="420">
                  <c:v>12.3497541195539</c:v>
                </c:pt>
                <c:pt idx="421">
                  <c:v>12.3097317711778</c:v>
                </c:pt>
                <c:pt idx="422">
                  <c:v>12.2698905025362</c:v>
                </c:pt>
                <c:pt idx="423">
                  <c:v>12.2302286885125</c:v>
                </c:pt>
                <c:pt idx="424">
                  <c:v>12.1907447255401</c:v>
                </c:pt>
                <c:pt idx="425">
                  <c:v>12.1514370312258</c:v>
                </c:pt>
                <c:pt idx="426">
                  <c:v>12.1123040439829</c:v>
                </c:pt>
                <c:pt idx="427">
                  <c:v>12.0733442226707</c:v>
                </c:pt>
                <c:pt idx="428">
                  <c:v>12.0345560462425</c:v>
                </c:pt>
                <c:pt idx="429">
                  <c:v>11.9959380134012</c:v>
                </c:pt>
                <c:pt idx="430">
                  <c:v>11.9574886422614</c:v>
                </c:pt>
                <c:pt idx="431">
                  <c:v>11.9192064700194</c:v>
                </c:pt>
                <c:pt idx="432">
                  <c:v>11.8810900526295</c:v>
                </c:pt>
                <c:pt idx="433">
                  <c:v>11.8431379644878</c:v>
                </c:pt>
                <c:pt idx="434">
                  <c:v>11.8053487981221</c:v>
                </c:pt>
                <c:pt idx="435">
                  <c:v>11.7677211638877</c:v>
                </c:pt>
                <c:pt idx="436">
                  <c:v>11.730253689671</c:v>
                </c:pt>
                <c:pt idx="437">
                  <c:v>11.6929450205976</c:v>
                </c:pt>
                <c:pt idx="438">
                  <c:v>11.6557938187474</c:v>
                </c:pt>
                <c:pt idx="439">
                  <c:v>11.6187987628749</c:v>
                </c:pt>
                <c:pt idx="440">
                  <c:v>11.5819585481357</c:v>
                </c:pt>
                <c:pt idx="441">
                  <c:v>11.5452718858185</c:v>
                </c:pt>
                <c:pt idx="442">
                  <c:v>11.5087375030818</c:v>
                </c:pt>
                <c:pt idx="443">
                  <c:v>11.4723541426968</c:v>
                </c:pt>
                <c:pt idx="444">
                  <c:v>11.436120562795</c:v>
                </c:pt>
                <c:pt idx="445">
                  <c:v>11.4000355366209</c:v>
                </c:pt>
                <c:pt idx="446">
                  <c:v>11.3640978522896</c:v>
                </c:pt>
                <c:pt idx="447">
                  <c:v>11.3283063125492</c:v>
                </c:pt>
                <c:pt idx="448">
                  <c:v>11.292659734548</c:v>
                </c:pt>
                <c:pt idx="449">
                  <c:v>11.2571569496061</c:v>
                </c:pt>
                <c:pt idx="450">
                  <c:v>11.2217968029918</c:v>
                </c:pt>
                <c:pt idx="451">
                  <c:v>11.1865781537017</c:v>
                </c:pt>
                <c:pt idx="452">
                  <c:v>11.1514998742459</c:v>
                </c:pt>
                <c:pt idx="453">
                  <c:v>11.1165608504368</c:v>
                </c:pt>
                <c:pt idx="454">
                  <c:v>11.0817599811821</c:v>
                </c:pt>
                <c:pt idx="455">
                  <c:v>11.0470961782819</c:v>
                </c:pt>
                <c:pt idx="456">
                  <c:v>11.0125683662298</c:v>
                </c:pt>
                <c:pt idx="457">
                  <c:v>10.9781754820171</c:v>
                </c:pt>
                <c:pt idx="458">
                  <c:v>10.9439164749418</c:v>
                </c:pt>
                <c:pt idx="459">
                  <c:v>10.9097903064202</c:v>
                </c:pt>
                <c:pt idx="460">
                  <c:v>10.8757959498027</c:v>
                </c:pt>
                <c:pt idx="461">
                  <c:v>10.8419323901931</c:v>
                </c:pt>
                <c:pt idx="462">
                  <c:v>10.8081986242706</c:v>
                </c:pt>
                <c:pt idx="463">
                  <c:v>10.7745936601159</c:v>
                </c:pt>
                <c:pt idx="464">
                  <c:v>10.7411165170402</c:v>
                </c:pt>
                <c:pt idx="465">
                  <c:v>10.7077662254174</c:v>
                </c:pt>
                <c:pt idx="466">
                  <c:v>10.6745418265191</c:v>
                </c:pt>
                <c:pt idx="467">
                  <c:v>10.6414423723534</c:v>
                </c:pt>
                <c:pt idx="468">
                  <c:v>10.6084669255059</c:v>
                </c:pt>
                <c:pt idx="469">
                  <c:v>10.5756145589841</c:v>
                </c:pt>
                <c:pt idx="470">
                  <c:v>10.5428843560641</c:v>
                </c:pt>
                <c:pt idx="471">
                  <c:v>10.510275410141</c:v>
                </c:pt>
                <c:pt idx="472">
                  <c:v>10.4777868245806</c:v>
                </c:pt>
                <c:pt idx="473">
                  <c:v>10.4454177125755</c:v>
                </c:pt>
                <c:pt idx="474">
                  <c:v>10.4131671970023</c:v>
                </c:pt>
                <c:pt idx="475">
                  <c:v>10.3810344102821</c:v>
                </c:pt>
                <c:pt idx="476">
                  <c:v>10.3490184942435</c:v>
                </c:pt>
                <c:pt idx="477">
                  <c:v>10.3171185999877</c:v>
                </c:pt>
                <c:pt idx="478">
                  <c:v>10.285333887756</c:v>
                </c:pt>
                <c:pt idx="479">
                  <c:v>10.2536635268005</c:v>
                </c:pt>
                <c:pt idx="480">
                  <c:v>10.2221066952554</c:v>
                </c:pt>
                <c:pt idx="481">
                  <c:v>10.1906625800124</c:v>
                </c:pt>
                <c:pt idx="482">
                  <c:v>10.159330376597</c:v>
                </c:pt>
                <c:pt idx="483">
                  <c:v>10.1281092890474</c:v>
                </c:pt>
                <c:pt idx="484">
                  <c:v>10.0969985297956</c:v>
                </c:pt>
                <c:pt idx="485">
                  <c:v>10.0659973195504</c:v>
                </c:pt>
                <c:pt idx="486">
                  <c:v>10.0351048871825</c:v>
                </c:pt>
                <c:pt idx="487">
                  <c:v>10.0043204696114</c:v>
                </c:pt>
                <c:pt idx="488">
                  <c:v>9.97364331169465</c:v>
                </c:pt>
                <c:pt idx="489">
                  <c:v>9.94307266611839</c:v>
                </c:pt>
                <c:pt idx="490">
                  <c:v>9.9126077932903</c:v>
                </c:pt>
                <c:pt idx="491">
                  <c:v>9.88224796123412</c:v>
                </c:pt>
                <c:pt idx="492">
                  <c:v>9.85199244548595</c:v>
                </c:pt>
                <c:pt idx="493">
                  <c:v>9.82184052899236</c:v>
                </c:pt>
                <c:pt idx="494">
                  <c:v>9.79179150201018</c:v>
                </c:pt>
                <c:pt idx="495">
                  <c:v>9.76184466200798</c:v>
                </c:pt>
                <c:pt idx="496">
                  <c:v>9.7319993135692</c:v>
                </c:pt>
                <c:pt idx="497">
                  <c:v>9.70225476829688</c:v>
                </c:pt>
                <c:pt idx="498">
                  <c:v>9.67261034471997</c:v>
                </c:pt>
                <c:pt idx="499">
                  <c:v>9.64306536820122</c:v>
                </c:pt>
                <c:pt idx="500">
                  <c:v>9.61361917084654</c:v>
                </c:pt>
                <c:pt idx="501">
                  <c:v>9.58427109141589</c:v>
                </c:pt>
                <c:pt idx="502">
                  <c:v>9.55502047523563</c:v>
                </c:pt>
                <c:pt idx="503">
                  <c:v>9.52586667411223</c:v>
                </c:pt>
                <c:pt idx="504">
                  <c:v>9.49680904624752</c:v>
                </c:pt>
                <c:pt idx="505">
                  <c:v>9.46784695615517</c:v>
                </c:pt>
                <c:pt idx="506">
                  <c:v>9.43897977457865</c:v>
                </c:pt>
                <c:pt idx="507">
                  <c:v>9.41020687841039</c:v>
                </c:pt>
                <c:pt idx="508">
                  <c:v>9.38152765061234</c:v>
                </c:pt>
                <c:pt idx="509">
                  <c:v>9.35294148013776</c:v>
                </c:pt>
                <c:pt idx="510">
                  <c:v>9.32444776185425</c:v>
                </c:pt>
                <c:pt idx="511">
                  <c:v>9.29604589646804</c:v>
                </c:pt>
                <c:pt idx="512">
                  <c:v>9.26773529044946</c:v>
                </c:pt>
                <c:pt idx="513">
                  <c:v>9.23951535595956</c:v>
                </c:pt>
                <c:pt idx="514">
                  <c:v>9.21138551077797</c:v>
                </c:pt>
                <c:pt idx="515">
                  <c:v>9.18334517823182</c:v>
                </c:pt>
                <c:pt idx="516">
                  <c:v>9.15539378712579</c:v>
                </c:pt>
                <c:pt idx="517">
                  <c:v>9.12753077167329</c:v>
                </c:pt>
                <c:pt idx="518">
                  <c:v>9.09975557142865</c:v>
                </c:pt>
                <c:pt idx="519">
                  <c:v>9.07206763122048</c:v>
                </c:pt>
                <c:pt idx="520">
                  <c:v>9.04446640108588</c:v>
                </c:pt>
                <c:pt idx="521">
                  <c:v>9.01695133620584</c:v>
                </c:pt>
                <c:pt idx="522">
                  <c:v>8.98952189684155</c:v>
                </c:pt>
                <c:pt idx="523">
                  <c:v>8.96217754827171</c:v>
                </c:pt>
                <c:pt idx="524">
                  <c:v>8.93491776073077</c:v>
                </c:pt>
                <c:pt idx="525">
                  <c:v>8.90774200934817</c:v>
                </c:pt>
                <c:pt idx="526">
                  <c:v>8.88064977408845</c:v>
                </c:pt>
                <c:pt idx="527">
                  <c:v>8.85364053969231</c:v>
                </c:pt>
                <c:pt idx="528">
                  <c:v>8.8267137956185</c:v>
                </c:pt>
                <c:pt idx="529">
                  <c:v>8.79986903598668</c:v>
                </c:pt>
                <c:pt idx="530">
                  <c:v>8.77310575952108</c:v>
                </c:pt>
                <c:pt idx="531">
                  <c:v>8.74642346949499</c:v>
                </c:pt>
                <c:pt idx="532">
                  <c:v>8.71982167367611</c:v>
                </c:pt>
                <c:pt idx="533">
                  <c:v>8.69329988427274</c:v>
                </c:pt>
                <c:pt idx="534">
                  <c:v>8.66685761788069</c:v>
                </c:pt>
                <c:pt idx="535">
                  <c:v>8.64049439543109</c:v>
                </c:pt>
                <c:pt idx="536">
                  <c:v>8.61420974213885</c:v>
                </c:pt>
                <c:pt idx="537">
                  <c:v>8.58800318745195</c:v>
                </c:pt>
                <c:pt idx="538">
                  <c:v>8.56187426500151</c:v>
                </c:pt>
                <c:pt idx="539">
                  <c:v>8.53582251255247</c:v>
                </c:pt>
                <c:pt idx="540">
                  <c:v>8.50984747195514</c:v>
                </c:pt>
                <c:pt idx="541">
                  <c:v>8.48394868909732</c:v>
                </c:pt>
                <c:pt idx="542">
                  <c:v>8.45812571385723</c:v>
                </c:pt>
                <c:pt idx="543">
                  <c:v>8.43237810005703</c:v>
                </c:pt>
                <c:pt idx="544">
                  <c:v>8.40670540541709</c:v>
                </c:pt>
                <c:pt idx="545">
                  <c:v>8.38110719151084</c:v>
                </c:pt>
                <c:pt idx="546">
                  <c:v>8.35558302372032</c:v>
                </c:pt>
                <c:pt idx="547">
                  <c:v>8.3301324711924</c:v>
                </c:pt>
                <c:pt idx="548">
                  <c:v>8.30475510679551</c:v>
                </c:pt>
                <c:pt idx="549">
                  <c:v>8.27945050707712</c:v>
                </c:pt>
                <c:pt idx="550">
                  <c:v>8.25421825222173</c:v>
                </c:pt>
                <c:pt idx="551">
                  <c:v>8.22905792600951</c:v>
                </c:pt>
                <c:pt idx="552">
                  <c:v>8.20396911577546</c:v>
                </c:pt>
                <c:pt idx="553">
                  <c:v>8.17895141236925</c:v>
                </c:pt>
                <c:pt idx="554">
                  <c:v>8.15400441011552</c:v>
                </c:pt>
                <c:pt idx="555">
                  <c:v>8.12912770677477</c:v>
                </c:pt>
                <c:pt idx="556">
                  <c:v>8.10432090350485</c:v>
                </c:pt>
                <c:pt idx="557">
                  <c:v>8.07958360482291</c:v>
                </c:pt>
                <c:pt idx="558">
                  <c:v>8.0549154185679</c:v>
                </c:pt>
                <c:pt idx="559">
                  <c:v>8.03031595586365</c:v>
                </c:pt>
                <c:pt idx="560">
                  <c:v>8.00578483108236</c:v>
                </c:pt>
                <c:pt idx="561">
                  <c:v>7.98132166180867</c:v>
                </c:pt>
                <c:pt idx="562">
                  <c:v>7.95692606880419</c:v>
                </c:pt>
                <c:pt idx="563">
                  <c:v>7.93259767597254</c:v>
                </c:pt>
                <c:pt idx="564">
                  <c:v>7.90833611032483</c:v>
                </c:pt>
                <c:pt idx="565">
                  <c:v>7.88414100194567</c:v>
                </c:pt>
                <c:pt idx="566">
                  <c:v>7.86001198395956</c:v>
                </c:pt>
                <c:pt idx="567">
                  <c:v>7.83594869249782</c:v>
                </c:pt>
                <c:pt idx="568">
                  <c:v>7.81195076666592</c:v>
                </c:pt>
                <c:pt idx="569">
                  <c:v>7.78801784851126</c:v>
                </c:pt>
                <c:pt idx="570">
                  <c:v>7.76414958299138</c:v>
                </c:pt>
                <c:pt idx="571">
                  <c:v>7.7403456179426</c:v>
                </c:pt>
                <c:pt idx="572">
                  <c:v>7.7166056040491</c:v>
                </c:pt>
                <c:pt idx="573">
                  <c:v>7.69292919481239</c:v>
                </c:pt>
                <c:pt idx="574">
                  <c:v>7.66931604652116</c:v>
                </c:pt>
                <c:pt idx="575">
                  <c:v>7.64576581822161</c:v>
                </c:pt>
                <c:pt idx="576">
                  <c:v>7.62227817168808</c:v>
                </c:pt>
                <c:pt idx="577">
                  <c:v>7.59885277139417</c:v>
                </c:pt>
                <c:pt idx="578">
                  <c:v>7.57548928448411</c:v>
                </c:pt>
                <c:pt idx="579">
                  <c:v>7.55218738074464</c:v>
                </c:pt>
                <c:pt idx="580">
                  <c:v>7.52894673257718</c:v>
                </c:pt>
                <c:pt idx="581">
                  <c:v>7.50576701497038</c:v>
                </c:pt>
                <c:pt idx="582">
                  <c:v>7.48264790547302</c:v>
                </c:pt>
                <c:pt idx="583">
                  <c:v>7.45958908416731</c:v>
                </c:pt>
                <c:pt idx="584">
                  <c:v>7.43659023364247</c:v>
                </c:pt>
                <c:pt idx="585">
                  <c:v>7.41365103896868</c:v>
                </c:pt>
                <c:pt idx="586">
                  <c:v>7.39077118767141</c:v>
                </c:pt>
                <c:pt idx="587">
                  <c:v>7.36795036970597</c:v>
                </c:pt>
                <c:pt idx="588">
                  <c:v>7.34518827743254</c:v>
                </c:pt>
                <c:pt idx="589">
                  <c:v>7.32248460559138</c:v>
                </c:pt>
                <c:pt idx="590">
                  <c:v>7.29983905127841</c:v>
                </c:pt>
                <c:pt idx="591">
                  <c:v>7.27725131392115</c:v>
                </c:pt>
                <c:pt idx="592">
                  <c:v>7.25472109525489</c:v>
                </c:pt>
                <c:pt idx="593">
                  <c:v>7.2322480992992</c:v>
                </c:pt>
                <c:pt idx="594">
                  <c:v>7.20983203233472</c:v>
                </c:pt>
                <c:pt idx="595">
                  <c:v>7.1874726028803</c:v>
                </c:pt>
                <c:pt idx="596">
                  <c:v>7.1651695216703</c:v>
                </c:pt>
                <c:pt idx="597">
                  <c:v>7.14292250163237</c:v>
                </c:pt>
                <c:pt idx="598">
                  <c:v>7.12073125786526</c:v>
                </c:pt>
                <c:pt idx="599">
                  <c:v>7.09859550761717</c:v>
                </c:pt>
                <c:pt idx="600">
                  <c:v>7.07651497026417</c:v>
                </c:pt>
                <c:pt idx="601">
                  <c:v>7.054489367289</c:v>
                </c:pt>
                <c:pt idx="602">
                  <c:v>7.03251842226005</c:v>
                </c:pt>
                <c:pt idx="603">
                  <c:v>7.01060186081069</c:v>
                </c:pt>
                <c:pt idx="604">
                  <c:v>6.98873941061878</c:v>
                </c:pt>
                <c:pt idx="605">
                  <c:v>6.9669308013865</c:v>
                </c:pt>
                <c:pt idx="606">
                  <c:v>5.93970937071231</c:v>
                </c:pt>
                <c:pt idx="607">
                  <c:v>5.01897936422189</c:v>
                </c:pt>
                <c:pt idx="608">
                  <c:v>4.18436755241304</c:v>
                </c:pt>
                <c:pt idx="609">
                  <c:v>3.42080149508509</c:v>
                </c:pt>
                <c:pt idx="610">
                  <c:v>2.71681883549887</c:v>
                </c:pt>
                <c:pt idx="611">
                  <c:v>2.06350061664884</c:v>
                </c:pt>
                <c:pt idx="612">
                  <c:v>1.45377134514896</c:v>
                </c:pt>
                <c:pt idx="613">
                  <c:v>0.881924275119771</c:v>
                </c:pt>
                <c:pt idx="614">
                  <c:v>0.343290231821323</c:v>
                </c:pt>
                <c:pt idx="615">
                  <c:v>-0.165999124677671</c:v>
                </c:pt>
                <c:pt idx="616">
                  <c:v>-0.649184162730214</c:v>
                </c:pt>
                <c:pt idx="617">
                  <c:v>-1.10900588712852</c:v>
                </c:pt>
                <c:pt idx="618">
                  <c:v>-1.28692064113976</c:v>
                </c:pt>
                <c:pt idx="619">
                  <c:v>-1.46160928314042</c:v>
                </c:pt>
                <c:pt idx="620">
                  <c:v>-1.63319830349439</c:v>
                </c:pt>
                <c:pt idx="621">
                  <c:v>-1.80180707552373</c:v>
                </c:pt>
                <c:pt idx="622">
                  <c:v>-1.96754837663208</c:v>
                </c:pt>
                <c:pt idx="623">
                  <c:v>-2.13052886257965</c:v>
                </c:pt>
                <c:pt idx="624">
                  <c:v>-2.29084949987418</c:v>
                </c:pt>
                <c:pt idx="625">
                  <c:v>-2.44860596063958</c:v>
                </c:pt>
                <c:pt idx="626">
                  <c:v>-2.60388898380299</c:v>
                </c:pt>
                <c:pt idx="627">
                  <c:v>-2.75678470599027</c:v>
                </c:pt>
                <c:pt idx="628">
                  <c:v>-2.9073749651285</c:v>
                </c:pt>
                <c:pt idx="629">
                  <c:v>-3.0557375794136</c:v>
                </c:pt>
                <c:pt idx="630">
                  <c:v>-3.20194660400361</c:v>
                </c:pt>
                <c:pt idx="631">
                  <c:v>-3.34607256753921</c:v>
                </c:pt>
                <c:pt idx="632">
                  <c:v>-3.48818269036455</c:v>
                </c:pt>
                <c:pt idx="633">
                  <c:v>-3.62834108612236</c:v>
                </c:pt>
                <c:pt idx="634">
                  <c:v>-3.76660894822089</c:v>
                </c:pt>
                <c:pt idx="635">
                  <c:v>-3.90304472251557</c:v>
                </c:pt>
                <c:pt idx="636">
                  <c:v>-4.03770426741098</c:v>
                </c:pt>
                <c:pt idx="637">
                  <c:v>-4.17064100246768</c:v>
                </c:pt>
                <c:pt idx="638">
                  <c:v>-4.3019060464908</c:v>
                </c:pt>
                <c:pt idx="639">
                  <c:v>-4.43154834598187</c:v>
                </c:pt>
                <c:pt idx="640">
                  <c:v>-4.55961479475037</c:v>
                </c:pt>
                <c:pt idx="641">
                  <c:v>-4.68615034540572</c:v>
                </c:pt>
                <c:pt idx="642">
                  <c:v>-4.81119811338267</c:v>
                </c:pt>
                <c:pt idx="643">
                  <c:v>-4.934799474093</c:v>
                </c:pt>
                <c:pt idx="644">
                  <c:v>-5.05699415374159</c:v>
                </c:pt>
                <c:pt idx="645">
                  <c:v>-5.17782031429707</c:v>
                </c:pt>
                <c:pt idx="646">
                  <c:v>-5.29731463306317</c:v>
                </c:pt>
                <c:pt idx="647">
                  <c:v>-5.41551237725772</c:v>
                </c:pt>
                <c:pt idx="648">
                  <c:v>-5.53244747397103</c:v>
                </c:pt>
                <c:pt idx="649">
                  <c:v>-5.64815257584342</c:v>
                </c:pt>
                <c:pt idx="650">
                  <c:v>-5.76265912277269</c:v>
                </c:pt>
                <c:pt idx="651">
                  <c:v>-5.87599739993678</c:v>
                </c:pt>
                <c:pt idx="652">
                  <c:v>-5.98819659239257</c:v>
                </c:pt>
                <c:pt idx="653">
                  <c:v>-6.09928483649108</c:v>
                </c:pt>
                <c:pt idx="654">
                  <c:v>-6.2092892683295</c:v>
                </c:pt>
                <c:pt idx="655">
                  <c:v>-6.31823606944298</c:v>
                </c:pt>
                <c:pt idx="656">
                  <c:v>-6.42615050992315</c:v>
                </c:pt>
                <c:pt idx="657">
                  <c:v>-6.53305698913553</c:v>
                </c:pt>
                <c:pt idx="658">
                  <c:v>-6.63897907419493</c:v>
                </c:pt>
                <c:pt idx="659">
                  <c:v>-6.74393953634562</c:v>
                </c:pt>
                <c:pt idx="660">
                  <c:v>-6.84796038538193</c:v>
                </c:pt>
                <c:pt idx="661">
                  <c:v>-6.95106290223492</c:v>
                </c:pt>
                <c:pt idx="662">
                  <c:v>-7.05326766984135</c:v>
                </c:pt>
                <c:pt idx="663">
                  <c:v>-7.15459460240272</c:v>
                </c:pt>
                <c:pt idx="664">
                  <c:v>-7.25506297313431</c:v>
                </c:pt>
                <c:pt idx="665">
                  <c:v>-7.35469144059697</c:v>
                </c:pt>
                <c:pt idx="666">
                  <c:v>-7.45349807369787</c:v>
                </c:pt>
                <c:pt idx="667">
                  <c:v>-7.55150037544044</c:v>
                </c:pt>
              </c:numCache>
            </c:numRef>
          </c:yVal>
        </c:ser>
        <c:axId val="18418"/>
        <c:axId val="10963"/>
      </c:scatterChart>
      <c:scatterChart>
        <c:scatterStyle val="lineMarker"/>
        <c:varyColors val="0"/>
        <c:ser>
          <c:idx val="0"/>
          <c:order val="0"/>
          <c:tx>
            <c:strRef>
              <c:f>"Actual Phase"</c:f>
              <c:strCache>
                <c:ptCount val="1"/>
                <c:pt idx="0">
                  <c:v>Actual Phase</c:v>
                </c:pt>
              </c:strCache>
            </c:strRef>
          </c:tx>
          <c:spPr>
            <a:solidFill>
              <a:srgbClr val="660066"/>
            </a:solidFill>
            <a:ln w="38160">
              <a:solidFill>
                <a:srgbClr val="660066"/>
              </a:solidFill>
              <a:round/>
            </a:ln>
          </c:spPr>
          <c:marker>
            <c:symbol val="none"/>
          </c:marker>
          <c:xVal>
            <c:numRef>
              <c:f>'Bode Plots Calculations'!$A$9:$A$676</c:f>
              <c:numCache>
                <c:formatCode>General</c:formatCode>
                <c:ptCount val="668"/>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1500</c:v>
                </c:pt>
                <c:pt idx="29">
                  <c:v>2000</c:v>
                </c:pt>
                <c:pt idx="30">
                  <c:v>2500</c:v>
                </c:pt>
                <c:pt idx="31">
                  <c:v>3000</c:v>
                </c:pt>
                <c:pt idx="32">
                  <c:v>3500</c:v>
                </c:pt>
                <c:pt idx="33">
                  <c:v>4000</c:v>
                </c:pt>
                <c:pt idx="34">
                  <c:v>4500</c:v>
                </c:pt>
                <c:pt idx="35">
                  <c:v>5000</c:v>
                </c:pt>
                <c:pt idx="36">
                  <c:v>5500</c:v>
                </c:pt>
                <c:pt idx="37">
                  <c:v>6000</c:v>
                </c:pt>
                <c:pt idx="38">
                  <c:v>6500</c:v>
                </c:pt>
                <c:pt idx="39">
                  <c:v>7000</c:v>
                </c:pt>
                <c:pt idx="40">
                  <c:v>7500</c:v>
                </c:pt>
                <c:pt idx="41">
                  <c:v>8000</c:v>
                </c:pt>
                <c:pt idx="42">
                  <c:v>8500</c:v>
                </c:pt>
                <c:pt idx="43">
                  <c:v>9000</c:v>
                </c:pt>
                <c:pt idx="44">
                  <c:v>9500</c:v>
                </c:pt>
                <c:pt idx="45">
                  <c:v>10000</c:v>
                </c:pt>
                <c:pt idx="46">
                  <c:v>10500</c:v>
                </c:pt>
                <c:pt idx="47">
                  <c:v>11000</c:v>
                </c:pt>
                <c:pt idx="48">
                  <c:v>11500</c:v>
                </c:pt>
                <c:pt idx="49">
                  <c:v>12000</c:v>
                </c:pt>
                <c:pt idx="50">
                  <c:v>12500</c:v>
                </c:pt>
                <c:pt idx="51">
                  <c:v>13000</c:v>
                </c:pt>
                <c:pt idx="52">
                  <c:v>13500</c:v>
                </c:pt>
                <c:pt idx="53">
                  <c:v>14000</c:v>
                </c:pt>
                <c:pt idx="54">
                  <c:v>14500</c:v>
                </c:pt>
                <c:pt idx="55">
                  <c:v>15000</c:v>
                </c:pt>
                <c:pt idx="56">
                  <c:v>15500</c:v>
                </c:pt>
                <c:pt idx="57">
                  <c:v>16000</c:v>
                </c:pt>
                <c:pt idx="58">
                  <c:v>16500</c:v>
                </c:pt>
                <c:pt idx="59">
                  <c:v>17000</c:v>
                </c:pt>
                <c:pt idx="60">
                  <c:v>17500</c:v>
                </c:pt>
                <c:pt idx="61">
                  <c:v>18000</c:v>
                </c:pt>
                <c:pt idx="62">
                  <c:v>18500</c:v>
                </c:pt>
                <c:pt idx="63">
                  <c:v>19000</c:v>
                </c:pt>
                <c:pt idx="64">
                  <c:v>19500</c:v>
                </c:pt>
                <c:pt idx="65">
                  <c:v>20000</c:v>
                </c:pt>
                <c:pt idx="66">
                  <c:v>20500</c:v>
                </c:pt>
                <c:pt idx="67">
                  <c:v>21000</c:v>
                </c:pt>
                <c:pt idx="68">
                  <c:v>21500</c:v>
                </c:pt>
                <c:pt idx="69">
                  <c:v>22000</c:v>
                </c:pt>
                <c:pt idx="70">
                  <c:v>22500</c:v>
                </c:pt>
                <c:pt idx="71">
                  <c:v>23000</c:v>
                </c:pt>
                <c:pt idx="72">
                  <c:v>23500</c:v>
                </c:pt>
                <c:pt idx="73">
                  <c:v>24000</c:v>
                </c:pt>
                <c:pt idx="74">
                  <c:v>24500</c:v>
                </c:pt>
                <c:pt idx="75">
                  <c:v>25000</c:v>
                </c:pt>
                <c:pt idx="76">
                  <c:v>25500</c:v>
                </c:pt>
                <c:pt idx="77">
                  <c:v>26000</c:v>
                </c:pt>
                <c:pt idx="78">
                  <c:v>26500</c:v>
                </c:pt>
                <c:pt idx="79">
                  <c:v>27000</c:v>
                </c:pt>
                <c:pt idx="80">
                  <c:v>27500</c:v>
                </c:pt>
                <c:pt idx="81">
                  <c:v>28000</c:v>
                </c:pt>
                <c:pt idx="82">
                  <c:v>28500</c:v>
                </c:pt>
                <c:pt idx="83">
                  <c:v>29000</c:v>
                </c:pt>
                <c:pt idx="84">
                  <c:v>29500</c:v>
                </c:pt>
                <c:pt idx="85">
                  <c:v>30000</c:v>
                </c:pt>
                <c:pt idx="86">
                  <c:v>30500</c:v>
                </c:pt>
                <c:pt idx="87">
                  <c:v>31000</c:v>
                </c:pt>
                <c:pt idx="88">
                  <c:v>31500</c:v>
                </c:pt>
                <c:pt idx="89">
                  <c:v>32000</c:v>
                </c:pt>
                <c:pt idx="90">
                  <c:v>32500</c:v>
                </c:pt>
                <c:pt idx="91">
                  <c:v>33000</c:v>
                </c:pt>
                <c:pt idx="92">
                  <c:v>33500</c:v>
                </c:pt>
                <c:pt idx="93">
                  <c:v>34000</c:v>
                </c:pt>
                <c:pt idx="94">
                  <c:v>34500</c:v>
                </c:pt>
                <c:pt idx="95">
                  <c:v>35000</c:v>
                </c:pt>
                <c:pt idx="96">
                  <c:v>35500</c:v>
                </c:pt>
                <c:pt idx="97">
                  <c:v>36000</c:v>
                </c:pt>
                <c:pt idx="98">
                  <c:v>36500</c:v>
                </c:pt>
                <c:pt idx="99">
                  <c:v>37000</c:v>
                </c:pt>
                <c:pt idx="100">
                  <c:v>37500</c:v>
                </c:pt>
                <c:pt idx="101">
                  <c:v>38000</c:v>
                </c:pt>
                <c:pt idx="102">
                  <c:v>38500</c:v>
                </c:pt>
                <c:pt idx="103">
                  <c:v>39000</c:v>
                </c:pt>
                <c:pt idx="104">
                  <c:v>39500</c:v>
                </c:pt>
                <c:pt idx="105">
                  <c:v>40000</c:v>
                </c:pt>
                <c:pt idx="106">
                  <c:v>40500</c:v>
                </c:pt>
                <c:pt idx="107">
                  <c:v>41000</c:v>
                </c:pt>
                <c:pt idx="108">
                  <c:v>41500</c:v>
                </c:pt>
                <c:pt idx="109">
                  <c:v>42000</c:v>
                </c:pt>
                <c:pt idx="110">
                  <c:v>42500</c:v>
                </c:pt>
                <c:pt idx="111">
                  <c:v>43000</c:v>
                </c:pt>
                <c:pt idx="112">
                  <c:v>43500</c:v>
                </c:pt>
                <c:pt idx="113">
                  <c:v>44000</c:v>
                </c:pt>
                <c:pt idx="114">
                  <c:v>44500</c:v>
                </c:pt>
                <c:pt idx="115">
                  <c:v>45000</c:v>
                </c:pt>
                <c:pt idx="116">
                  <c:v>45500</c:v>
                </c:pt>
                <c:pt idx="117">
                  <c:v>46000</c:v>
                </c:pt>
                <c:pt idx="118">
                  <c:v>46500</c:v>
                </c:pt>
                <c:pt idx="119">
                  <c:v>47000</c:v>
                </c:pt>
                <c:pt idx="120">
                  <c:v>47500</c:v>
                </c:pt>
                <c:pt idx="121">
                  <c:v>48000</c:v>
                </c:pt>
                <c:pt idx="122">
                  <c:v>48500</c:v>
                </c:pt>
                <c:pt idx="123">
                  <c:v>49000</c:v>
                </c:pt>
                <c:pt idx="124">
                  <c:v>49500</c:v>
                </c:pt>
                <c:pt idx="125">
                  <c:v>50000</c:v>
                </c:pt>
                <c:pt idx="126">
                  <c:v>50500</c:v>
                </c:pt>
                <c:pt idx="127">
                  <c:v>51000</c:v>
                </c:pt>
                <c:pt idx="128">
                  <c:v>51500</c:v>
                </c:pt>
                <c:pt idx="129">
                  <c:v>52000</c:v>
                </c:pt>
                <c:pt idx="130">
                  <c:v>52500</c:v>
                </c:pt>
                <c:pt idx="131">
                  <c:v>53000</c:v>
                </c:pt>
                <c:pt idx="132">
                  <c:v>53500</c:v>
                </c:pt>
                <c:pt idx="133">
                  <c:v>54000</c:v>
                </c:pt>
                <c:pt idx="134">
                  <c:v>54500</c:v>
                </c:pt>
                <c:pt idx="135">
                  <c:v>55000</c:v>
                </c:pt>
                <c:pt idx="136">
                  <c:v>55500</c:v>
                </c:pt>
                <c:pt idx="137">
                  <c:v>56000</c:v>
                </c:pt>
                <c:pt idx="138">
                  <c:v>56500</c:v>
                </c:pt>
                <c:pt idx="139">
                  <c:v>57000</c:v>
                </c:pt>
                <c:pt idx="140">
                  <c:v>57500</c:v>
                </c:pt>
                <c:pt idx="141">
                  <c:v>58000</c:v>
                </c:pt>
                <c:pt idx="142">
                  <c:v>58500</c:v>
                </c:pt>
                <c:pt idx="143">
                  <c:v>59000</c:v>
                </c:pt>
                <c:pt idx="144">
                  <c:v>59500</c:v>
                </c:pt>
                <c:pt idx="145">
                  <c:v>60000</c:v>
                </c:pt>
                <c:pt idx="146">
                  <c:v>60500</c:v>
                </c:pt>
                <c:pt idx="147">
                  <c:v>61000</c:v>
                </c:pt>
                <c:pt idx="148">
                  <c:v>61500</c:v>
                </c:pt>
                <c:pt idx="149">
                  <c:v>62000</c:v>
                </c:pt>
                <c:pt idx="150">
                  <c:v>62500</c:v>
                </c:pt>
                <c:pt idx="151">
                  <c:v>63000</c:v>
                </c:pt>
                <c:pt idx="152">
                  <c:v>63500</c:v>
                </c:pt>
                <c:pt idx="153">
                  <c:v>64000</c:v>
                </c:pt>
                <c:pt idx="154">
                  <c:v>64500</c:v>
                </c:pt>
                <c:pt idx="155">
                  <c:v>65000</c:v>
                </c:pt>
                <c:pt idx="156">
                  <c:v>65500</c:v>
                </c:pt>
                <c:pt idx="157">
                  <c:v>66000</c:v>
                </c:pt>
                <c:pt idx="158">
                  <c:v>66500</c:v>
                </c:pt>
                <c:pt idx="159">
                  <c:v>67000</c:v>
                </c:pt>
                <c:pt idx="160">
                  <c:v>67500</c:v>
                </c:pt>
                <c:pt idx="161">
                  <c:v>68000</c:v>
                </c:pt>
                <c:pt idx="162">
                  <c:v>68500</c:v>
                </c:pt>
                <c:pt idx="163">
                  <c:v>69000</c:v>
                </c:pt>
                <c:pt idx="164">
                  <c:v>69500</c:v>
                </c:pt>
                <c:pt idx="165">
                  <c:v>70000</c:v>
                </c:pt>
                <c:pt idx="166">
                  <c:v>70500</c:v>
                </c:pt>
                <c:pt idx="167">
                  <c:v>71000</c:v>
                </c:pt>
                <c:pt idx="168">
                  <c:v>71500</c:v>
                </c:pt>
                <c:pt idx="169">
                  <c:v>72000</c:v>
                </c:pt>
                <c:pt idx="170">
                  <c:v>72500</c:v>
                </c:pt>
                <c:pt idx="171">
                  <c:v>73000</c:v>
                </c:pt>
                <c:pt idx="172">
                  <c:v>73500</c:v>
                </c:pt>
                <c:pt idx="173">
                  <c:v>74000</c:v>
                </c:pt>
                <c:pt idx="174">
                  <c:v>74500</c:v>
                </c:pt>
                <c:pt idx="175">
                  <c:v>75000</c:v>
                </c:pt>
                <c:pt idx="176">
                  <c:v>75500</c:v>
                </c:pt>
                <c:pt idx="177">
                  <c:v>76000</c:v>
                </c:pt>
                <c:pt idx="178">
                  <c:v>76500</c:v>
                </c:pt>
                <c:pt idx="179">
                  <c:v>77000</c:v>
                </c:pt>
                <c:pt idx="180">
                  <c:v>77500</c:v>
                </c:pt>
                <c:pt idx="181">
                  <c:v>78000</c:v>
                </c:pt>
                <c:pt idx="182">
                  <c:v>78500</c:v>
                </c:pt>
                <c:pt idx="183">
                  <c:v>79000</c:v>
                </c:pt>
                <c:pt idx="184">
                  <c:v>79500</c:v>
                </c:pt>
                <c:pt idx="185">
                  <c:v>80000</c:v>
                </c:pt>
                <c:pt idx="186">
                  <c:v>80500</c:v>
                </c:pt>
                <c:pt idx="187">
                  <c:v>81000</c:v>
                </c:pt>
                <c:pt idx="188">
                  <c:v>81500</c:v>
                </c:pt>
                <c:pt idx="189">
                  <c:v>82000</c:v>
                </c:pt>
                <c:pt idx="190">
                  <c:v>82500</c:v>
                </c:pt>
                <c:pt idx="191">
                  <c:v>83000</c:v>
                </c:pt>
                <c:pt idx="192">
                  <c:v>83500</c:v>
                </c:pt>
                <c:pt idx="193">
                  <c:v>84000</c:v>
                </c:pt>
                <c:pt idx="194">
                  <c:v>84500</c:v>
                </c:pt>
                <c:pt idx="195">
                  <c:v>85000</c:v>
                </c:pt>
                <c:pt idx="196">
                  <c:v>85500</c:v>
                </c:pt>
                <c:pt idx="197">
                  <c:v>86000</c:v>
                </c:pt>
                <c:pt idx="198">
                  <c:v>86500</c:v>
                </c:pt>
                <c:pt idx="199">
                  <c:v>87000</c:v>
                </c:pt>
                <c:pt idx="200">
                  <c:v>87500</c:v>
                </c:pt>
                <c:pt idx="201">
                  <c:v>88000</c:v>
                </c:pt>
                <c:pt idx="202">
                  <c:v>88500</c:v>
                </c:pt>
                <c:pt idx="203">
                  <c:v>89000</c:v>
                </c:pt>
                <c:pt idx="204">
                  <c:v>89500</c:v>
                </c:pt>
                <c:pt idx="205">
                  <c:v>90000</c:v>
                </c:pt>
                <c:pt idx="206">
                  <c:v>90500</c:v>
                </c:pt>
                <c:pt idx="207">
                  <c:v>91000</c:v>
                </c:pt>
                <c:pt idx="208">
                  <c:v>91500</c:v>
                </c:pt>
                <c:pt idx="209">
                  <c:v>92000</c:v>
                </c:pt>
                <c:pt idx="210">
                  <c:v>92500</c:v>
                </c:pt>
                <c:pt idx="211">
                  <c:v>93000</c:v>
                </c:pt>
                <c:pt idx="212">
                  <c:v>93500</c:v>
                </c:pt>
                <c:pt idx="213">
                  <c:v>94000</c:v>
                </c:pt>
                <c:pt idx="214">
                  <c:v>94500</c:v>
                </c:pt>
                <c:pt idx="215">
                  <c:v>95000</c:v>
                </c:pt>
                <c:pt idx="216">
                  <c:v>95500</c:v>
                </c:pt>
                <c:pt idx="217">
                  <c:v>96000</c:v>
                </c:pt>
                <c:pt idx="218">
                  <c:v>96500</c:v>
                </c:pt>
                <c:pt idx="219">
                  <c:v>97000</c:v>
                </c:pt>
                <c:pt idx="220">
                  <c:v>97500</c:v>
                </c:pt>
                <c:pt idx="221">
                  <c:v>98000</c:v>
                </c:pt>
                <c:pt idx="222">
                  <c:v>98500</c:v>
                </c:pt>
                <c:pt idx="223">
                  <c:v>99000</c:v>
                </c:pt>
                <c:pt idx="224">
                  <c:v>99500</c:v>
                </c:pt>
                <c:pt idx="225">
                  <c:v>100000</c:v>
                </c:pt>
                <c:pt idx="226">
                  <c:v>105000</c:v>
                </c:pt>
                <c:pt idx="227">
                  <c:v>110000</c:v>
                </c:pt>
                <c:pt idx="228">
                  <c:v>115000</c:v>
                </c:pt>
                <c:pt idx="229">
                  <c:v>120000</c:v>
                </c:pt>
                <c:pt idx="230">
                  <c:v>125000</c:v>
                </c:pt>
                <c:pt idx="231">
                  <c:v>130000</c:v>
                </c:pt>
                <c:pt idx="232">
                  <c:v>135000</c:v>
                </c:pt>
                <c:pt idx="233">
                  <c:v>140000</c:v>
                </c:pt>
                <c:pt idx="234">
                  <c:v>145000</c:v>
                </c:pt>
                <c:pt idx="235">
                  <c:v>150000</c:v>
                </c:pt>
                <c:pt idx="236">
                  <c:v>155000</c:v>
                </c:pt>
                <c:pt idx="237">
                  <c:v>160000</c:v>
                </c:pt>
                <c:pt idx="238">
                  <c:v>165000</c:v>
                </c:pt>
                <c:pt idx="239">
                  <c:v>170000</c:v>
                </c:pt>
                <c:pt idx="240">
                  <c:v>175000</c:v>
                </c:pt>
                <c:pt idx="241">
                  <c:v>180000</c:v>
                </c:pt>
                <c:pt idx="242">
                  <c:v>185000</c:v>
                </c:pt>
                <c:pt idx="243">
                  <c:v>190000</c:v>
                </c:pt>
                <c:pt idx="244">
                  <c:v>195000</c:v>
                </c:pt>
                <c:pt idx="245">
                  <c:v>200000</c:v>
                </c:pt>
                <c:pt idx="246">
                  <c:v>205000</c:v>
                </c:pt>
                <c:pt idx="247">
                  <c:v>210000</c:v>
                </c:pt>
                <c:pt idx="248">
                  <c:v>215000</c:v>
                </c:pt>
                <c:pt idx="249">
                  <c:v>220000</c:v>
                </c:pt>
                <c:pt idx="250">
                  <c:v>225000</c:v>
                </c:pt>
                <c:pt idx="251">
                  <c:v>230000</c:v>
                </c:pt>
                <c:pt idx="252">
                  <c:v>235000</c:v>
                </c:pt>
                <c:pt idx="253">
                  <c:v>240000</c:v>
                </c:pt>
                <c:pt idx="254">
                  <c:v>245000</c:v>
                </c:pt>
                <c:pt idx="255">
                  <c:v>250000</c:v>
                </c:pt>
                <c:pt idx="256">
                  <c:v>255000</c:v>
                </c:pt>
                <c:pt idx="257">
                  <c:v>260000</c:v>
                </c:pt>
                <c:pt idx="258">
                  <c:v>265000</c:v>
                </c:pt>
                <c:pt idx="259">
                  <c:v>270000</c:v>
                </c:pt>
                <c:pt idx="260">
                  <c:v>275000</c:v>
                </c:pt>
                <c:pt idx="261">
                  <c:v>280000</c:v>
                </c:pt>
                <c:pt idx="262">
                  <c:v>285000</c:v>
                </c:pt>
                <c:pt idx="263">
                  <c:v>290000</c:v>
                </c:pt>
                <c:pt idx="264">
                  <c:v>295000</c:v>
                </c:pt>
                <c:pt idx="265">
                  <c:v>300000</c:v>
                </c:pt>
                <c:pt idx="266">
                  <c:v>305000</c:v>
                </c:pt>
                <c:pt idx="267">
                  <c:v>310000</c:v>
                </c:pt>
                <c:pt idx="268">
                  <c:v>315000</c:v>
                </c:pt>
                <c:pt idx="269">
                  <c:v>320000</c:v>
                </c:pt>
                <c:pt idx="270">
                  <c:v>325000</c:v>
                </c:pt>
                <c:pt idx="271">
                  <c:v>330000</c:v>
                </c:pt>
                <c:pt idx="272">
                  <c:v>335000</c:v>
                </c:pt>
                <c:pt idx="273">
                  <c:v>340000</c:v>
                </c:pt>
                <c:pt idx="274">
                  <c:v>345000</c:v>
                </c:pt>
                <c:pt idx="275">
                  <c:v>350000</c:v>
                </c:pt>
                <c:pt idx="276">
                  <c:v>355000</c:v>
                </c:pt>
                <c:pt idx="277">
                  <c:v>360000</c:v>
                </c:pt>
                <c:pt idx="278">
                  <c:v>365000</c:v>
                </c:pt>
                <c:pt idx="279">
                  <c:v>370000</c:v>
                </c:pt>
                <c:pt idx="280">
                  <c:v>375000</c:v>
                </c:pt>
                <c:pt idx="281">
                  <c:v>380000</c:v>
                </c:pt>
                <c:pt idx="282">
                  <c:v>385000</c:v>
                </c:pt>
                <c:pt idx="283">
                  <c:v>390000</c:v>
                </c:pt>
                <c:pt idx="284">
                  <c:v>395000</c:v>
                </c:pt>
                <c:pt idx="285">
                  <c:v>400000</c:v>
                </c:pt>
                <c:pt idx="286">
                  <c:v>405000</c:v>
                </c:pt>
                <c:pt idx="287">
                  <c:v>410000</c:v>
                </c:pt>
                <c:pt idx="288">
                  <c:v>415000</c:v>
                </c:pt>
                <c:pt idx="289">
                  <c:v>420000</c:v>
                </c:pt>
                <c:pt idx="290">
                  <c:v>425000</c:v>
                </c:pt>
                <c:pt idx="291">
                  <c:v>430000</c:v>
                </c:pt>
                <c:pt idx="292">
                  <c:v>435000</c:v>
                </c:pt>
                <c:pt idx="293">
                  <c:v>440000</c:v>
                </c:pt>
                <c:pt idx="294">
                  <c:v>445000</c:v>
                </c:pt>
                <c:pt idx="295">
                  <c:v>450000</c:v>
                </c:pt>
                <c:pt idx="296">
                  <c:v>455000</c:v>
                </c:pt>
                <c:pt idx="297">
                  <c:v>460000</c:v>
                </c:pt>
                <c:pt idx="298">
                  <c:v>465000</c:v>
                </c:pt>
                <c:pt idx="299">
                  <c:v>470000</c:v>
                </c:pt>
                <c:pt idx="300">
                  <c:v>475000</c:v>
                </c:pt>
                <c:pt idx="301">
                  <c:v>480000</c:v>
                </c:pt>
                <c:pt idx="302">
                  <c:v>485000</c:v>
                </c:pt>
                <c:pt idx="303">
                  <c:v>490000</c:v>
                </c:pt>
                <c:pt idx="304">
                  <c:v>495000</c:v>
                </c:pt>
                <c:pt idx="305">
                  <c:v>500000</c:v>
                </c:pt>
                <c:pt idx="306">
                  <c:v>505000</c:v>
                </c:pt>
                <c:pt idx="307">
                  <c:v>510000</c:v>
                </c:pt>
                <c:pt idx="308">
                  <c:v>515000</c:v>
                </c:pt>
                <c:pt idx="309">
                  <c:v>520000</c:v>
                </c:pt>
                <c:pt idx="310">
                  <c:v>525000</c:v>
                </c:pt>
                <c:pt idx="311">
                  <c:v>530000</c:v>
                </c:pt>
                <c:pt idx="312">
                  <c:v>535000</c:v>
                </c:pt>
                <c:pt idx="313">
                  <c:v>540000</c:v>
                </c:pt>
                <c:pt idx="314">
                  <c:v>545000</c:v>
                </c:pt>
                <c:pt idx="315">
                  <c:v>550000</c:v>
                </c:pt>
                <c:pt idx="316">
                  <c:v>555000</c:v>
                </c:pt>
                <c:pt idx="317">
                  <c:v>560000</c:v>
                </c:pt>
                <c:pt idx="318">
                  <c:v>565000</c:v>
                </c:pt>
                <c:pt idx="319">
                  <c:v>570000</c:v>
                </c:pt>
                <c:pt idx="320">
                  <c:v>575000</c:v>
                </c:pt>
                <c:pt idx="321">
                  <c:v>580000</c:v>
                </c:pt>
                <c:pt idx="322">
                  <c:v>585000</c:v>
                </c:pt>
                <c:pt idx="323">
                  <c:v>590000</c:v>
                </c:pt>
                <c:pt idx="324">
                  <c:v>595000</c:v>
                </c:pt>
                <c:pt idx="325">
                  <c:v>600000</c:v>
                </c:pt>
                <c:pt idx="326">
                  <c:v>605000</c:v>
                </c:pt>
                <c:pt idx="327">
                  <c:v>610000</c:v>
                </c:pt>
                <c:pt idx="328">
                  <c:v>615000</c:v>
                </c:pt>
                <c:pt idx="329">
                  <c:v>620000</c:v>
                </c:pt>
                <c:pt idx="330">
                  <c:v>625000</c:v>
                </c:pt>
                <c:pt idx="331">
                  <c:v>630000</c:v>
                </c:pt>
                <c:pt idx="332">
                  <c:v>635000</c:v>
                </c:pt>
                <c:pt idx="333">
                  <c:v>640000</c:v>
                </c:pt>
                <c:pt idx="334">
                  <c:v>645000</c:v>
                </c:pt>
                <c:pt idx="335">
                  <c:v>650000</c:v>
                </c:pt>
                <c:pt idx="336">
                  <c:v>655000</c:v>
                </c:pt>
                <c:pt idx="337">
                  <c:v>660000</c:v>
                </c:pt>
                <c:pt idx="338">
                  <c:v>665000</c:v>
                </c:pt>
                <c:pt idx="339">
                  <c:v>670000</c:v>
                </c:pt>
                <c:pt idx="340">
                  <c:v>675000</c:v>
                </c:pt>
                <c:pt idx="341">
                  <c:v>680000</c:v>
                </c:pt>
                <c:pt idx="342">
                  <c:v>685000</c:v>
                </c:pt>
                <c:pt idx="343">
                  <c:v>690000</c:v>
                </c:pt>
                <c:pt idx="344">
                  <c:v>695000</c:v>
                </c:pt>
                <c:pt idx="345">
                  <c:v>700000</c:v>
                </c:pt>
                <c:pt idx="346">
                  <c:v>705000</c:v>
                </c:pt>
                <c:pt idx="347">
                  <c:v>710000</c:v>
                </c:pt>
                <c:pt idx="348">
                  <c:v>715000</c:v>
                </c:pt>
                <c:pt idx="349">
                  <c:v>720000</c:v>
                </c:pt>
                <c:pt idx="350">
                  <c:v>725000</c:v>
                </c:pt>
                <c:pt idx="351">
                  <c:v>730000</c:v>
                </c:pt>
                <c:pt idx="352">
                  <c:v>735000</c:v>
                </c:pt>
                <c:pt idx="353">
                  <c:v>740000</c:v>
                </c:pt>
                <c:pt idx="354">
                  <c:v>745000</c:v>
                </c:pt>
                <c:pt idx="355">
                  <c:v>750000</c:v>
                </c:pt>
                <c:pt idx="356">
                  <c:v>755000</c:v>
                </c:pt>
                <c:pt idx="357">
                  <c:v>760000</c:v>
                </c:pt>
                <c:pt idx="358">
                  <c:v>765000</c:v>
                </c:pt>
                <c:pt idx="359">
                  <c:v>770000</c:v>
                </c:pt>
                <c:pt idx="360">
                  <c:v>775000</c:v>
                </c:pt>
                <c:pt idx="361">
                  <c:v>780000</c:v>
                </c:pt>
                <c:pt idx="362">
                  <c:v>785000</c:v>
                </c:pt>
                <c:pt idx="363">
                  <c:v>790000</c:v>
                </c:pt>
                <c:pt idx="364">
                  <c:v>795000</c:v>
                </c:pt>
                <c:pt idx="365">
                  <c:v>800000</c:v>
                </c:pt>
                <c:pt idx="366">
                  <c:v>805000</c:v>
                </c:pt>
                <c:pt idx="367">
                  <c:v>810000</c:v>
                </c:pt>
                <c:pt idx="368">
                  <c:v>815000</c:v>
                </c:pt>
                <c:pt idx="369">
                  <c:v>820000</c:v>
                </c:pt>
                <c:pt idx="370">
                  <c:v>825000</c:v>
                </c:pt>
                <c:pt idx="371">
                  <c:v>830000</c:v>
                </c:pt>
                <c:pt idx="372">
                  <c:v>835000</c:v>
                </c:pt>
                <c:pt idx="373">
                  <c:v>840000</c:v>
                </c:pt>
                <c:pt idx="374">
                  <c:v>845000</c:v>
                </c:pt>
                <c:pt idx="375">
                  <c:v>850000</c:v>
                </c:pt>
                <c:pt idx="376">
                  <c:v>855000</c:v>
                </c:pt>
                <c:pt idx="377">
                  <c:v>860000</c:v>
                </c:pt>
                <c:pt idx="378">
                  <c:v>865000</c:v>
                </c:pt>
                <c:pt idx="379">
                  <c:v>870000</c:v>
                </c:pt>
                <c:pt idx="380">
                  <c:v>875000</c:v>
                </c:pt>
                <c:pt idx="381">
                  <c:v>880000</c:v>
                </c:pt>
                <c:pt idx="382">
                  <c:v>885000</c:v>
                </c:pt>
                <c:pt idx="383">
                  <c:v>890000</c:v>
                </c:pt>
                <c:pt idx="384">
                  <c:v>895000</c:v>
                </c:pt>
                <c:pt idx="385">
                  <c:v>900000</c:v>
                </c:pt>
                <c:pt idx="386">
                  <c:v>905000</c:v>
                </c:pt>
                <c:pt idx="387">
                  <c:v>910000</c:v>
                </c:pt>
                <c:pt idx="388">
                  <c:v>915000</c:v>
                </c:pt>
                <c:pt idx="389">
                  <c:v>920000</c:v>
                </c:pt>
                <c:pt idx="390">
                  <c:v>925000</c:v>
                </c:pt>
                <c:pt idx="391">
                  <c:v>930000</c:v>
                </c:pt>
                <c:pt idx="392">
                  <c:v>935000</c:v>
                </c:pt>
                <c:pt idx="393">
                  <c:v>940000</c:v>
                </c:pt>
                <c:pt idx="394">
                  <c:v>945000</c:v>
                </c:pt>
                <c:pt idx="395">
                  <c:v>950000</c:v>
                </c:pt>
                <c:pt idx="396">
                  <c:v>955000</c:v>
                </c:pt>
                <c:pt idx="397">
                  <c:v>960000</c:v>
                </c:pt>
                <c:pt idx="398">
                  <c:v>965000</c:v>
                </c:pt>
                <c:pt idx="399">
                  <c:v>970000</c:v>
                </c:pt>
                <c:pt idx="400">
                  <c:v>975000</c:v>
                </c:pt>
                <c:pt idx="401">
                  <c:v>980000</c:v>
                </c:pt>
                <c:pt idx="402">
                  <c:v>985000</c:v>
                </c:pt>
                <c:pt idx="403">
                  <c:v>990000</c:v>
                </c:pt>
                <c:pt idx="404">
                  <c:v>995000</c:v>
                </c:pt>
                <c:pt idx="405">
                  <c:v>1000000</c:v>
                </c:pt>
                <c:pt idx="406">
                  <c:v>1005000</c:v>
                </c:pt>
                <c:pt idx="407">
                  <c:v>1010000</c:v>
                </c:pt>
                <c:pt idx="408">
                  <c:v>1015000</c:v>
                </c:pt>
                <c:pt idx="409">
                  <c:v>1020000</c:v>
                </c:pt>
                <c:pt idx="410">
                  <c:v>1025000</c:v>
                </c:pt>
                <c:pt idx="411">
                  <c:v>1030000</c:v>
                </c:pt>
                <c:pt idx="412">
                  <c:v>1035000</c:v>
                </c:pt>
                <c:pt idx="413">
                  <c:v>1040000</c:v>
                </c:pt>
                <c:pt idx="414">
                  <c:v>1045000</c:v>
                </c:pt>
                <c:pt idx="415">
                  <c:v>1050000</c:v>
                </c:pt>
                <c:pt idx="416">
                  <c:v>1055000</c:v>
                </c:pt>
                <c:pt idx="417">
                  <c:v>1060000</c:v>
                </c:pt>
                <c:pt idx="418">
                  <c:v>1065000</c:v>
                </c:pt>
                <c:pt idx="419">
                  <c:v>1070000</c:v>
                </c:pt>
                <c:pt idx="420">
                  <c:v>1075000</c:v>
                </c:pt>
                <c:pt idx="421">
                  <c:v>1080000</c:v>
                </c:pt>
                <c:pt idx="422">
                  <c:v>1085000</c:v>
                </c:pt>
                <c:pt idx="423">
                  <c:v>1090000</c:v>
                </c:pt>
                <c:pt idx="424">
                  <c:v>1095000</c:v>
                </c:pt>
                <c:pt idx="425">
                  <c:v>1100000</c:v>
                </c:pt>
                <c:pt idx="426">
                  <c:v>1105000</c:v>
                </c:pt>
                <c:pt idx="427">
                  <c:v>1110000</c:v>
                </c:pt>
                <c:pt idx="428">
                  <c:v>1115000</c:v>
                </c:pt>
                <c:pt idx="429">
                  <c:v>1120000</c:v>
                </c:pt>
                <c:pt idx="430">
                  <c:v>1125000</c:v>
                </c:pt>
                <c:pt idx="431">
                  <c:v>1130000</c:v>
                </c:pt>
                <c:pt idx="432">
                  <c:v>1135000</c:v>
                </c:pt>
                <c:pt idx="433">
                  <c:v>1140000</c:v>
                </c:pt>
                <c:pt idx="434">
                  <c:v>1145000</c:v>
                </c:pt>
                <c:pt idx="435">
                  <c:v>1150000</c:v>
                </c:pt>
                <c:pt idx="436">
                  <c:v>1155000</c:v>
                </c:pt>
                <c:pt idx="437">
                  <c:v>1160000</c:v>
                </c:pt>
                <c:pt idx="438">
                  <c:v>1165000</c:v>
                </c:pt>
                <c:pt idx="439">
                  <c:v>1170000</c:v>
                </c:pt>
                <c:pt idx="440">
                  <c:v>1175000</c:v>
                </c:pt>
                <c:pt idx="441">
                  <c:v>1180000</c:v>
                </c:pt>
                <c:pt idx="442">
                  <c:v>1185000</c:v>
                </c:pt>
                <c:pt idx="443">
                  <c:v>1190000</c:v>
                </c:pt>
                <c:pt idx="444">
                  <c:v>1195000</c:v>
                </c:pt>
                <c:pt idx="445">
                  <c:v>1200000</c:v>
                </c:pt>
                <c:pt idx="446">
                  <c:v>1205000</c:v>
                </c:pt>
                <c:pt idx="447">
                  <c:v>1210000</c:v>
                </c:pt>
                <c:pt idx="448">
                  <c:v>1215000</c:v>
                </c:pt>
                <c:pt idx="449">
                  <c:v>1220000</c:v>
                </c:pt>
                <c:pt idx="450">
                  <c:v>1225000</c:v>
                </c:pt>
                <c:pt idx="451">
                  <c:v>1230000</c:v>
                </c:pt>
                <c:pt idx="452">
                  <c:v>1235000</c:v>
                </c:pt>
                <c:pt idx="453">
                  <c:v>1240000</c:v>
                </c:pt>
                <c:pt idx="454">
                  <c:v>1245000</c:v>
                </c:pt>
                <c:pt idx="455">
                  <c:v>1250000</c:v>
                </c:pt>
                <c:pt idx="456">
                  <c:v>1255000</c:v>
                </c:pt>
                <c:pt idx="457">
                  <c:v>1260000</c:v>
                </c:pt>
                <c:pt idx="458">
                  <c:v>1265000</c:v>
                </c:pt>
                <c:pt idx="459">
                  <c:v>1270000</c:v>
                </c:pt>
                <c:pt idx="460">
                  <c:v>1275000</c:v>
                </c:pt>
                <c:pt idx="461">
                  <c:v>1280000</c:v>
                </c:pt>
                <c:pt idx="462">
                  <c:v>1285000</c:v>
                </c:pt>
                <c:pt idx="463">
                  <c:v>1290000</c:v>
                </c:pt>
                <c:pt idx="464">
                  <c:v>1295000</c:v>
                </c:pt>
                <c:pt idx="465">
                  <c:v>1300000</c:v>
                </c:pt>
                <c:pt idx="466">
                  <c:v>1305000</c:v>
                </c:pt>
                <c:pt idx="467">
                  <c:v>1310000</c:v>
                </c:pt>
                <c:pt idx="468">
                  <c:v>1315000</c:v>
                </c:pt>
                <c:pt idx="469">
                  <c:v>1320000</c:v>
                </c:pt>
                <c:pt idx="470">
                  <c:v>1325000</c:v>
                </c:pt>
                <c:pt idx="471">
                  <c:v>1330000</c:v>
                </c:pt>
                <c:pt idx="472">
                  <c:v>1335000</c:v>
                </c:pt>
                <c:pt idx="473">
                  <c:v>1340000</c:v>
                </c:pt>
                <c:pt idx="474">
                  <c:v>1345000</c:v>
                </c:pt>
                <c:pt idx="475">
                  <c:v>1350000</c:v>
                </c:pt>
                <c:pt idx="476">
                  <c:v>1355000</c:v>
                </c:pt>
                <c:pt idx="477">
                  <c:v>1360000</c:v>
                </c:pt>
                <c:pt idx="478">
                  <c:v>1365000</c:v>
                </c:pt>
                <c:pt idx="479">
                  <c:v>1370000</c:v>
                </c:pt>
                <c:pt idx="480">
                  <c:v>1375000</c:v>
                </c:pt>
                <c:pt idx="481">
                  <c:v>1380000</c:v>
                </c:pt>
                <c:pt idx="482">
                  <c:v>1385000</c:v>
                </c:pt>
                <c:pt idx="483">
                  <c:v>1390000</c:v>
                </c:pt>
                <c:pt idx="484">
                  <c:v>1395000</c:v>
                </c:pt>
                <c:pt idx="485">
                  <c:v>1400000</c:v>
                </c:pt>
                <c:pt idx="486">
                  <c:v>1405000</c:v>
                </c:pt>
                <c:pt idx="487">
                  <c:v>1410000</c:v>
                </c:pt>
                <c:pt idx="488">
                  <c:v>1415000</c:v>
                </c:pt>
                <c:pt idx="489">
                  <c:v>1420000</c:v>
                </c:pt>
                <c:pt idx="490">
                  <c:v>1425000</c:v>
                </c:pt>
                <c:pt idx="491">
                  <c:v>1430000</c:v>
                </c:pt>
                <c:pt idx="492">
                  <c:v>1435000</c:v>
                </c:pt>
                <c:pt idx="493">
                  <c:v>1440000</c:v>
                </c:pt>
                <c:pt idx="494">
                  <c:v>1445000</c:v>
                </c:pt>
                <c:pt idx="495">
                  <c:v>1450000</c:v>
                </c:pt>
                <c:pt idx="496">
                  <c:v>1455000</c:v>
                </c:pt>
                <c:pt idx="497">
                  <c:v>1460000</c:v>
                </c:pt>
                <c:pt idx="498">
                  <c:v>1465000</c:v>
                </c:pt>
                <c:pt idx="499">
                  <c:v>1470000</c:v>
                </c:pt>
                <c:pt idx="500">
                  <c:v>1475000</c:v>
                </c:pt>
                <c:pt idx="501">
                  <c:v>1480000</c:v>
                </c:pt>
                <c:pt idx="502">
                  <c:v>1485000</c:v>
                </c:pt>
                <c:pt idx="503">
                  <c:v>1490000</c:v>
                </c:pt>
                <c:pt idx="504">
                  <c:v>1495000</c:v>
                </c:pt>
                <c:pt idx="505">
                  <c:v>1500000</c:v>
                </c:pt>
                <c:pt idx="506">
                  <c:v>1505000</c:v>
                </c:pt>
                <c:pt idx="507">
                  <c:v>1510000</c:v>
                </c:pt>
                <c:pt idx="508">
                  <c:v>1515000</c:v>
                </c:pt>
                <c:pt idx="509">
                  <c:v>1520000</c:v>
                </c:pt>
                <c:pt idx="510">
                  <c:v>1525000</c:v>
                </c:pt>
                <c:pt idx="511">
                  <c:v>1530000</c:v>
                </c:pt>
                <c:pt idx="512">
                  <c:v>1535000</c:v>
                </c:pt>
                <c:pt idx="513">
                  <c:v>1540000</c:v>
                </c:pt>
                <c:pt idx="514">
                  <c:v>1545000</c:v>
                </c:pt>
                <c:pt idx="515">
                  <c:v>1550000</c:v>
                </c:pt>
                <c:pt idx="516">
                  <c:v>1555000</c:v>
                </c:pt>
                <c:pt idx="517">
                  <c:v>1560000</c:v>
                </c:pt>
                <c:pt idx="518">
                  <c:v>1565000</c:v>
                </c:pt>
                <c:pt idx="519">
                  <c:v>1570000</c:v>
                </c:pt>
                <c:pt idx="520">
                  <c:v>1575000</c:v>
                </c:pt>
                <c:pt idx="521">
                  <c:v>1580000</c:v>
                </c:pt>
                <c:pt idx="522">
                  <c:v>1585000</c:v>
                </c:pt>
                <c:pt idx="523">
                  <c:v>1590000</c:v>
                </c:pt>
                <c:pt idx="524">
                  <c:v>1595000</c:v>
                </c:pt>
                <c:pt idx="525">
                  <c:v>1600000</c:v>
                </c:pt>
                <c:pt idx="526">
                  <c:v>1605000</c:v>
                </c:pt>
                <c:pt idx="527">
                  <c:v>1610000</c:v>
                </c:pt>
                <c:pt idx="528">
                  <c:v>1615000</c:v>
                </c:pt>
                <c:pt idx="529">
                  <c:v>1620000</c:v>
                </c:pt>
                <c:pt idx="530">
                  <c:v>1625000</c:v>
                </c:pt>
                <c:pt idx="531">
                  <c:v>1630000</c:v>
                </c:pt>
                <c:pt idx="532">
                  <c:v>1635000</c:v>
                </c:pt>
                <c:pt idx="533">
                  <c:v>1640000</c:v>
                </c:pt>
                <c:pt idx="534">
                  <c:v>1645000</c:v>
                </c:pt>
                <c:pt idx="535">
                  <c:v>1650000</c:v>
                </c:pt>
                <c:pt idx="536">
                  <c:v>1655000</c:v>
                </c:pt>
                <c:pt idx="537">
                  <c:v>1660000</c:v>
                </c:pt>
                <c:pt idx="538">
                  <c:v>1665000</c:v>
                </c:pt>
                <c:pt idx="539">
                  <c:v>1670000</c:v>
                </c:pt>
                <c:pt idx="540">
                  <c:v>1675000</c:v>
                </c:pt>
                <c:pt idx="541">
                  <c:v>1680000</c:v>
                </c:pt>
                <c:pt idx="542">
                  <c:v>1685000</c:v>
                </c:pt>
                <c:pt idx="543">
                  <c:v>1690000</c:v>
                </c:pt>
                <c:pt idx="544">
                  <c:v>1695000</c:v>
                </c:pt>
                <c:pt idx="545">
                  <c:v>1700000</c:v>
                </c:pt>
                <c:pt idx="546">
                  <c:v>1705000</c:v>
                </c:pt>
                <c:pt idx="547">
                  <c:v>1710000</c:v>
                </c:pt>
                <c:pt idx="548">
                  <c:v>1715000</c:v>
                </c:pt>
                <c:pt idx="549">
                  <c:v>1720000</c:v>
                </c:pt>
                <c:pt idx="550">
                  <c:v>1725000</c:v>
                </c:pt>
                <c:pt idx="551">
                  <c:v>1730000</c:v>
                </c:pt>
                <c:pt idx="552">
                  <c:v>1735000</c:v>
                </c:pt>
                <c:pt idx="553">
                  <c:v>1740000</c:v>
                </c:pt>
                <c:pt idx="554">
                  <c:v>1745000</c:v>
                </c:pt>
                <c:pt idx="555">
                  <c:v>1750000</c:v>
                </c:pt>
                <c:pt idx="556">
                  <c:v>1755000</c:v>
                </c:pt>
                <c:pt idx="557">
                  <c:v>1760000</c:v>
                </c:pt>
                <c:pt idx="558">
                  <c:v>1765000</c:v>
                </c:pt>
                <c:pt idx="559">
                  <c:v>1770000</c:v>
                </c:pt>
                <c:pt idx="560">
                  <c:v>1775000</c:v>
                </c:pt>
                <c:pt idx="561">
                  <c:v>1780000</c:v>
                </c:pt>
                <c:pt idx="562">
                  <c:v>1785000</c:v>
                </c:pt>
                <c:pt idx="563">
                  <c:v>1790000</c:v>
                </c:pt>
                <c:pt idx="564">
                  <c:v>1795000</c:v>
                </c:pt>
                <c:pt idx="565">
                  <c:v>1800000</c:v>
                </c:pt>
                <c:pt idx="566">
                  <c:v>1805000</c:v>
                </c:pt>
                <c:pt idx="567">
                  <c:v>1810000</c:v>
                </c:pt>
                <c:pt idx="568">
                  <c:v>1815000</c:v>
                </c:pt>
                <c:pt idx="569">
                  <c:v>1820000</c:v>
                </c:pt>
                <c:pt idx="570">
                  <c:v>1825000</c:v>
                </c:pt>
                <c:pt idx="571">
                  <c:v>1830000</c:v>
                </c:pt>
                <c:pt idx="572">
                  <c:v>1835000</c:v>
                </c:pt>
                <c:pt idx="573">
                  <c:v>1840000</c:v>
                </c:pt>
                <c:pt idx="574">
                  <c:v>1845000</c:v>
                </c:pt>
                <c:pt idx="575">
                  <c:v>1850000</c:v>
                </c:pt>
                <c:pt idx="576">
                  <c:v>1855000</c:v>
                </c:pt>
                <c:pt idx="577">
                  <c:v>1860000</c:v>
                </c:pt>
                <c:pt idx="578">
                  <c:v>1865000</c:v>
                </c:pt>
                <c:pt idx="579">
                  <c:v>1870000</c:v>
                </c:pt>
                <c:pt idx="580">
                  <c:v>1875000</c:v>
                </c:pt>
                <c:pt idx="581">
                  <c:v>1880000</c:v>
                </c:pt>
                <c:pt idx="582">
                  <c:v>1885000</c:v>
                </c:pt>
                <c:pt idx="583">
                  <c:v>1890000</c:v>
                </c:pt>
                <c:pt idx="584">
                  <c:v>1895000</c:v>
                </c:pt>
                <c:pt idx="585">
                  <c:v>1900000</c:v>
                </c:pt>
                <c:pt idx="586">
                  <c:v>1905000</c:v>
                </c:pt>
                <c:pt idx="587">
                  <c:v>1910000</c:v>
                </c:pt>
                <c:pt idx="588">
                  <c:v>1915000</c:v>
                </c:pt>
                <c:pt idx="589">
                  <c:v>1920000</c:v>
                </c:pt>
                <c:pt idx="590">
                  <c:v>1925000</c:v>
                </c:pt>
                <c:pt idx="591">
                  <c:v>1930000</c:v>
                </c:pt>
                <c:pt idx="592">
                  <c:v>1935000</c:v>
                </c:pt>
                <c:pt idx="593">
                  <c:v>1940000</c:v>
                </c:pt>
                <c:pt idx="594">
                  <c:v>1945000</c:v>
                </c:pt>
                <c:pt idx="595">
                  <c:v>1950000</c:v>
                </c:pt>
                <c:pt idx="596">
                  <c:v>1955000</c:v>
                </c:pt>
                <c:pt idx="597">
                  <c:v>1960000</c:v>
                </c:pt>
                <c:pt idx="598">
                  <c:v>1965000</c:v>
                </c:pt>
                <c:pt idx="599">
                  <c:v>1970000</c:v>
                </c:pt>
                <c:pt idx="600">
                  <c:v>1975000</c:v>
                </c:pt>
                <c:pt idx="601">
                  <c:v>1980000</c:v>
                </c:pt>
                <c:pt idx="602">
                  <c:v>1985000</c:v>
                </c:pt>
                <c:pt idx="603">
                  <c:v>1990000</c:v>
                </c:pt>
                <c:pt idx="604">
                  <c:v>1995000</c:v>
                </c:pt>
                <c:pt idx="605">
                  <c:v>2000000</c:v>
                </c:pt>
                <c:pt idx="606">
                  <c:v>2250000</c:v>
                </c:pt>
                <c:pt idx="607">
                  <c:v>2500000</c:v>
                </c:pt>
                <c:pt idx="608">
                  <c:v>2750000</c:v>
                </c:pt>
                <c:pt idx="609">
                  <c:v>3000000</c:v>
                </c:pt>
                <c:pt idx="610">
                  <c:v>3250000</c:v>
                </c:pt>
                <c:pt idx="611">
                  <c:v>3500000</c:v>
                </c:pt>
                <c:pt idx="612">
                  <c:v>3750000</c:v>
                </c:pt>
                <c:pt idx="613">
                  <c:v>4000000</c:v>
                </c:pt>
                <c:pt idx="614">
                  <c:v>4250000</c:v>
                </c:pt>
                <c:pt idx="615">
                  <c:v>4500000</c:v>
                </c:pt>
                <c:pt idx="616">
                  <c:v>4750000</c:v>
                </c:pt>
                <c:pt idx="617">
                  <c:v>5000000</c:v>
                </c:pt>
                <c:pt idx="618">
                  <c:v>5100000</c:v>
                </c:pt>
                <c:pt idx="619">
                  <c:v>5200000</c:v>
                </c:pt>
                <c:pt idx="620">
                  <c:v>5300000</c:v>
                </c:pt>
                <c:pt idx="621">
                  <c:v>5400000</c:v>
                </c:pt>
                <c:pt idx="622">
                  <c:v>5500000</c:v>
                </c:pt>
                <c:pt idx="623">
                  <c:v>5600000</c:v>
                </c:pt>
                <c:pt idx="624">
                  <c:v>5700000</c:v>
                </c:pt>
                <c:pt idx="625">
                  <c:v>5800000</c:v>
                </c:pt>
                <c:pt idx="626">
                  <c:v>5900000</c:v>
                </c:pt>
                <c:pt idx="627">
                  <c:v>6000000</c:v>
                </c:pt>
                <c:pt idx="628">
                  <c:v>6100000</c:v>
                </c:pt>
                <c:pt idx="629">
                  <c:v>6200000</c:v>
                </c:pt>
                <c:pt idx="630">
                  <c:v>6300000</c:v>
                </c:pt>
                <c:pt idx="631">
                  <c:v>6400000</c:v>
                </c:pt>
                <c:pt idx="632">
                  <c:v>6500000</c:v>
                </c:pt>
                <c:pt idx="633">
                  <c:v>6600000</c:v>
                </c:pt>
                <c:pt idx="634">
                  <c:v>6700000</c:v>
                </c:pt>
                <c:pt idx="635">
                  <c:v>6800000</c:v>
                </c:pt>
                <c:pt idx="636">
                  <c:v>6900000</c:v>
                </c:pt>
                <c:pt idx="637">
                  <c:v>7000000</c:v>
                </c:pt>
                <c:pt idx="638">
                  <c:v>7100000</c:v>
                </c:pt>
                <c:pt idx="639">
                  <c:v>7200000</c:v>
                </c:pt>
                <c:pt idx="640">
                  <c:v>7300000</c:v>
                </c:pt>
                <c:pt idx="641">
                  <c:v>7400000</c:v>
                </c:pt>
                <c:pt idx="642">
                  <c:v>7500000</c:v>
                </c:pt>
                <c:pt idx="643">
                  <c:v>7600000</c:v>
                </c:pt>
                <c:pt idx="644">
                  <c:v>7700000</c:v>
                </c:pt>
                <c:pt idx="645">
                  <c:v>7800000</c:v>
                </c:pt>
                <c:pt idx="646">
                  <c:v>7900000</c:v>
                </c:pt>
                <c:pt idx="647">
                  <c:v>8000000</c:v>
                </c:pt>
                <c:pt idx="648">
                  <c:v>8100000</c:v>
                </c:pt>
                <c:pt idx="649">
                  <c:v>8200000</c:v>
                </c:pt>
                <c:pt idx="650">
                  <c:v>8300000</c:v>
                </c:pt>
                <c:pt idx="651">
                  <c:v>8400000</c:v>
                </c:pt>
                <c:pt idx="652">
                  <c:v>8500000</c:v>
                </c:pt>
                <c:pt idx="653">
                  <c:v>8600000</c:v>
                </c:pt>
                <c:pt idx="654">
                  <c:v>8700000</c:v>
                </c:pt>
                <c:pt idx="655">
                  <c:v>8800000</c:v>
                </c:pt>
                <c:pt idx="656">
                  <c:v>8900000</c:v>
                </c:pt>
                <c:pt idx="657">
                  <c:v>9000000</c:v>
                </c:pt>
                <c:pt idx="658">
                  <c:v>9100000</c:v>
                </c:pt>
                <c:pt idx="659">
                  <c:v>9200000</c:v>
                </c:pt>
                <c:pt idx="660">
                  <c:v>9300000</c:v>
                </c:pt>
                <c:pt idx="661">
                  <c:v>9400000</c:v>
                </c:pt>
                <c:pt idx="662">
                  <c:v>9500000</c:v>
                </c:pt>
                <c:pt idx="663">
                  <c:v>9600000</c:v>
                </c:pt>
                <c:pt idx="664">
                  <c:v>9700000</c:v>
                </c:pt>
                <c:pt idx="665">
                  <c:v>9800000</c:v>
                </c:pt>
                <c:pt idx="666">
                  <c:v>9900000</c:v>
                </c:pt>
                <c:pt idx="667">
                  <c:v>10000000</c:v>
                </c:pt>
              </c:numCache>
            </c:numRef>
          </c:xVal>
          <c:yVal>
            <c:numRef>
              <c:f>'Bode Plots Calculations'!$BD$9:$BD$676</c:f>
              <c:numCache>
                <c:formatCode>General</c:formatCode>
                <c:ptCount val="668"/>
                <c:pt idx="0">
                  <c:v>-181.675916914133</c:v>
                </c:pt>
                <c:pt idx="1">
                  <c:v>-183.33330841814</c:v>
                </c:pt>
                <c:pt idx="2">
                  <c:v>-184.954424429607</c:v>
                </c:pt>
                <c:pt idx="3">
                  <c:v>-186.522991634646</c:v>
                </c:pt>
                <c:pt idx="4">
                  <c:v>-188.024779759405</c:v>
                </c:pt>
                <c:pt idx="5">
                  <c:v>-189.447993260835</c:v>
                </c:pt>
                <c:pt idx="6">
                  <c:v>-190.783474736804</c:v>
                </c:pt>
                <c:pt idx="7">
                  <c:v>-192.024730273857</c:v>
                </c:pt>
                <c:pt idx="8">
                  <c:v>-193.167804892138</c:v>
                </c:pt>
                <c:pt idx="9">
                  <c:v>-194.211046310475</c:v>
                </c:pt>
                <c:pt idx="10">
                  <c:v>-199.800300789232</c:v>
                </c:pt>
                <c:pt idx="11">
                  <c:v>-200.041980449846</c:v>
                </c:pt>
                <c:pt idx="12">
                  <c:v>-198.519151706346</c:v>
                </c:pt>
                <c:pt idx="13">
                  <c:v>-196.676645325217</c:v>
                </c:pt>
                <c:pt idx="14">
                  <c:v>-194.964240448415</c:v>
                </c:pt>
                <c:pt idx="15">
                  <c:v>-193.486414343852</c:v>
                </c:pt>
                <c:pt idx="16">
                  <c:v>-192.23993522311</c:v>
                </c:pt>
                <c:pt idx="17">
                  <c:v>-191.193243487771</c:v>
                </c:pt>
                <c:pt idx="18">
                  <c:v>-190.311741912053</c:v>
                </c:pt>
                <c:pt idx="19">
                  <c:v>-186.075597854153</c:v>
                </c:pt>
                <c:pt idx="20">
                  <c:v>-184.809492898498</c:v>
                </c:pt>
                <c:pt idx="21">
                  <c:v>-184.375975123816</c:v>
                </c:pt>
                <c:pt idx="22">
                  <c:v>-184.284966466104</c:v>
                </c:pt>
                <c:pt idx="23">
                  <c:v>-184.36700103715</c:v>
                </c:pt>
                <c:pt idx="24">
                  <c:v>-184.548258588022</c:v>
                </c:pt>
                <c:pt idx="25">
                  <c:v>-184.791480603548</c:v>
                </c:pt>
                <c:pt idx="26">
                  <c:v>-185.075828773764</c:v>
                </c:pt>
                <c:pt idx="27">
                  <c:v>-185.388727639768</c:v>
                </c:pt>
                <c:pt idx="28">
                  <c:v>-187.173979887033</c:v>
                </c:pt>
                <c:pt idx="29">
                  <c:v>-189.105105672735</c:v>
                </c:pt>
                <c:pt idx="30">
                  <c:v>-191.067332734866</c:v>
                </c:pt>
                <c:pt idx="31">
                  <c:v>-193.017236943338</c:v>
                </c:pt>
                <c:pt idx="32">
                  <c:v>-194.932583356819</c:v>
                </c:pt>
                <c:pt idx="33">
                  <c:v>-196.799808131901</c:v>
                </c:pt>
                <c:pt idx="34">
                  <c:v>-198.609845827893</c:v>
                </c:pt>
                <c:pt idx="35">
                  <c:v>-200.356434088656</c:v>
                </c:pt>
                <c:pt idx="36">
                  <c:v>-202.035299413742</c:v>
                </c:pt>
                <c:pt idx="37">
                  <c:v>-203.643697533507</c:v>
                </c:pt>
                <c:pt idx="38">
                  <c:v>-205.180111123185</c:v>
                </c:pt>
                <c:pt idx="39">
                  <c:v>-206.644024578506</c:v>
                </c:pt>
                <c:pt idx="40">
                  <c:v>-208.035741536011</c:v>
                </c:pt>
                <c:pt idx="41">
                  <c:v>-209.3562300693</c:v>
                </c:pt>
                <c:pt idx="42">
                  <c:v>-210.606988788163</c:v>
                </c:pt>
                <c:pt idx="43">
                  <c:v>-211.789930607223</c:v>
                </c:pt>
                <c:pt idx="44">
                  <c:v>-212.907282370349</c:v>
                </c:pt>
                <c:pt idx="45">
                  <c:v>-213.961499003609</c:v>
                </c:pt>
                <c:pt idx="46">
                  <c:v>-214.955190974089</c:v>
                </c:pt>
                <c:pt idx="47">
                  <c:v>-215.891063809934</c:v>
                </c:pt>
                <c:pt idx="48">
                  <c:v>-216.771868401188</c:v>
                </c:pt>
                <c:pt idx="49">
                  <c:v>-217.600360794673</c:v>
                </c:pt>
                <c:pt idx="50">
                  <c:v>-218.379270229131</c:v>
                </c:pt>
                <c:pt idx="51">
                  <c:v>-219.111274224736</c:v>
                </c:pt>
                <c:pt idx="52">
                  <c:v>-219.798979633997</c:v>
                </c:pt>
                <c:pt idx="53">
                  <c:v>-220.444908668944</c:v>
                </c:pt>
                <c:pt idx="54">
                  <c:v>-221.051489033237</c:v>
                </c:pt>
                <c:pt idx="55">
                  <c:v>-221.621047400862</c:v>
                </c:pt>
                <c:pt idx="56">
                  <c:v>-222.155805590596</c:v>
                </c:pt>
                <c:pt idx="57">
                  <c:v>-222.657878884414</c:v>
                </c:pt>
                <c:pt idx="58">
                  <c:v>-223.129276027109</c:v>
                </c:pt>
                <c:pt idx="59">
                  <c:v>-223.571900522863</c:v>
                </c:pt>
                <c:pt idx="60">
                  <c:v>-223.987552912609</c:v>
                </c:pt>
                <c:pt idx="61">
                  <c:v>-224.37793377439</c:v>
                </c:pt>
                <c:pt idx="62">
                  <c:v>-224.74464723826</c:v>
                </c:pt>
                <c:pt idx="63">
                  <c:v>-225.089204848756</c:v>
                </c:pt>
                <c:pt idx="64">
                  <c:v>-225.413029642363</c:v>
                </c:pt>
                <c:pt idx="65">
                  <c:v>-225.717460335878</c:v>
                </c:pt>
                <c:pt idx="66">
                  <c:v>-226.003755544854</c:v>
                </c:pt>
                <c:pt idx="67">
                  <c:v>-226.273097970279</c:v>
                </c:pt>
                <c:pt idx="68">
                  <c:v>-226.526598507017</c:v>
                </c:pt>
                <c:pt idx="69">
                  <c:v>-226.765300239836</c:v>
                </c:pt>
                <c:pt idx="70">
                  <c:v>-226.990182302727</c:v>
                </c:pt>
                <c:pt idx="71">
                  <c:v>-227.202163585006</c:v>
                </c:pt>
                <c:pt idx="72">
                  <c:v>-227.402106273821</c:v>
                </c:pt>
                <c:pt idx="73">
                  <c:v>-227.59081922749</c:v>
                </c:pt>
                <c:pt idx="74">
                  <c:v>-227.769061177747</c:v>
                </c:pt>
                <c:pt idx="75">
                  <c:v>-227.937543761804</c:v>
                </c:pt>
                <c:pt idx="76">
                  <c:v>-228.096934387211</c:v>
                </c:pt>
                <c:pt idx="77">
                  <c:v>-228.247858934035</c:v>
                </c:pt>
                <c:pt idx="78">
                  <c:v>-228.390904299967</c:v>
                </c:pt>
                <c:pt idx="79">
                  <c:v>-228.526620794693</c:v>
                </c:pt>
                <c:pt idx="80">
                  <c:v>-228.655524390331</c:v>
                </c:pt>
                <c:pt idx="81">
                  <c:v>-228.778098834987</c:v>
                </c:pt>
                <c:pt idx="82">
                  <c:v>-228.894797636556</c:v>
                </c:pt>
                <c:pt idx="83">
                  <c:v>-229.006045923868</c:v>
                </c:pt>
                <c:pt idx="84">
                  <c:v>-229.112242192148</c:v>
                </c:pt>
                <c:pt idx="85">
                  <c:v>-229.213759939553</c:v>
                </c:pt>
                <c:pt idx="86">
                  <c:v>-229.310949201327</c:v>
                </c:pt>
                <c:pt idx="87">
                  <c:v>-229.404137987815</c:v>
                </c:pt>
                <c:pt idx="88">
                  <c:v>-229.493633632311</c:v>
                </c:pt>
                <c:pt idx="89">
                  <c:v>-229.579724054389</c:v>
                </c:pt>
                <c:pt idx="90">
                  <c:v>-229.662678944077</c:v>
                </c:pt>
                <c:pt idx="91">
                  <c:v>-229.742750871924</c:v>
                </c:pt>
                <c:pt idx="92">
                  <c:v>-229.820176329702</c:v>
                </c:pt>
                <c:pt idx="93">
                  <c:v>-229.89517670622</c:v>
                </c:pt>
                <c:pt idx="94">
                  <c:v>-229.967959202434</c:v>
                </c:pt>
                <c:pt idx="95">
                  <c:v>-230.038717689762</c:v>
                </c:pt>
                <c:pt idx="96">
                  <c:v>-230.107633515289</c:v>
                </c:pt>
                <c:pt idx="97">
                  <c:v>-230.174876257288</c:v>
                </c:pt>
                <c:pt idx="98">
                  <c:v>-230.240604434253</c:v>
                </c:pt>
                <c:pt idx="99">
                  <c:v>-230.304966170454</c:v>
                </c:pt>
                <c:pt idx="100">
                  <c:v>-230.368099820789</c:v>
                </c:pt>
                <c:pt idx="101">
                  <c:v>-230.430134557566</c:v>
                </c:pt>
                <c:pt idx="102">
                  <c:v>-230.49119092162</c:v>
                </c:pt>
                <c:pt idx="103">
                  <c:v>-230.551381340062</c:v>
                </c:pt>
                <c:pt idx="104">
                  <c:v>-230.610810612763</c:v>
                </c:pt>
                <c:pt idx="105">
                  <c:v>-230.669576369559</c:v>
                </c:pt>
                <c:pt idx="106">
                  <c:v>-230.727769500013</c:v>
                </c:pt>
                <c:pt idx="107">
                  <c:v>-230.785474557475</c:v>
                </c:pt>
                <c:pt idx="108">
                  <c:v>-230.842770139018</c:v>
                </c:pt>
                <c:pt idx="109">
                  <c:v>-230.899729242792</c:v>
                </c:pt>
                <c:pt idx="110">
                  <c:v>-230.956419604153</c:v>
                </c:pt>
                <c:pt idx="111">
                  <c:v>-231.012904011916</c:v>
                </c:pt>
                <c:pt idx="112">
                  <c:v>-231.069240605934</c:v>
                </c:pt>
                <c:pt idx="113">
                  <c:v>-231.125483157151</c:v>
                </c:pt>
                <c:pt idx="114">
                  <c:v>-231.181681331208</c:v>
                </c:pt>
                <c:pt idx="115">
                  <c:v>-231.237880936587</c:v>
                </c:pt>
                <c:pt idx="116">
                  <c:v>-231.294124158245</c:v>
                </c:pt>
                <c:pt idx="117">
                  <c:v>-231.350449777603</c:v>
                </c:pt>
                <c:pt idx="118">
                  <c:v>-231.406893379715</c:v>
                </c:pt>
                <c:pt idx="119">
                  <c:v>-231.463487548385</c:v>
                </c:pt>
                <c:pt idx="120">
                  <c:v>-231.520262049949</c:v>
                </c:pt>
                <c:pt idx="121">
                  <c:v>-231.577244006394</c:v>
                </c:pt>
                <c:pt idx="122">
                  <c:v>-231.634458058459</c:v>
                </c:pt>
                <c:pt idx="123">
                  <c:v>-231.69192651929</c:v>
                </c:pt>
                <c:pt idx="124">
                  <c:v>-231.74966951922</c:v>
                </c:pt>
                <c:pt idx="125">
                  <c:v>-231.807705142192</c:v>
                </c:pt>
                <c:pt idx="126">
                  <c:v>-231.866049554306</c:v>
                </c:pt>
                <c:pt idx="127">
                  <c:v>-231.924717124964</c:v>
                </c:pt>
                <c:pt idx="128">
                  <c:v>-231.983720541031</c:v>
                </c:pt>
                <c:pt idx="129">
                  <c:v>-232.043070914416</c:v>
                </c:pt>
                <c:pt idx="130">
                  <c:v>-232.102777883474</c:v>
                </c:pt>
                <c:pt idx="131">
                  <c:v>-232.162849708552</c:v>
                </c:pt>
                <c:pt idx="132">
                  <c:v>-232.223293362052</c:v>
                </c:pt>
                <c:pt idx="133">
                  <c:v>-232.284114613294</c:v>
                </c:pt>
                <c:pt idx="134">
                  <c:v>-232.345318108502</c:v>
                </c:pt>
                <c:pt idx="135">
                  <c:v>-232.406907446178</c:v>
                </c:pt>
                <c:pt idx="136">
                  <c:v>-232.468885248123</c:v>
                </c:pt>
                <c:pt idx="137">
                  <c:v>-232.531253226372</c:v>
                </c:pt>
                <c:pt idx="138">
                  <c:v>-232.594012246254</c:v>
                </c:pt>
                <c:pt idx="139">
                  <c:v>-232.657162385806</c:v>
                </c:pt>
                <c:pt idx="140">
                  <c:v>-232.720702991754</c:v>
                </c:pt>
                <c:pt idx="141">
                  <c:v>-232.784632732235</c:v>
                </c:pt>
                <c:pt idx="142">
                  <c:v>-232.848949646473</c:v>
                </c:pt>
                <c:pt idx="143">
                  <c:v>-232.913651191548</c:v>
                </c:pt>
                <c:pt idx="144">
                  <c:v>-232.978734286447</c:v>
                </c:pt>
                <c:pt idx="145">
                  <c:v>-233.044195353538</c:v>
                </c:pt>
                <c:pt idx="146">
                  <c:v>-233.110030357613</c:v>
                </c:pt>
                <c:pt idx="147">
                  <c:v>-233.176234842637</c:v>
                </c:pt>
                <c:pt idx="148">
                  <c:v>-233.242803966331</c:v>
                </c:pt>
                <c:pt idx="149">
                  <c:v>-233.309732532711</c:v>
                </c:pt>
                <c:pt idx="150">
                  <c:v>-233.377015022695</c:v>
                </c:pt>
                <c:pt idx="151">
                  <c:v>-233.444645622889</c:v>
                </c:pt>
                <c:pt idx="152">
                  <c:v>-233.51261825265</c:v>
                </c:pt>
                <c:pt idx="153">
                  <c:v>-233.580926589524</c:v>
                </c:pt>
                <c:pt idx="154">
                  <c:v>-233.649564093152</c:v>
                </c:pt>
                <c:pt idx="155">
                  <c:v>-233.718524027723</c:v>
                </c:pt>
                <c:pt idx="156">
                  <c:v>-233.78779948306</c:v>
                </c:pt>
                <c:pt idx="157">
                  <c:v>-233.857383394411</c:v>
                </c:pt>
                <c:pt idx="158">
                  <c:v>-233.927268561028</c:v>
                </c:pt>
                <c:pt idx="159">
                  <c:v>-233.997447663582</c:v>
                </c:pt>
                <c:pt idx="160">
                  <c:v>-234.067913280496</c:v>
                </c:pt>
                <c:pt idx="161">
                  <c:v>-234.138657903251</c:v>
                </c:pt>
                <c:pt idx="162">
                  <c:v>-234.209673950718</c:v>
                </c:pt>
                <c:pt idx="163">
                  <c:v>-234.280953782573</c:v>
                </c:pt>
                <c:pt idx="164">
                  <c:v>-234.352489711852</c:v>
                </c:pt>
                <c:pt idx="165">
                  <c:v>-234.424274016684</c:v>
                </c:pt>
                <c:pt idx="166">
                  <c:v>-234.496298951254</c:v>
                </c:pt>
                <c:pt idx="167">
                  <c:v>-234.568556756035</c:v>
                </c:pt>
                <c:pt idx="168">
                  <c:v>-234.641039667341</c:v>
                </c:pt>
                <c:pt idx="169">
                  <c:v>-234.713739926217</c:v>
                </c:pt>
                <c:pt idx="170">
                  <c:v>-234.786649786731</c:v>
                </c:pt>
                <c:pt idx="171">
                  <c:v>-234.859761523678</c:v>
                </c:pt>
                <c:pt idx="172">
                  <c:v>-234.933067439741</c:v>
                </c:pt>
                <c:pt idx="173">
                  <c:v>-235.00655987214</c:v>
                </c:pt>
                <c:pt idx="174">
                  <c:v>-235.080231198789</c:v>
                </c:pt>
                <c:pt idx="175">
                  <c:v>-235.154073844004</c:v>
                </c:pt>
                <c:pt idx="176">
                  <c:v>-235.22808028377</c:v>
                </c:pt>
                <c:pt idx="177">
                  <c:v>-235.302243050606</c:v>
                </c:pt>
                <c:pt idx="178">
                  <c:v>-235.376554738041</c:v>
                </c:pt>
                <c:pt idx="179">
                  <c:v>-235.451008004736</c:v>
                </c:pt>
                <c:pt idx="180">
                  <c:v>-235.525595578254</c:v>
                </c:pt>
                <c:pt idx="181">
                  <c:v>-235.600310258517</c:v>
                </c:pt>
                <c:pt idx="182">
                  <c:v>-235.675144920959</c:v>
                </c:pt>
                <c:pt idx="183">
                  <c:v>-235.750092519385</c:v>
                </c:pt>
                <c:pt idx="184">
                  <c:v>-235.825146088573</c:v>
                </c:pt>
                <c:pt idx="185">
                  <c:v>-235.900298746619</c:v>
                </c:pt>
                <c:pt idx="186">
                  <c:v>-235.975543697036</c:v>
                </c:pt>
                <c:pt idx="187">
                  <c:v>-236.050874230647</c:v>
                </c:pt>
                <c:pt idx="188">
                  <c:v>-236.126283727246</c:v>
                </c:pt>
                <c:pt idx="189">
                  <c:v>-236.201765657078</c:v>
                </c:pt>
                <c:pt idx="190">
                  <c:v>-236.277313582129</c:v>
                </c:pt>
                <c:pt idx="191">
                  <c:v>-236.352921157232</c:v>
                </c:pt>
                <c:pt idx="192">
                  <c:v>-236.428582131024</c:v>
                </c:pt>
                <c:pt idx="193">
                  <c:v>-236.504290346739</c:v>
                </c:pt>
                <c:pt idx="194">
                  <c:v>-236.580039742858</c:v>
                </c:pt>
                <c:pt idx="195">
                  <c:v>-236.655824353629</c:v>
                </c:pt>
                <c:pt idx="196">
                  <c:v>-236.731638309455</c:v>
                </c:pt>
                <c:pt idx="197">
                  <c:v>-236.807475837166</c:v>
                </c:pt>
                <c:pt idx="198">
                  <c:v>-236.883331260181</c:v>
                </c:pt>
                <c:pt idx="199">
                  <c:v>-236.959198998563</c:v>
                </c:pt>
                <c:pt idx="200">
                  <c:v>-237.035073568981</c:v>
                </c:pt>
                <c:pt idx="201">
                  <c:v>-237.110949584579</c:v>
                </c:pt>
                <c:pt idx="202">
                  <c:v>-237.186821754765</c:v>
                </c:pt>
                <c:pt idx="203">
                  <c:v>-237.262684884914</c:v>
                </c:pt>
                <c:pt idx="204">
                  <c:v>-237.338533876009</c:v>
                </c:pt>
                <c:pt idx="205">
                  <c:v>-237.4143637242</c:v>
                </c:pt>
                <c:pt idx="206">
                  <c:v>-237.490169520317</c:v>
                </c:pt>
                <c:pt idx="207">
                  <c:v>-237.565946449308</c:v>
                </c:pt>
                <c:pt idx="208">
                  <c:v>-237.641689789639</c:v>
                </c:pt>
                <c:pt idx="209">
                  <c:v>-237.717394912628</c:v>
                </c:pt>
                <c:pt idx="210">
                  <c:v>-237.793057281749</c:v>
                </c:pt>
                <c:pt idx="211">
                  <c:v>-237.868672451879</c:v>
                </c:pt>
                <c:pt idx="212">
                  <c:v>-237.94423606852</c:v>
                </c:pt>
                <c:pt idx="213">
                  <c:v>-238.019743866975</c:v>
                </c:pt>
                <c:pt idx="214">
                  <c:v>-238.095191671495</c:v>
                </c:pt>
                <c:pt idx="215">
                  <c:v>-238.1705753944</c:v>
                </c:pt>
                <c:pt idx="216">
                  <c:v>-238.245891035166</c:v>
                </c:pt>
                <c:pt idx="217">
                  <c:v>-238.321134679496</c:v>
                </c:pt>
                <c:pt idx="218">
                  <c:v>-238.396302498362</c:v>
                </c:pt>
                <c:pt idx="219">
                  <c:v>-238.471390747032</c:v>
                </c:pt>
                <c:pt idx="220">
                  <c:v>-238.546395764076</c:v>
                </c:pt>
                <c:pt idx="221">
                  <c:v>-238.621313970363</c:v>
                </c:pt>
                <c:pt idx="222">
                  <c:v>-238.696141868036</c:v>
                </c:pt>
                <c:pt idx="223">
                  <c:v>-238.770876039483</c:v>
                </c:pt>
                <c:pt idx="224">
                  <c:v>-238.845513146295</c:v>
                </c:pt>
                <c:pt idx="225">
                  <c:v>-238.920049928213</c:v>
                </c:pt>
                <c:pt idx="226">
                  <c:v>-239.659236370964</c:v>
                </c:pt>
                <c:pt idx="227">
                  <c:v>-240.385343302018</c:v>
                </c:pt>
                <c:pt idx="228">
                  <c:v>-241.096233656005</c:v>
                </c:pt>
                <c:pt idx="229">
                  <c:v>-241.790323454018</c:v>
                </c:pt>
                <c:pt idx="230">
                  <c:v>-242.466489368206</c:v>
                </c:pt>
                <c:pt idx="231">
                  <c:v>-243.123987069794</c:v>
                </c:pt>
                <c:pt idx="232">
                  <c:v>-243.762380661895</c:v>
                </c:pt>
                <c:pt idx="233">
                  <c:v>-244.381482629859</c:v>
                </c:pt>
                <c:pt idx="234">
                  <c:v>-244.981303328611</c:v>
                </c:pt>
                <c:pt idx="235">
                  <c:v>-245.562008874376</c:v>
                </c:pt>
                <c:pt idx="236">
                  <c:v>-246.123886301328</c:v>
                </c:pt>
                <c:pt idx="237">
                  <c:v>-246.66731491293</c:v>
                </c:pt>
                <c:pt idx="238">
                  <c:v>-247.192742862481</c:v>
                </c:pt>
                <c:pt idx="239">
                  <c:v>-247.700668114057</c:v>
                </c:pt>
                <c:pt idx="240">
                  <c:v>-248.191623050767</c:v>
                </c:pt>
                <c:pt idx="241">
                  <c:v>-248.666162105027</c:v>
                </c:pt>
                <c:pt idx="242">
                  <c:v>-249.124851882493</c:v>
                </c:pt>
                <c:pt idx="243">
                  <c:v>-249.56826333622</c:v>
                </c:pt>
                <c:pt idx="244">
                  <c:v>-249.996965620989</c:v>
                </c:pt>
                <c:pt idx="245">
                  <c:v>-250.411521320169</c:v>
                </c:pt>
                <c:pt idx="246">
                  <c:v>-250.812482790366</c:v>
                </c:pt>
                <c:pt idx="247">
                  <c:v>-251.200389413378</c:v>
                </c:pt>
                <c:pt idx="248">
                  <c:v>-251.575765582068</c:v>
                </c:pt>
                <c:pt idx="249">
                  <c:v>-251.939119277534</c:v>
                </c:pt>
                <c:pt idx="250">
                  <c:v>-252.290941120535</c:v>
                </c:pt>
                <c:pt idx="251">
                  <c:v>-252.631703801285</c:v>
                </c:pt>
                <c:pt idx="252">
                  <c:v>-252.961861809172</c:v>
                </c:pt>
                <c:pt idx="253">
                  <c:v>-253.281851398395</c:v>
                </c:pt>
                <c:pt idx="254">
                  <c:v>-253.59209073733</c:v>
                </c:pt>
                <c:pt idx="255">
                  <c:v>-253.89298019924</c:v>
                </c:pt>
                <c:pt idx="256">
                  <c:v>-254.184902759909</c:v>
                </c:pt>
                <c:pt idx="257">
                  <c:v>-254.468224474404</c:v>
                </c:pt>
                <c:pt idx="258">
                  <c:v>-254.743295010537</c:v>
                </c:pt>
                <c:pt idx="259">
                  <c:v>-255.010448221029</c:v>
                </c:pt>
                <c:pt idx="260">
                  <c:v>-255.270002740002</c:v>
                </c:pt>
                <c:pt idx="261">
                  <c:v>-255.522262592379</c:v>
                </c:pt>
                <c:pt idx="262">
                  <c:v>-255.767517807172</c:v>
                </c:pt>
                <c:pt idx="263">
                  <c:v>-256.006045027647</c:v>
                </c:pt>
                <c:pt idx="264">
                  <c:v>-256.238108112904</c:v>
                </c:pt>
                <c:pt idx="265">
                  <c:v>-256.463958726755</c:v>
                </c:pt>
                <c:pt idx="266">
                  <c:v>-256.683836910807</c:v>
                </c:pt>
                <c:pt idx="267">
                  <c:v>-256.89797163953</c:v>
                </c:pt>
                <c:pt idx="268">
                  <c:v>-257.106581355749</c:v>
                </c:pt>
                <c:pt idx="269">
                  <c:v>-257.309874485566</c:v>
                </c:pt>
                <c:pt idx="270">
                  <c:v>-257.508049932151</c:v>
                </c:pt>
                <c:pt idx="271">
                  <c:v>-257.701297548176</c:v>
                </c:pt>
                <c:pt idx="272">
                  <c:v>-257.889798586939</c:v>
                </c:pt>
                <c:pt idx="273">
                  <c:v>-258.073726132446</c:v>
                </c:pt>
                <c:pt idx="274">
                  <c:v>-258.253245508869</c:v>
                </c:pt>
                <c:pt idx="275">
                  <c:v>-258.428514669908</c:v>
                </c:pt>
                <c:pt idx="276">
                  <c:v>-258.599684568699</c:v>
                </c:pt>
                <c:pt idx="277">
                  <c:v>-258.76689950895</c:v>
                </c:pt>
                <c:pt idx="278">
                  <c:v>-258.930297478027</c:v>
                </c:pt>
                <c:pt idx="279">
                  <c:v>-259.090010462758</c:v>
                </c:pt>
                <c:pt idx="280">
                  <c:v>-259.246164748706</c:v>
                </c:pt>
                <c:pt idx="281">
                  <c:v>-259.398881203675</c:v>
                </c:pt>
                <c:pt idx="282">
                  <c:v>-259.548275546214</c:v>
                </c:pt>
                <c:pt idx="283">
                  <c:v>-259.694458599848</c:v>
                </c:pt>
                <c:pt idx="284">
                  <c:v>-259.837536533773</c:v>
                </c:pt>
                <c:pt idx="285">
                  <c:v>-259.977611090692</c:v>
                </c:pt>
                <c:pt idx="286">
                  <c:v>-260.114779802498</c:v>
                </c:pt>
                <c:pt idx="287">
                  <c:v>-260.249136194425</c:v>
                </c:pt>
                <c:pt idx="288">
                  <c:v>-260.380769978309</c:v>
                </c:pt>
                <c:pt idx="289">
                  <c:v>-260.509767235534</c:v>
                </c:pt>
                <c:pt idx="290">
                  <c:v>-260.636210590249</c:v>
                </c:pt>
                <c:pt idx="291">
                  <c:v>-260.760179373378</c:v>
                </c:pt>
                <c:pt idx="292">
                  <c:v>-260.881749777945</c:v>
                </c:pt>
                <c:pt idx="293">
                  <c:v>-261.000995006184</c:v>
                </c:pt>
                <c:pt idx="294">
                  <c:v>-261.117985408914</c:v>
                </c:pt>
                <c:pt idx="295">
                  <c:v>-261.232788617594</c:v>
                </c:pt>
                <c:pt idx="296">
                  <c:v>-261.345469669478</c:v>
                </c:pt>
                <c:pt idx="297">
                  <c:v>-261.456091126251</c:v>
                </c:pt>
                <c:pt idx="298">
                  <c:v>-261.564713186524</c:v>
                </c:pt>
                <c:pt idx="299">
                  <c:v>-261.671393792514</c:v>
                </c:pt>
                <c:pt idx="300">
                  <c:v>-261.776188731252</c:v>
                </c:pt>
                <c:pt idx="301">
                  <c:v>-261.879151730613</c:v>
                </c:pt>
                <c:pt idx="302">
                  <c:v>-261.980334550466</c:v>
                </c:pt>
                <c:pt idx="303">
                  <c:v>-262.079787069208</c:v>
                </c:pt>
                <c:pt idx="304">
                  <c:v>-262.177557365944</c:v>
                </c:pt>
                <c:pt idx="305">
                  <c:v>-262.27369179855</c:v>
                </c:pt>
                <c:pt idx="306">
                  <c:v>-262.368235077852</c:v>
                </c:pt>
                <c:pt idx="307">
                  <c:v>-262.461230338124</c:v>
                </c:pt>
                <c:pt idx="308">
                  <c:v>-262.552719204126</c:v>
                </c:pt>
                <c:pt idx="309">
                  <c:v>-262.642741854845</c:v>
                </c:pt>
                <c:pt idx="310">
                  <c:v>-262.731337084139</c:v>
                </c:pt>
                <c:pt idx="311">
                  <c:v>-262.818542358449</c:v>
                </c:pt>
                <c:pt idx="312">
                  <c:v>-262.904393871724</c:v>
                </c:pt>
                <c:pt idx="313">
                  <c:v>-262.98892659772</c:v>
                </c:pt>
                <c:pt idx="314">
                  <c:v>-263.072174339822</c:v>
                </c:pt>
                <c:pt idx="315">
                  <c:v>-263.154169778489</c:v>
                </c:pt>
                <c:pt idx="316">
                  <c:v>-263.234944516492</c:v>
                </c:pt>
                <c:pt idx="317">
                  <c:v>-263.314529122016</c:v>
                </c:pt>
                <c:pt idx="318">
                  <c:v>-263.39295316978</c:v>
                </c:pt>
                <c:pt idx="319">
                  <c:v>-263.470245280243</c:v>
                </c:pt>
                <c:pt idx="320">
                  <c:v>-263.54643315702</c:v>
                </c:pt>
                <c:pt idx="321">
                  <c:v>-263.621543622585</c:v>
                </c:pt>
                <c:pt idx="322">
                  <c:v>-263.695602652362</c:v>
                </c:pt>
                <c:pt idx="323">
                  <c:v>-263.768635407275</c:v>
                </c:pt>
                <c:pt idx="324">
                  <c:v>-263.840666264839</c:v>
                </c:pt>
                <c:pt idx="325">
                  <c:v>-263.911718848874</c:v>
                </c:pt>
                <c:pt idx="326">
                  <c:v>-263.981816057892</c:v>
                </c:pt>
                <c:pt idx="327">
                  <c:v>-264.050980092249</c:v>
                </c:pt>
                <c:pt idx="328">
                  <c:v>-264.1192324801</c:v>
                </c:pt>
                <c:pt idx="329">
                  <c:v>-264.186594102234</c:v>
                </c:pt>
                <c:pt idx="330">
                  <c:v>-264.253085215825</c:v>
                </c:pt>
                <c:pt idx="331">
                  <c:v>-264.318725477178</c:v>
                </c:pt>
                <c:pt idx="332">
                  <c:v>-264.383533963492</c:v>
                </c:pt>
                <c:pt idx="333">
                  <c:v>-264.44752919371</c:v>
                </c:pt>
                <c:pt idx="334">
                  <c:v>-264.510729148479</c:v>
                </c:pt>
                <c:pt idx="335">
                  <c:v>-264.573151289283</c:v>
                </c:pt>
                <c:pt idx="336">
                  <c:v>-264.634812576779</c:v>
                </c:pt>
                <c:pt idx="337">
                  <c:v>-264.695729488361</c:v>
                </c:pt>
                <c:pt idx="338">
                  <c:v>-264.755918035021</c:v>
                </c:pt>
                <c:pt idx="339">
                  <c:v>-264.815393777503</c:v>
                </c:pt>
                <c:pt idx="340">
                  <c:v>-264.874171841807</c:v>
                </c:pt>
                <c:pt idx="341">
                  <c:v>-264.932266934068</c:v>
                </c:pt>
                <c:pt idx="342">
                  <c:v>-264.989693354834</c:v>
                </c:pt>
                <c:pt idx="343">
                  <c:v>-265.046465012773</c:v>
                </c:pt>
                <c:pt idx="344">
                  <c:v>-265.102595437836</c:v>
                </c:pt>
                <c:pt idx="345">
                  <c:v>-265.158097793905</c:v>
                </c:pt>
                <c:pt idx="346">
                  <c:v>-265.212984890935</c:v>
                </c:pt>
                <c:pt idx="347">
                  <c:v>-265.267269196627</c:v>
                </c:pt>
                <c:pt idx="348">
                  <c:v>-265.320962847653</c:v>
                </c:pt>
                <c:pt idx="349">
                  <c:v>-265.374077660439</c:v>
                </c:pt>
                <c:pt idx="350">
                  <c:v>-265.426625141541</c:v>
                </c:pt>
                <c:pt idx="351">
                  <c:v>-265.478616497618</c:v>
                </c:pt>
                <c:pt idx="352">
                  <c:v>-265.530062645036</c:v>
                </c:pt>
                <c:pt idx="353">
                  <c:v>-265.580974219102</c:v>
                </c:pt>
                <c:pt idx="354">
                  <c:v>-265.631361582957</c:v>
                </c:pt>
                <c:pt idx="355">
                  <c:v>-265.681234836133</c:v>
                </c:pt>
                <c:pt idx="356">
                  <c:v>-265.730603822795</c:v>
                </c:pt>
                <c:pt idx="357">
                  <c:v>-265.779478139681</c:v>
                </c:pt>
                <c:pt idx="358">
                  <c:v>-265.827867143747</c:v>
                </c:pt>
                <c:pt idx="359">
                  <c:v>-265.875779959535</c:v>
                </c:pt>
                <c:pt idx="360">
                  <c:v>-265.923225486275</c:v>
                </c:pt>
                <c:pt idx="361">
                  <c:v>-265.970212404728</c:v>
                </c:pt>
                <c:pt idx="362">
                  <c:v>-266.016749183788</c:v>
                </c:pt>
                <c:pt idx="363">
                  <c:v>-266.062844086843</c:v>
                </c:pt>
                <c:pt idx="364">
                  <c:v>-266.108505177915</c:v>
                </c:pt>
                <c:pt idx="365">
                  <c:v>-266.153740327582</c:v>
                </c:pt>
                <c:pt idx="366">
                  <c:v>-266.198557218689</c:v>
                </c:pt>
                <c:pt idx="367">
                  <c:v>-266.242963351866</c:v>
                </c:pt>
                <c:pt idx="368">
                  <c:v>-266.286966050848</c:v>
                </c:pt>
                <c:pt idx="369">
                  <c:v>-266.330572467616</c:v>
                </c:pt>
                <c:pt idx="370">
                  <c:v>-266.37378958736</c:v>
                </c:pt>
                <c:pt idx="371">
                  <c:v>-266.41662423327</c:v>
                </c:pt>
                <c:pt idx="372">
                  <c:v>-266.459083071167</c:v>
                </c:pt>
                <c:pt idx="373">
                  <c:v>-266.501172613978</c:v>
                </c:pt>
                <c:pt idx="374">
                  <c:v>-266.542899226058</c:v>
                </c:pt>
                <c:pt idx="375">
                  <c:v>-266.584269127367</c:v>
                </c:pt>
                <c:pt idx="376">
                  <c:v>-266.625288397515</c:v>
                </c:pt>
                <c:pt idx="377">
                  <c:v>-266.665962979662</c:v>
                </c:pt>
                <c:pt idx="378">
                  <c:v>-266.706298684295</c:v>
                </c:pt>
                <c:pt idx="379">
                  <c:v>-266.746301192888</c:v>
                </c:pt>
                <c:pt idx="380">
                  <c:v>-266.785976061428</c:v>
                </c:pt>
                <c:pt idx="381">
                  <c:v>-266.825328723841</c:v>
                </c:pt>
                <c:pt idx="382">
                  <c:v>-266.864364495297</c:v>
                </c:pt>
                <c:pt idx="383">
                  <c:v>-266.903088575415</c:v>
                </c:pt>
                <c:pt idx="384">
                  <c:v>-266.941506051362</c:v>
                </c:pt>
                <c:pt idx="385">
                  <c:v>-266.979621900858</c:v>
                </c:pt>
                <c:pt idx="386">
                  <c:v>-267.01744099508</c:v>
                </c:pt>
                <c:pt idx="387">
                  <c:v>-267.05496810148</c:v>
                </c:pt>
                <c:pt idx="388">
                  <c:v>-267.092207886509</c:v>
                </c:pt>
                <c:pt idx="389">
                  <c:v>-267.129164918263</c:v>
                </c:pt>
                <c:pt idx="390">
                  <c:v>-267.165843669042</c:v>
                </c:pt>
                <c:pt idx="391">
                  <c:v>-267.202248517832</c:v>
                </c:pt>
                <c:pt idx="392">
                  <c:v>-267.238383752707</c:v>
                </c:pt>
                <c:pt idx="393">
                  <c:v>-267.274253573166</c:v>
                </c:pt>
                <c:pt idx="394">
                  <c:v>-267.30986209239</c:v>
                </c:pt>
                <c:pt idx="395">
                  <c:v>-267.345213339434</c:v>
                </c:pt>
                <c:pt idx="396">
                  <c:v>-267.380311261357</c:v>
                </c:pt>
                <c:pt idx="397">
                  <c:v>-267.415159725279</c:v>
                </c:pt>
                <c:pt idx="398">
                  <c:v>-267.449762520388</c:v>
                </c:pt>
                <c:pt idx="399">
                  <c:v>-267.484123359877</c:v>
                </c:pt>
                <c:pt idx="400">
                  <c:v>-267.518245882829</c:v>
                </c:pt>
                <c:pt idx="401">
                  <c:v>-267.552133656046</c:v>
                </c:pt>
                <c:pt idx="402">
                  <c:v>-267.585790175827</c:v>
                </c:pt>
                <c:pt idx="403">
                  <c:v>-267.619218869686</c:v>
                </c:pt>
                <c:pt idx="404">
                  <c:v>-267.652423098029</c:v>
                </c:pt>
                <c:pt idx="405">
                  <c:v>-267.685406155779</c:v>
                </c:pt>
                <c:pt idx="406">
                  <c:v>-267.718171273951</c:v>
                </c:pt>
                <c:pt idx="407">
                  <c:v>-267.75072162119</c:v>
                </c:pt>
                <c:pt idx="408">
                  <c:v>-267.783060305257</c:v>
                </c:pt>
                <c:pt idx="409">
                  <c:v>-267.815190374477</c:v>
                </c:pt>
                <c:pt idx="410">
                  <c:v>-267.847114819146</c:v>
                </c:pt>
                <c:pt idx="411">
                  <c:v>-267.878836572898</c:v>
                </c:pt>
                <c:pt idx="412">
                  <c:v>-267.910358514031</c:v>
                </c:pt>
                <c:pt idx="413">
                  <c:v>-267.941683466802</c:v>
                </c:pt>
                <c:pt idx="414">
                  <c:v>-267.972814202681</c:v>
                </c:pt>
                <c:pt idx="415">
                  <c:v>-268.003753441572</c:v>
                </c:pt>
                <c:pt idx="416">
                  <c:v>-268.034503853002</c:v>
                </c:pt>
                <c:pt idx="417">
                  <c:v>-268.065068057272</c:v>
                </c:pt>
                <c:pt idx="418">
                  <c:v>-268.095448626588</c:v>
                </c:pt>
                <c:pt idx="419">
                  <c:v>-268.125648086144</c:v>
                </c:pt>
                <c:pt idx="420">
                  <c:v>-268.155668915196</c:v>
                </c:pt>
                <c:pt idx="421">
                  <c:v>-268.185513548088</c:v>
                </c:pt>
                <c:pt idx="422">
                  <c:v>-268.215184375266</c:v>
                </c:pt>
                <c:pt idx="423">
                  <c:v>-268.244683744254</c:v>
                </c:pt>
                <c:pt idx="424">
                  <c:v>-268.274013960609</c:v>
                </c:pt>
                <c:pt idx="425">
                  <c:v>-268.303177288853</c:v>
                </c:pt>
                <c:pt idx="426">
                  <c:v>-268.332175953374</c:v>
                </c:pt>
                <c:pt idx="427">
                  <c:v>-268.361012139308</c:v>
                </c:pt>
                <c:pt idx="428">
                  <c:v>-268.3896879934</c:v>
                </c:pt>
                <c:pt idx="429">
                  <c:v>-268.418205624833</c:v>
                </c:pt>
                <c:pt idx="430">
                  <c:v>-268.446567106049</c:v>
                </c:pt>
                <c:pt idx="431">
                  <c:v>-268.474774473539</c:v>
                </c:pt>
                <c:pt idx="432">
                  <c:v>-268.502829728613</c:v>
                </c:pt>
                <c:pt idx="433">
                  <c:v>-268.530734838158</c:v>
                </c:pt>
                <c:pt idx="434">
                  <c:v>-268.558491735367</c:v>
                </c:pt>
                <c:pt idx="435">
                  <c:v>-268.586102320458</c:v>
                </c:pt>
                <c:pt idx="436">
                  <c:v>-268.61356846137</c:v>
                </c:pt>
                <c:pt idx="437">
                  <c:v>-268.640891994439</c:v>
                </c:pt>
                <c:pt idx="438">
                  <c:v>-268.668074725065</c:v>
                </c:pt>
                <c:pt idx="439">
                  <c:v>-268.695118428357</c:v>
                </c:pt>
                <c:pt idx="440">
                  <c:v>-268.722024849762</c:v>
                </c:pt>
                <c:pt idx="441">
                  <c:v>-268.748795705677</c:v>
                </c:pt>
                <c:pt idx="442">
                  <c:v>-268.775432684055</c:v>
                </c:pt>
                <c:pt idx="443">
                  <c:v>-268.801937444981</c:v>
                </c:pt>
                <c:pt idx="444">
                  <c:v>-268.828311621248</c:v>
                </c:pt>
                <c:pt idx="445">
                  <c:v>-268.854556818914</c:v>
                </c:pt>
                <c:pt idx="446">
                  <c:v>-268.880674617838</c:v>
                </c:pt>
                <c:pt idx="447">
                  <c:v>-268.906666572216</c:v>
                </c:pt>
                <c:pt idx="448">
                  <c:v>-268.932534211098</c:v>
                </c:pt>
                <c:pt idx="449">
                  <c:v>-268.958279038888</c:v>
                </c:pt>
                <c:pt idx="450">
                  <c:v>-268.983902535839</c:v>
                </c:pt>
                <c:pt idx="451">
                  <c:v>-269.009406158535</c:v>
                </c:pt>
                <c:pt idx="452">
                  <c:v>-269.034791340357</c:v>
                </c:pt>
                <c:pt idx="453">
                  <c:v>-269.060059491946</c:v>
                </c:pt>
                <c:pt idx="454">
                  <c:v>-269.085212001646</c:v>
                </c:pt>
                <c:pt idx="455">
                  <c:v>-269.110250235944</c:v>
                </c:pt>
                <c:pt idx="456">
                  <c:v>-269.135175539893</c:v>
                </c:pt>
                <c:pt idx="457">
                  <c:v>-269.159989237534</c:v>
                </c:pt>
                <c:pt idx="458">
                  <c:v>-269.1846926323</c:v>
                </c:pt>
                <c:pt idx="459">
                  <c:v>-269.209287007415</c:v>
                </c:pt>
                <c:pt idx="460">
                  <c:v>-269.23377362628</c:v>
                </c:pt>
                <c:pt idx="461">
                  <c:v>-269.258153732856</c:v>
                </c:pt>
                <c:pt idx="462">
                  <c:v>-269.282428552036</c:v>
                </c:pt>
                <c:pt idx="463">
                  <c:v>-269.306599290003</c:v>
                </c:pt>
                <c:pt idx="464">
                  <c:v>-269.330667134588</c:v>
                </c:pt>
                <c:pt idx="465">
                  <c:v>-269.354633255615</c:v>
                </c:pt>
                <c:pt idx="466">
                  <c:v>-269.378498805241</c:v>
                </c:pt>
                <c:pt idx="467">
                  <c:v>-269.402264918284</c:v>
                </c:pt>
                <c:pt idx="468">
                  <c:v>-269.425932712552</c:v>
                </c:pt>
                <c:pt idx="469">
                  <c:v>-269.449503289155</c:v>
                </c:pt>
                <c:pt idx="470">
                  <c:v>-269.472977732814</c:v>
                </c:pt>
                <c:pt idx="471">
                  <c:v>-269.496357112167</c:v>
                </c:pt>
                <c:pt idx="472">
                  <c:v>-269.519642480063</c:v>
                </c:pt>
                <c:pt idx="473">
                  <c:v>-269.542834873852</c:v>
                </c:pt>
                <c:pt idx="474">
                  <c:v>-269.565935315667</c:v>
                </c:pt>
                <c:pt idx="475">
                  <c:v>-269.588944812702</c:v>
                </c:pt>
                <c:pt idx="476">
                  <c:v>-269.611864357483</c:v>
                </c:pt>
                <c:pt idx="477">
                  <c:v>-269.634694928134</c:v>
                </c:pt>
                <c:pt idx="478">
                  <c:v>-269.657437488632</c:v>
                </c:pt>
                <c:pt idx="479">
                  <c:v>-269.680092989068</c:v>
                </c:pt>
                <c:pt idx="480">
                  <c:v>-269.702662365888</c:v>
                </c:pt>
                <c:pt idx="481">
                  <c:v>-269.725146542141</c:v>
                </c:pt>
                <c:pt idx="482">
                  <c:v>-269.747546427716</c:v>
                </c:pt>
                <c:pt idx="483">
                  <c:v>-269.769862919574</c:v>
                </c:pt>
                <c:pt idx="484">
                  <c:v>-269.792096901976</c:v>
                </c:pt>
                <c:pt idx="485">
                  <c:v>-269.814249246705</c:v>
                </c:pt>
                <c:pt idx="486">
                  <c:v>-269.836320813289</c:v>
                </c:pt>
                <c:pt idx="487">
                  <c:v>-269.858312449211</c:v>
                </c:pt>
                <c:pt idx="488">
                  <c:v>-269.880224990117</c:v>
                </c:pt>
                <c:pt idx="489">
                  <c:v>-269.902059260026</c:v>
                </c:pt>
                <c:pt idx="490">
                  <c:v>-269.923816071528</c:v>
                </c:pt>
                <c:pt idx="491">
                  <c:v>-269.945496225981</c:v>
                </c:pt>
                <c:pt idx="492">
                  <c:v>-269.967100513703</c:v>
                </c:pt>
                <c:pt idx="493">
                  <c:v>-269.988629714163</c:v>
                </c:pt>
                <c:pt idx="494">
                  <c:v>-270.010084596165</c:v>
                </c:pt>
                <c:pt idx="495">
                  <c:v>-270.031465918027</c:v>
                </c:pt>
                <c:pt idx="496">
                  <c:v>-270.052774427761</c:v>
                </c:pt>
                <c:pt idx="497">
                  <c:v>-270.074010863247</c:v>
                </c:pt>
                <c:pt idx="498">
                  <c:v>-270.095175952402</c:v>
                </c:pt>
                <c:pt idx="499">
                  <c:v>-270.116270413347</c:v>
                </c:pt>
                <c:pt idx="500">
                  <c:v>-270.137294954572</c:v>
                </c:pt>
                <c:pt idx="501">
                  <c:v>-270.158250275096</c:v>
                </c:pt>
                <c:pt idx="502">
                  <c:v>-270.179137064622</c:v>
                </c:pt>
                <c:pt idx="503">
                  <c:v>-270.199956003695</c:v>
                </c:pt>
                <c:pt idx="504">
                  <c:v>-270.22070776385</c:v>
                </c:pt>
                <c:pt idx="505">
                  <c:v>-270.241393007762</c:v>
                </c:pt>
                <c:pt idx="506">
                  <c:v>-270.262012389387</c:v>
                </c:pt>
                <c:pt idx="507">
                  <c:v>-270.282566554112</c:v>
                </c:pt>
                <c:pt idx="508">
                  <c:v>-270.303056138888</c:v>
                </c:pt>
                <c:pt idx="509">
                  <c:v>-270.323481772367</c:v>
                </c:pt>
                <c:pt idx="510">
                  <c:v>-270.343844075043</c:v>
                </c:pt>
                <c:pt idx="511">
                  <c:v>-270.364143659373</c:v>
                </c:pt>
                <c:pt idx="512">
                  <c:v>-270.384381129916</c:v>
                </c:pt>
                <c:pt idx="513">
                  <c:v>-270.404557083455</c:v>
                </c:pt>
                <c:pt idx="514">
                  <c:v>-270.42467210912</c:v>
                </c:pt>
                <c:pt idx="515">
                  <c:v>-270.444726788511</c:v>
                </c:pt>
                <c:pt idx="516">
                  <c:v>-270.464721695821</c:v>
                </c:pt>
                <c:pt idx="517">
                  <c:v>-270.484657397948</c:v>
                </c:pt>
                <c:pt idx="518">
                  <c:v>-270.504534454612</c:v>
                </c:pt>
                <c:pt idx="519">
                  <c:v>-270.524353418469</c:v>
                </c:pt>
                <c:pt idx="520">
                  <c:v>-270.54411483522</c:v>
                </c:pt>
                <c:pt idx="521">
                  <c:v>-270.563819243721</c:v>
                </c:pt>
                <c:pt idx="522">
                  <c:v>-270.583467176088</c:v>
                </c:pt>
                <c:pt idx="523">
                  <c:v>-270.603059157806</c:v>
                </c:pt>
                <c:pt idx="524">
                  <c:v>-270.622595707824</c:v>
                </c:pt>
                <c:pt idx="525">
                  <c:v>-270.642077338663</c:v>
                </c:pt>
                <c:pt idx="526">
                  <c:v>-270.661504556512</c:v>
                </c:pt>
                <c:pt idx="527">
                  <c:v>-270.680877861325</c:v>
                </c:pt>
                <c:pt idx="528">
                  <c:v>-270.700197746917</c:v>
                </c:pt>
                <c:pt idx="529">
                  <c:v>-270.719464701056</c:v>
                </c:pt>
                <c:pt idx="530">
                  <c:v>-270.738679205559</c:v>
                </c:pt>
                <c:pt idx="531">
                  <c:v>-270.757841736377</c:v>
                </c:pt>
                <c:pt idx="532">
                  <c:v>-270.776952763688</c:v>
                </c:pt>
                <c:pt idx="533">
                  <c:v>-270.796012751981</c:v>
                </c:pt>
                <c:pt idx="534">
                  <c:v>-270.815022160143</c:v>
                </c:pt>
                <c:pt idx="535">
                  <c:v>-270.833981441542</c:v>
                </c:pt>
                <c:pt idx="536">
                  <c:v>-270.852891044111</c:v>
                </c:pt>
                <c:pt idx="537">
                  <c:v>-270.871751410427</c:v>
                </c:pt>
                <c:pt idx="538">
                  <c:v>-270.890562977792</c:v>
                </c:pt>
                <c:pt idx="539">
                  <c:v>-270.909326178311</c:v>
                </c:pt>
                <c:pt idx="540">
                  <c:v>-270.928041438966</c:v>
                </c:pt>
                <c:pt idx="541">
                  <c:v>-270.946709181696</c:v>
                </c:pt>
                <c:pt idx="542">
                  <c:v>-270.965329823468</c:v>
                </c:pt>
                <c:pt idx="543">
                  <c:v>-270.98390377635</c:v>
                </c:pt>
                <c:pt idx="544">
                  <c:v>-271.002431447582</c:v>
                </c:pt>
                <c:pt idx="545">
                  <c:v>-271.02091323965</c:v>
                </c:pt>
                <c:pt idx="546">
                  <c:v>-271.039349550348</c:v>
                </c:pt>
                <c:pt idx="547">
                  <c:v>-271.057740772853</c:v>
                </c:pt>
                <c:pt idx="548">
                  <c:v>-271.076087295787</c:v>
                </c:pt>
                <c:pt idx="549">
                  <c:v>-271.094389503286</c:v>
                </c:pt>
                <c:pt idx="550">
                  <c:v>-271.112647775059</c:v>
                </c:pt>
                <c:pt idx="551">
                  <c:v>-271.130862486458</c:v>
                </c:pt>
                <c:pt idx="552">
                  <c:v>-271.149034008535</c:v>
                </c:pt>
                <c:pt idx="553">
                  <c:v>-271.167162708106</c:v>
                </c:pt>
                <c:pt idx="554">
                  <c:v>-271.185248947808</c:v>
                </c:pt>
                <c:pt idx="555">
                  <c:v>-271.203293086163</c:v>
                </c:pt>
                <c:pt idx="556">
                  <c:v>-271.221295477631</c:v>
                </c:pt>
                <c:pt idx="557">
                  <c:v>-271.239256472669</c:v>
                </c:pt>
                <c:pt idx="558">
                  <c:v>-271.257176417791</c:v>
                </c:pt>
                <c:pt idx="559">
                  <c:v>-271.275055655615</c:v>
                </c:pt>
                <c:pt idx="560">
                  <c:v>-271.292894524925</c:v>
                </c:pt>
                <c:pt idx="561">
                  <c:v>-271.310693360719</c:v>
                </c:pt>
                <c:pt idx="562">
                  <c:v>-271.328452494265</c:v>
                </c:pt>
                <c:pt idx="563">
                  <c:v>-271.346172253153</c:v>
                </c:pt>
                <c:pt idx="564">
                  <c:v>-271.36385296134</c:v>
                </c:pt>
                <c:pt idx="565">
                  <c:v>-271.381494939207</c:v>
                </c:pt>
                <c:pt idx="566">
                  <c:v>-271.399098503605</c:v>
                </c:pt>
                <c:pt idx="567">
                  <c:v>-271.416663967902</c:v>
                </c:pt>
                <c:pt idx="568">
                  <c:v>-271.434191642033</c:v>
                </c:pt>
                <c:pt idx="569">
                  <c:v>-271.451681832545</c:v>
                </c:pt>
                <c:pt idx="570">
                  <c:v>-271.469134842644</c:v>
                </c:pt>
                <c:pt idx="571">
                  <c:v>-271.486550972241</c:v>
                </c:pt>
                <c:pt idx="572">
                  <c:v>-271.503930517992</c:v>
                </c:pt>
                <c:pt idx="573">
                  <c:v>-271.521273773348</c:v>
                </c:pt>
                <c:pt idx="574">
                  <c:v>-271.538581028595</c:v>
                </c:pt>
                <c:pt idx="575">
                  <c:v>-271.555852570896</c:v>
                </c:pt>
                <c:pt idx="576">
                  <c:v>-271.573088684332</c:v>
                </c:pt>
                <c:pt idx="577">
                  <c:v>-271.590289649947</c:v>
                </c:pt>
                <c:pt idx="578">
                  <c:v>-271.607455745782</c:v>
                </c:pt>
                <c:pt idx="579">
                  <c:v>-271.624587246923</c:v>
                </c:pt>
                <c:pt idx="580">
                  <c:v>-271.641684425532</c:v>
                </c:pt>
                <c:pt idx="581">
                  <c:v>-271.658747550891</c:v>
                </c:pt>
                <c:pt idx="582">
                  <c:v>-271.675776889436</c:v>
                </c:pt>
                <c:pt idx="583">
                  <c:v>-271.692772704798</c:v>
                </c:pt>
                <c:pt idx="584">
                  <c:v>-271.709735257838</c:v>
                </c:pt>
                <c:pt idx="585">
                  <c:v>-271.726664806681</c:v>
                </c:pt>
                <c:pt idx="586">
                  <c:v>-271.743561606756</c:v>
                </c:pt>
                <c:pt idx="587">
                  <c:v>-271.760425910828</c:v>
                </c:pt>
                <c:pt idx="588">
                  <c:v>-271.777257969032</c:v>
                </c:pt>
                <c:pt idx="589">
                  <c:v>-271.79405802891</c:v>
                </c:pt>
                <c:pt idx="590">
                  <c:v>-271.810826335441</c:v>
                </c:pt>
                <c:pt idx="591">
                  <c:v>-271.827563131075</c:v>
                </c:pt>
                <c:pt idx="592">
                  <c:v>-271.844268655769</c:v>
                </c:pt>
                <c:pt idx="593">
                  <c:v>-271.860943147011</c:v>
                </c:pt>
                <c:pt idx="594">
                  <c:v>-271.87758683986</c:v>
                </c:pt>
                <c:pt idx="595">
                  <c:v>-271.894199966972</c:v>
                </c:pt>
                <c:pt idx="596">
                  <c:v>-271.91078275863</c:v>
                </c:pt>
                <c:pt idx="597">
                  <c:v>-271.927335442778</c:v>
                </c:pt>
                <c:pt idx="598">
                  <c:v>-271.943858245046</c:v>
                </c:pt>
                <c:pt idx="599">
                  <c:v>-271.960351388782</c:v>
                </c:pt>
                <c:pt idx="600">
                  <c:v>-271.976815095081</c:v>
                </c:pt>
                <c:pt idx="601">
                  <c:v>-271.99324958281</c:v>
                </c:pt>
                <c:pt idx="602">
                  <c:v>-272.00965506864</c:v>
                </c:pt>
                <c:pt idx="603">
                  <c:v>-272.026031767069</c:v>
                </c:pt>
                <c:pt idx="604">
                  <c:v>-272.042379890454</c:v>
                </c:pt>
                <c:pt idx="605">
                  <c:v>-272.058699649034</c:v>
                </c:pt>
                <c:pt idx="606">
                  <c:v>-272.842622683043</c:v>
                </c:pt>
                <c:pt idx="607">
                  <c:v>-273.576106394018</c:v>
                </c:pt>
                <c:pt idx="608">
                  <c:v>-274.272542769047</c:v>
                </c:pt>
                <c:pt idx="609">
                  <c:v>-274.940846189599</c:v>
                </c:pt>
                <c:pt idx="610">
                  <c:v>-275.587169654548</c:v>
                </c:pt>
                <c:pt idx="611">
                  <c:v>-276.215888360733</c:v>
                </c:pt>
                <c:pt idx="612">
                  <c:v>-276.830191176655</c:v>
                </c:pt>
                <c:pt idx="613">
                  <c:v>-277.432450969457</c:v>
                </c:pt>
                <c:pt idx="614">
                  <c:v>-278.024464575088</c:v>
                </c:pt>
                <c:pt idx="615">
                  <c:v>-278.607612973477</c:v>
                </c:pt>
                <c:pt idx="616">
                  <c:v>-279.182970998402</c:v>
                </c:pt>
                <c:pt idx="617">
                  <c:v>-279.751384207675</c:v>
                </c:pt>
                <c:pt idx="618">
                  <c:v>-279.977072914495</c:v>
                </c:pt>
                <c:pt idx="619">
                  <c:v>-280.201792303191</c:v>
                </c:pt>
                <c:pt idx="620">
                  <c:v>-280.425576020304</c:v>
                </c:pt>
                <c:pt idx="621">
                  <c:v>-280.648454908084</c:v>
                </c:pt>
                <c:pt idx="622">
                  <c:v>-280.870457263734</c:v>
                </c:pt>
                <c:pt idx="623">
                  <c:v>-281.091609070943</c:v>
                </c:pt>
                <c:pt idx="624">
                  <c:v>-281.311934207115</c:v>
                </c:pt>
                <c:pt idx="625">
                  <c:v>-281.531454629224</c:v>
                </c:pt>
                <c:pt idx="626">
                  <c:v>-281.75019054081</c:v>
                </c:pt>
                <c:pt idx="627">
                  <c:v>-281.968160542338</c:v>
                </c:pt>
                <c:pt idx="628">
                  <c:v>-282.185381766796</c:v>
                </c:pt>
                <c:pt idx="629">
                  <c:v>-282.401870002214</c:v>
                </c:pt>
                <c:pt idx="630">
                  <c:v>-282.617639802554</c:v>
                </c:pt>
                <c:pt idx="631">
                  <c:v>-282.832704588224</c:v>
                </c:pt>
                <c:pt idx="632">
                  <c:v>-283.047076737349</c:v>
                </c:pt>
                <c:pt idx="633">
                  <c:v>-283.260767668765</c:v>
                </c:pt>
                <c:pt idx="634">
                  <c:v>-283.473787917605</c:v>
                </c:pt>
                <c:pt idx="635">
                  <c:v>-283.686147204229</c:v>
                </c:pt>
                <c:pt idx="636">
                  <c:v>-283.897854497181</c:v>
                </c:pt>
                <c:pt idx="637">
                  <c:v>-284.108918070762</c:v>
                </c:pt>
                <c:pt idx="638">
                  <c:v>-284.319345557749</c:v>
                </c:pt>
                <c:pt idx="639">
                  <c:v>-284.52914399773</c:v>
                </c:pt>
                <c:pt idx="640">
                  <c:v>-284.738319881473</c:v>
                </c:pt>
                <c:pt idx="641">
                  <c:v>-284.946879191708</c:v>
                </c:pt>
                <c:pt idx="642">
                  <c:v>-285.154827440647</c:v>
                </c:pt>
                <c:pt idx="643">
                  <c:v>-285.36216970454</c:v>
                </c:pt>
                <c:pt idx="644">
                  <c:v>-285.56891065555</c:v>
                </c:pt>
                <c:pt idx="645">
                  <c:v>-285.775054591166</c:v>
                </c:pt>
                <c:pt idx="646">
                  <c:v>-285.980605461386</c:v>
                </c:pt>
                <c:pt idx="647">
                  <c:v>-286.185566893855</c:v>
                </c:pt>
                <c:pt idx="648">
                  <c:v>-286.389942217139</c:v>
                </c:pt>
                <c:pt idx="649">
                  <c:v>-286.593734482285</c:v>
                </c:pt>
                <c:pt idx="650">
                  <c:v>-286.796946482827</c:v>
                </c:pt>
                <c:pt idx="651">
                  <c:v>-286.999580773338</c:v>
                </c:pt>
                <c:pt idx="652">
                  <c:v>-287.201639686684</c:v>
                </c:pt>
                <c:pt idx="653">
                  <c:v>-287.403125350046</c:v>
                </c:pt>
                <c:pt idx="654">
                  <c:v>-287.604039699838</c:v>
                </c:pt>
                <c:pt idx="655">
                  <c:v>-287.804384495592</c:v>
                </c:pt>
                <c:pt idx="656">
                  <c:v>-288.004161332894</c:v>
                </c:pt>
                <c:pt idx="657">
                  <c:v>-288.203371655447</c:v>
                </c:pt>
                <c:pt idx="658">
                  <c:v>-288.40201676632</c:v>
                </c:pt>
                <c:pt idx="659">
                  <c:v>-288.600097838456</c:v>
                </c:pt>
                <c:pt idx="660">
                  <c:v>-288.79761592448</c:v>
                </c:pt>
                <c:pt idx="661">
                  <c:v>-288.994571965865</c:v>
                </c:pt>
                <c:pt idx="662">
                  <c:v>-289.190966801512</c:v>
                </c:pt>
                <c:pt idx="663">
                  <c:v>-289.38680117576</c:v>
                </c:pt>
                <c:pt idx="664">
                  <c:v>-289.582075745903</c:v>
                </c:pt>
                <c:pt idx="665">
                  <c:v>-289.776791089207</c:v>
                </c:pt>
                <c:pt idx="666">
                  <c:v>-289.970947709505</c:v>
                </c:pt>
                <c:pt idx="667">
                  <c:v>-290.164546043356</c:v>
                </c:pt>
              </c:numCache>
            </c:numRef>
          </c:yVal>
        </c:ser>
        <c:axId val="17221"/>
        <c:axId val="11802"/>
      </c:scatterChart>
      <c:valAx>
        <c:axId val="18418"/>
        <c:scaling>
          <c:orientation val="minMax"/>
          <c:logBase val="10"/>
          <c:max val="10000000"/>
          <c:min val="1000"/>
        </c:scaling>
        <c:delete val="0"/>
        <c:axPos val="b"/>
        <c:title>
          <c:tx>
            <c:rich>
              <a:bodyPr/>
              <a:lstStyle/>
              <a:p>
                <a:pPr>
                  <a:defRPr/>
                </a:pPr>
                <a:r>
                  <a:rPr b="1" sz="800">
                    <a:solidFill>
                      <a:srgbClr val="000000"/>
                    </a:solidFill>
                    <a:latin typeface="Arial"/>
                    <a:ea typeface="Arial"/>
                  </a:rPr>
                  <a:t>Frequency (Hz)</a:t>
                </a:r>
              </a:p>
            </c:rich>
          </c:tx>
          <c:layout/>
        </c:title>
        <c:majorTickMark val="out"/>
        <c:minorTickMark val="in"/>
        <c:tickLblPos val="nextTo"/>
        <c:spPr>
          <a:ln w="3240">
            <a:solidFill>
              <a:srgbClr val="000000"/>
            </a:solidFill>
            <a:round/>
          </a:ln>
        </c:spPr>
        <c:crossAx val="10963"/>
        <c:crossesAt val="-80"/>
      </c:valAx>
      <c:valAx>
        <c:axId val="10963"/>
        <c:scaling>
          <c:orientation val="minMax"/>
          <c:min val="-60"/>
        </c:scaling>
        <c:delete val="0"/>
        <c:axPos val="l"/>
        <c:majorGridlines>
          <c:spPr>
            <a:ln w="3240">
              <a:solidFill>
                <a:srgbClr val="000000"/>
              </a:solidFill>
              <a:round/>
            </a:ln>
          </c:spPr>
        </c:majorGridlines>
        <c:title>
          <c:tx>
            <c:rich>
              <a:bodyPr/>
              <a:lstStyle/>
              <a:p>
                <a:pPr>
                  <a:defRPr/>
                </a:pPr>
                <a:r>
                  <a:rPr b="1" sz="800">
                    <a:solidFill>
                      <a:srgbClr val="000000"/>
                    </a:solidFill>
                    <a:latin typeface="Arial"/>
                    <a:ea typeface="Arial"/>
                  </a:rPr>
                  <a:t>Gain (db)</a:t>
                </a:r>
              </a:p>
            </c:rich>
          </c:tx>
          <c:layout/>
        </c:title>
        <c:majorTickMark val="out"/>
        <c:minorTickMark val="none"/>
        <c:tickLblPos val="nextTo"/>
        <c:spPr>
          <a:ln w="3240">
            <a:solidFill>
              <a:srgbClr val="000000"/>
            </a:solidFill>
            <a:round/>
          </a:ln>
        </c:spPr>
        <c:crossAx val="18418"/>
        <c:crossesAt val="1"/>
      </c:valAx>
      <c:valAx>
        <c:axId val="17221"/>
        <c:scaling>
          <c:orientation val="minMax"/>
          <c:logBase val="10"/>
          <c:max val="10000000"/>
          <c:min val="1000"/>
        </c:scaling>
        <c:delete val="0"/>
        <c:axPos val="b"/>
        <c:title>
          <c:tx>
            <c:rich>
              <a:bodyPr/>
              <a:lstStyle/>
              <a:p>
                <a:pPr>
                  <a:defRPr/>
                </a:pPr>
                <a:r>
                  <a:rPr b="1" sz="800">
                    <a:solidFill>
                      <a:srgbClr val="000000"/>
                    </a:solidFill>
                    <a:latin typeface="Arial"/>
                    <a:ea typeface="Arial"/>
                  </a:rPr>
                  <a:t>Frequency (Hz)</a:t>
                </a:r>
              </a:p>
            </c:rich>
          </c:tx>
          <c:layout/>
        </c:title>
        <c:majorTickMark val="out"/>
        <c:minorTickMark val="in"/>
        <c:tickLblPos val="nextTo"/>
        <c:spPr>
          <a:ln w="3240">
            <a:solidFill>
              <a:srgbClr val="000000"/>
            </a:solidFill>
            <a:round/>
          </a:ln>
        </c:spPr>
        <c:crossAx val="11802"/>
        <c:crossesAt val="-80"/>
      </c:valAx>
      <c:valAx>
        <c:axId val="11802"/>
        <c:scaling>
          <c:orientation val="minMax"/>
        </c:scaling>
        <c:delete val="0"/>
        <c:axPos val="l"/>
        <c:title>
          <c:tx>
            <c:rich>
              <a:bodyPr/>
              <a:lstStyle/>
              <a:p>
                <a:pPr>
                  <a:defRPr/>
                </a:pPr>
                <a:r>
                  <a:rPr b="1" sz="800">
                    <a:solidFill>
                      <a:srgbClr val="000000"/>
                    </a:solidFill>
                    <a:latin typeface="Arial"/>
                    <a:ea typeface="Arial"/>
                  </a:rPr>
                  <a:t>Phase Margin (Deg)</a:t>
                </a:r>
              </a:p>
            </c:rich>
          </c:tx>
          <c:layout/>
        </c:title>
        <c:majorTickMark val="cross"/>
        <c:minorTickMark val="none"/>
        <c:tickLblPos val="nextTo"/>
        <c:spPr>
          <a:ln w="3240">
            <a:solidFill>
              <a:srgbClr val="000000"/>
            </a:solidFill>
            <a:round/>
          </a:ln>
        </c:spPr>
        <c:crossAx val="17221"/>
        <c:crosses val="max"/>
      </c:valAx>
      <c:spPr>
        <a:noFill/>
        <a:ln w="12600">
          <a:solidFill>
            <a:srgbClr val="808080"/>
          </a:solidFill>
          <a:round/>
        </a:ln>
      </c:spPr>
    </c:plotArea>
    <c:legend>
      <c:legendPos val="t"/>
      <c:overlay val="0"/>
      <c:spPr>
        <a:solidFill>
          <a:srgbClr val="ffffff"/>
        </a:solidFill>
        <a:ln w="3240">
          <a:solidFill>
            <a:srgbClr val="000000"/>
          </a:solidFill>
          <a:round/>
        </a:ln>
      </c:spPr>
    </c:legend>
    <c:plotVisOnly val="1"/>
  </c:chart>
  <c:spPr>
    <a:solidFill>
      <a:srgbClr val="ffffff"/>
    </a:solidFill>
    <a:ln w="25560">
      <a:solidFill>
        <a:srgbClr val="000000"/>
      </a:solidFill>
      <a:round/>
    </a:ln>
  </c:spPr>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b="1" sz="850">
                <a:solidFill>
                  <a:srgbClr val="000000"/>
                </a:solidFill>
                <a:latin typeface="Arial"/>
                <a:ea typeface="Arial"/>
              </a:rPr>
              <a:t>Comp to Vout</a:t>
            </a:r>
          </a:p>
        </c:rich>
      </c:tx>
      <c:layout/>
    </c:title>
    <c:plotArea>
      <c:layout/>
      <c:scatterChart>
        <c:scatterStyle val="lineMarker"/>
        <c:varyColors val="0"/>
        <c:ser>
          <c:idx val="0"/>
          <c:order val="0"/>
          <c:tx>
            <c:strRef>
              <c:f>"Actual gain"</c:f>
              <c:strCache>
                <c:ptCount val="1"/>
                <c:pt idx="0">
                  <c:v>Actual gain</c:v>
                </c:pt>
              </c:strCache>
            </c:strRef>
          </c:tx>
          <c:spPr>
            <a:solidFill>
              <a:srgbClr val="ff0000"/>
            </a:solidFill>
            <a:ln w="38160">
              <a:solidFill>
                <a:srgbClr val="ff0000"/>
              </a:solidFill>
              <a:round/>
            </a:ln>
          </c:spPr>
          <c:marker>
            <c:symbol val="none"/>
          </c:marker>
          <c:xVal>
            <c:numRef>
              <c:f>'Bode Plots Calculations'!$A$9:$A$676</c:f>
              <c:numCache>
                <c:formatCode>General</c:formatCode>
                <c:ptCount val="668"/>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1500</c:v>
                </c:pt>
                <c:pt idx="29">
                  <c:v>2000</c:v>
                </c:pt>
                <c:pt idx="30">
                  <c:v>2500</c:v>
                </c:pt>
                <c:pt idx="31">
                  <c:v>3000</c:v>
                </c:pt>
                <c:pt idx="32">
                  <c:v>3500</c:v>
                </c:pt>
                <c:pt idx="33">
                  <c:v>4000</c:v>
                </c:pt>
                <c:pt idx="34">
                  <c:v>4500</c:v>
                </c:pt>
                <c:pt idx="35">
                  <c:v>5000</c:v>
                </c:pt>
                <c:pt idx="36">
                  <c:v>5500</c:v>
                </c:pt>
                <c:pt idx="37">
                  <c:v>6000</c:v>
                </c:pt>
                <c:pt idx="38">
                  <c:v>6500</c:v>
                </c:pt>
                <c:pt idx="39">
                  <c:v>7000</c:v>
                </c:pt>
                <c:pt idx="40">
                  <c:v>7500</c:v>
                </c:pt>
                <c:pt idx="41">
                  <c:v>8000</c:v>
                </c:pt>
                <c:pt idx="42">
                  <c:v>8500</c:v>
                </c:pt>
                <c:pt idx="43">
                  <c:v>9000</c:v>
                </c:pt>
                <c:pt idx="44">
                  <c:v>9500</c:v>
                </c:pt>
                <c:pt idx="45">
                  <c:v>10000</c:v>
                </c:pt>
                <c:pt idx="46">
                  <c:v>10500</c:v>
                </c:pt>
                <c:pt idx="47">
                  <c:v>11000</c:v>
                </c:pt>
                <c:pt idx="48">
                  <c:v>11500</c:v>
                </c:pt>
                <c:pt idx="49">
                  <c:v>12000</c:v>
                </c:pt>
                <c:pt idx="50">
                  <c:v>12500</c:v>
                </c:pt>
                <c:pt idx="51">
                  <c:v>13000</c:v>
                </c:pt>
                <c:pt idx="52">
                  <c:v>13500</c:v>
                </c:pt>
                <c:pt idx="53">
                  <c:v>14000</c:v>
                </c:pt>
                <c:pt idx="54">
                  <c:v>14500</c:v>
                </c:pt>
                <c:pt idx="55">
                  <c:v>15000</c:v>
                </c:pt>
                <c:pt idx="56">
                  <c:v>15500</c:v>
                </c:pt>
                <c:pt idx="57">
                  <c:v>16000</c:v>
                </c:pt>
                <c:pt idx="58">
                  <c:v>16500</c:v>
                </c:pt>
                <c:pt idx="59">
                  <c:v>17000</c:v>
                </c:pt>
                <c:pt idx="60">
                  <c:v>17500</c:v>
                </c:pt>
                <c:pt idx="61">
                  <c:v>18000</c:v>
                </c:pt>
                <c:pt idx="62">
                  <c:v>18500</c:v>
                </c:pt>
                <c:pt idx="63">
                  <c:v>19000</c:v>
                </c:pt>
                <c:pt idx="64">
                  <c:v>19500</c:v>
                </c:pt>
                <c:pt idx="65">
                  <c:v>20000</c:v>
                </c:pt>
                <c:pt idx="66">
                  <c:v>20500</c:v>
                </c:pt>
                <c:pt idx="67">
                  <c:v>21000</c:v>
                </c:pt>
                <c:pt idx="68">
                  <c:v>21500</c:v>
                </c:pt>
                <c:pt idx="69">
                  <c:v>22000</c:v>
                </c:pt>
                <c:pt idx="70">
                  <c:v>22500</c:v>
                </c:pt>
                <c:pt idx="71">
                  <c:v>23000</c:v>
                </c:pt>
                <c:pt idx="72">
                  <c:v>23500</c:v>
                </c:pt>
                <c:pt idx="73">
                  <c:v>24000</c:v>
                </c:pt>
                <c:pt idx="74">
                  <c:v>24500</c:v>
                </c:pt>
                <c:pt idx="75">
                  <c:v>25000</c:v>
                </c:pt>
                <c:pt idx="76">
                  <c:v>25500</c:v>
                </c:pt>
                <c:pt idx="77">
                  <c:v>26000</c:v>
                </c:pt>
                <c:pt idx="78">
                  <c:v>26500</c:v>
                </c:pt>
                <c:pt idx="79">
                  <c:v>27000</c:v>
                </c:pt>
                <c:pt idx="80">
                  <c:v>27500</c:v>
                </c:pt>
                <c:pt idx="81">
                  <c:v>28000</c:v>
                </c:pt>
                <c:pt idx="82">
                  <c:v>28500</c:v>
                </c:pt>
                <c:pt idx="83">
                  <c:v>29000</c:v>
                </c:pt>
                <c:pt idx="84">
                  <c:v>29500</c:v>
                </c:pt>
                <c:pt idx="85">
                  <c:v>30000</c:v>
                </c:pt>
                <c:pt idx="86">
                  <c:v>30500</c:v>
                </c:pt>
                <c:pt idx="87">
                  <c:v>31000</c:v>
                </c:pt>
                <c:pt idx="88">
                  <c:v>31500</c:v>
                </c:pt>
                <c:pt idx="89">
                  <c:v>32000</c:v>
                </c:pt>
                <c:pt idx="90">
                  <c:v>32500</c:v>
                </c:pt>
                <c:pt idx="91">
                  <c:v>33000</c:v>
                </c:pt>
                <c:pt idx="92">
                  <c:v>33500</c:v>
                </c:pt>
                <c:pt idx="93">
                  <c:v>34000</c:v>
                </c:pt>
                <c:pt idx="94">
                  <c:v>34500</c:v>
                </c:pt>
                <c:pt idx="95">
                  <c:v>35000</c:v>
                </c:pt>
                <c:pt idx="96">
                  <c:v>35500</c:v>
                </c:pt>
                <c:pt idx="97">
                  <c:v>36000</c:v>
                </c:pt>
                <c:pt idx="98">
                  <c:v>36500</c:v>
                </c:pt>
                <c:pt idx="99">
                  <c:v>37000</c:v>
                </c:pt>
                <c:pt idx="100">
                  <c:v>37500</c:v>
                </c:pt>
                <c:pt idx="101">
                  <c:v>38000</c:v>
                </c:pt>
                <c:pt idx="102">
                  <c:v>38500</c:v>
                </c:pt>
                <c:pt idx="103">
                  <c:v>39000</c:v>
                </c:pt>
                <c:pt idx="104">
                  <c:v>39500</c:v>
                </c:pt>
                <c:pt idx="105">
                  <c:v>40000</c:v>
                </c:pt>
                <c:pt idx="106">
                  <c:v>40500</c:v>
                </c:pt>
                <c:pt idx="107">
                  <c:v>41000</c:v>
                </c:pt>
                <c:pt idx="108">
                  <c:v>41500</c:v>
                </c:pt>
                <c:pt idx="109">
                  <c:v>42000</c:v>
                </c:pt>
                <c:pt idx="110">
                  <c:v>42500</c:v>
                </c:pt>
                <c:pt idx="111">
                  <c:v>43000</c:v>
                </c:pt>
                <c:pt idx="112">
                  <c:v>43500</c:v>
                </c:pt>
                <c:pt idx="113">
                  <c:v>44000</c:v>
                </c:pt>
                <c:pt idx="114">
                  <c:v>44500</c:v>
                </c:pt>
                <c:pt idx="115">
                  <c:v>45000</c:v>
                </c:pt>
                <c:pt idx="116">
                  <c:v>45500</c:v>
                </c:pt>
                <c:pt idx="117">
                  <c:v>46000</c:v>
                </c:pt>
                <c:pt idx="118">
                  <c:v>46500</c:v>
                </c:pt>
                <c:pt idx="119">
                  <c:v>47000</c:v>
                </c:pt>
                <c:pt idx="120">
                  <c:v>47500</c:v>
                </c:pt>
                <c:pt idx="121">
                  <c:v>48000</c:v>
                </c:pt>
                <c:pt idx="122">
                  <c:v>48500</c:v>
                </c:pt>
                <c:pt idx="123">
                  <c:v>49000</c:v>
                </c:pt>
                <c:pt idx="124">
                  <c:v>49500</c:v>
                </c:pt>
                <c:pt idx="125">
                  <c:v>50000</c:v>
                </c:pt>
                <c:pt idx="126">
                  <c:v>50500</c:v>
                </c:pt>
                <c:pt idx="127">
                  <c:v>51000</c:v>
                </c:pt>
                <c:pt idx="128">
                  <c:v>51500</c:v>
                </c:pt>
                <c:pt idx="129">
                  <c:v>52000</c:v>
                </c:pt>
                <c:pt idx="130">
                  <c:v>52500</c:v>
                </c:pt>
                <c:pt idx="131">
                  <c:v>53000</c:v>
                </c:pt>
                <c:pt idx="132">
                  <c:v>53500</c:v>
                </c:pt>
                <c:pt idx="133">
                  <c:v>54000</c:v>
                </c:pt>
                <c:pt idx="134">
                  <c:v>54500</c:v>
                </c:pt>
                <c:pt idx="135">
                  <c:v>55000</c:v>
                </c:pt>
                <c:pt idx="136">
                  <c:v>55500</c:v>
                </c:pt>
                <c:pt idx="137">
                  <c:v>56000</c:v>
                </c:pt>
                <c:pt idx="138">
                  <c:v>56500</c:v>
                </c:pt>
                <c:pt idx="139">
                  <c:v>57000</c:v>
                </c:pt>
                <c:pt idx="140">
                  <c:v>57500</c:v>
                </c:pt>
                <c:pt idx="141">
                  <c:v>58000</c:v>
                </c:pt>
                <c:pt idx="142">
                  <c:v>58500</c:v>
                </c:pt>
                <c:pt idx="143">
                  <c:v>59000</c:v>
                </c:pt>
                <c:pt idx="144">
                  <c:v>59500</c:v>
                </c:pt>
                <c:pt idx="145">
                  <c:v>60000</c:v>
                </c:pt>
                <c:pt idx="146">
                  <c:v>60500</c:v>
                </c:pt>
                <c:pt idx="147">
                  <c:v>61000</c:v>
                </c:pt>
                <c:pt idx="148">
                  <c:v>61500</c:v>
                </c:pt>
                <c:pt idx="149">
                  <c:v>62000</c:v>
                </c:pt>
                <c:pt idx="150">
                  <c:v>62500</c:v>
                </c:pt>
                <c:pt idx="151">
                  <c:v>63000</c:v>
                </c:pt>
                <c:pt idx="152">
                  <c:v>63500</c:v>
                </c:pt>
                <c:pt idx="153">
                  <c:v>64000</c:v>
                </c:pt>
                <c:pt idx="154">
                  <c:v>64500</c:v>
                </c:pt>
                <c:pt idx="155">
                  <c:v>65000</c:v>
                </c:pt>
                <c:pt idx="156">
                  <c:v>65500</c:v>
                </c:pt>
                <c:pt idx="157">
                  <c:v>66000</c:v>
                </c:pt>
                <c:pt idx="158">
                  <c:v>66500</c:v>
                </c:pt>
                <c:pt idx="159">
                  <c:v>67000</c:v>
                </c:pt>
                <c:pt idx="160">
                  <c:v>67500</c:v>
                </c:pt>
                <c:pt idx="161">
                  <c:v>68000</c:v>
                </c:pt>
                <c:pt idx="162">
                  <c:v>68500</c:v>
                </c:pt>
                <c:pt idx="163">
                  <c:v>69000</c:v>
                </c:pt>
                <c:pt idx="164">
                  <c:v>69500</c:v>
                </c:pt>
                <c:pt idx="165">
                  <c:v>70000</c:v>
                </c:pt>
                <c:pt idx="166">
                  <c:v>70500</c:v>
                </c:pt>
                <c:pt idx="167">
                  <c:v>71000</c:v>
                </c:pt>
                <c:pt idx="168">
                  <c:v>71500</c:v>
                </c:pt>
                <c:pt idx="169">
                  <c:v>72000</c:v>
                </c:pt>
                <c:pt idx="170">
                  <c:v>72500</c:v>
                </c:pt>
                <c:pt idx="171">
                  <c:v>73000</c:v>
                </c:pt>
                <c:pt idx="172">
                  <c:v>73500</c:v>
                </c:pt>
                <c:pt idx="173">
                  <c:v>74000</c:v>
                </c:pt>
                <c:pt idx="174">
                  <c:v>74500</c:v>
                </c:pt>
                <c:pt idx="175">
                  <c:v>75000</c:v>
                </c:pt>
                <c:pt idx="176">
                  <c:v>75500</c:v>
                </c:pt>
                <c:pt idx="177">
                  <c:v>76000</c:v>
                </c:pt>
                <c:pt idx="178">
                  <c:v>76500</c:v>
                </c:pt>
                <c:pt idx="179">
                  <c:v>77000</c:v>
                </c:pt>
                <c:pt idx="180">
                  <c:v>77500</c:v>
                </c:pt>
                <c:pt idx="181">
                  <c:v>78000</c:v>
                </c:pt>
                <c:pt idx="182">
                  <c:v>78500</c:v>
                </c:pt>
                <c:pt idx="183">
                  <c:v>79000</c:v>
                </c:pt>
                <c:pt idx="184">
                  <c:v>79500</c:v>
                </c:pt>
                <c:pt idx="185">
                  <c:v>80000</c:v>
                </c:pt>
                <c:pt idx="186">
                  <c:v>80500</c:v>
                </c:pt>
                <c:pt idx="187">
                  <c:v>81000</c:v>
                </c:pt>
                <c:pt idx="188">
                  <c:v>81500</c:v>
                </c:pt>
                <c:pt idx="189">
                  <c:v>82000</c:v>
                </c:pt>
                <c:pt idx="190">
                  <c:v>82500</c:v>
                </c:pt>
                <c:pt idx="191">
                  <c:v>83000</c:v>
                </c:pt>
                <c:pt idx="192">
                  <c:v>83500</c:v>
                </c:pt>
                <c:pt idx="193">
                  <c:v>84000</c:v>
                </c:pt>
                <c:pt idx="194">
                  <c:v>84500</c:v>
                </c:pt>
                <c:pt idx="195">
                  <c:v>85000</c:v>
                </c:pt>
                <c:pt idx="196">
                  <c:v>85500</c:v>
                </c:pt>
                <c:pt idx="197">
                  <c:v>86000</c:v>
                </c:pt>
                <c:pt idx="198">
                  <c:v>86500</c:v>
                </c:pt>
                <c:pt idx="199">
                  <c:v>87000</c:v>
                </c:pt>
                <c:pt idx="200">
                  <c:v>87500</c:v>
                </c:pt>
                <c:pt idx="201">
                  <c:v>88000</c:v>
                </c:pt>
                <c:pt idx="202">
                  <c:v>88500</c:v>
                </c:pt>
                <c:pt idx="203">
                  <c:v>89000</c:v>
                </c:pt>
                <c:pt idx="204">
                  <c:v>89500</c:v>
                </c:pt>
                <c:pt idx="205">
                  <c:v>90000</c:v>
                </c:pt>
                <c:pt idx="206">
                  <c:v>90500</c:v>
                </c:pt>
                <c:pt idx="207">
                  <c:v>91000</c:v>
                </c:pt>
                <c:pt idx="208">
                  <c:v>91500</c:v>
                </c:pt>
                <c:pt idx="209">
                  <c:v>92000</c:v>
                </c:pt>
                <c:pt idx="210">
                  <c:v>92500</c:v>
                </c:pt>
                <c:pt idx="211">
                  <c:v>93000</c:v>
                </c:pt>
                <c:pt idx="212">
                  <c:v>93500</c:v>
                </c:pt>
                <c:pt idx="213">
                  <c:v>94000</c:v>
                </c:pt>
                <c:pt idx="214">
                  <c:v>94500</c:v>
                </c:pt>
                <c:pt idx="215">
                  <c:v>95000</c:v>
                </c:pt>
                <c:pt idx="216">
                  <c:v>95500</c:v>
                </c:pt>
                <c:pt idx="217">
                  <c:v>96000</c:v>
                </c:pt>
                <c:pt idx="218">
                  <c:v>96500</c:v>
                </c:pt>
                <c:pt idx="219">
                  <c:v>97000</c:v>
                </c:pt>
                <c:pt idx="220">
                  <c:v>97500</c:v>
                </c:pt>
                <c:pt idx="221">
                  <c:v>98000</c:v>
                </c:pt>
                <c:pt idx="222">
                  <c:v>98500</c:v>
                </c:pt>
                <c:pt idx="223">
                  <c:v>99000</c:v>
                </c:pt>
                <c:pt idx="224">
                  <c:v>99500</c:v>
                </c:pt>
                <c:pt idx="225">
                  <c:v>100000</c:v>
                </c:pt>
                <c:pt idx="226">
                  <c:v>105000</c:v>
                </c:pt>
                <c:pt idx="227">
                  <c:v>110000</c:v>
                </c:pt>
                <c:pt idx="228">
                  <c:v>115000</c:v>
                </c:pt>
                <c:pt idx="229">
                  <c:v>120000</c:v>
                </c:pt>
                <c:pt idx="230">
                  <c:v>125000</c:v>
                </c:pt>
                <c:pt idx="231">
                  <c:v>130000</c:v>
                </c:pt>
                <c:pt idx="232">
                  <c:v>135000</c:v>
                </c:pt>
                <c:pt idx="233">
                  <c:v>140000</c:v>
                </c:pt>
                <c:pt idx="234">
                  <c:v>145000</c:v>
                </c:pt>
                <c:pt idx="235">
                  <c:v>150000</c:v>
                </c:pt>
                <c:pt idx="236">
                  <c:v>155000</c:v>
                </c:pt>
                <c:pt idx="237">
                  <c:v>160000</c:v>
                </c:pt>
                <c:pt idx="238">
                  <c:v>165000</c:v>
                </c:pt>
                <c:pt idx="239">
                  <c:v>170000</c:v>
                </c:pt>
                <c:pt idx="240">
                  <c:v>175000</c:v>
                </c:pt>
                <c:pt idx="241">
                  <c:v>180000</c:v>
                </c:pt>
                <c:pt idx="242">
                  <c:v>185000</c:v>
                </c:pt>
                <c:pt idx="243">
                  <c:v>190000</c:v>
                </c:pt>
                <c:pt idx="244">
                  <c:v>195000</c:v>
                </c:pt>
                <c:pt idx="245">
                  <c:v>200000</c:v>
                </c:pt>
                <c:pt idx="246">
                  <c:v>205000</c:v>
                </c:pt>
                <c:pt idx="247">
                  <c:v>210000</c:v>
                </c:pt>
                <c:pt idx="248">
                  <c:v>215000</c:v>
                </c:pt>
                <c:pt idx="249">
                  <c:v>220000</c:v>
                </c:pt>
                <c:pt idx="250">
                  <c:v>225000</c:v>
                </c:pt>
                <c:pt idx="251">
                  <c:v>230000</c:v>
                </c:pt>
                <c:pt idx="252">
                  <c:v>235000</c:v>
                </c:pt>
                <c:pt idx="253">
                  <c:v>240000</c:v>
                </c:pt>
                <c:pt idx="254">
                  <c:v>245000</c:v>
                </c:pt>
                <c:pt idx="255">
                  <c:v>250000</c:v>
                </c:pt>
                <c:pt idx="256">
                  <c:v>255000</c:v>
                </c:pt>
                <c:pt idx="257">
                  <c:v>260000</c:v>
                </c:pt>
                <c:pt idx="258">
                  <c:v>265000</c:v>
                </c:pt>
                <c:pt idx="259">
                  <c:v>270000</c:v>
                </c:pt>
                <c:pt idx="260">
                  <c:v>275000</c:v>
                </c:pt>
                <c:pt idx="261">
                  <c:v>280000</c:v>
                </c:pt>
                <c:pt idx="262">
                  <c:v>285000</c:v>
                </c:pt>
                <c:pt idx="263">
                  <c:v>290000</c:v>
                </c:pt>
                <c:pt idx="264">
                  <c:v>295000</c:v>
                </c:pt>
                <c:pt idx="265">
                  <c:v>300000</c:v>
                </c:pt>
                <c:pt idx="266">
                  <c:v>305000</c:v>
                </c:pt>
                <c:pt idx="267">
                  <c:v>310000</c:v>
                </c:pt>
                <c:pt idx="268">
                  <c:v>315000</c:v>
                </c:pt>
                <c:pt idx="269">
                  <c:v>320000</c:v>
                </c:pt>
                <c:pt idx="270">
                  <c:v>325000</c:v>
                </c:pt>
                <c:pt idx="271">
                  <c:v>330000</c:v>
                </c:pt>
                <c:pt idx="272">
                  <c:v>335000</c:v>
                </c:pt>
                <c:pt idx="273">
                  <c:v>340000</c:v>
                </c:pt>
                <c:pt idx="274">
                  <c:v>345000</c:v>
                </c:pt>
                <c:pt idx="275">
                  <c:v>350000</c:v>
                </c:pt>
                <c:pt idx="276">
                  <c:v>355000</c:v>
                </c:pt>
                <c:pt idx="277">
                  <c:v>360000</c:v>
                </c:pt>
                <c:pt idx="278">
                  <c:v>365000</c:v>
                </c:pt>
                <c:pt idx="279">
                  <c:v>370000</c:v>
                </c:pt>
                <c:pt idx="280">
                  <c:v>375000</c:v>
                </c:pt>
                <c:pt idx="281">
                  <c:v>380000</c:v>
                </c:pt>
                <c:pt idx="282">
                  <c:v>385000</c:v>
                </c:pt>
                <c:pt idx="283">
                  <c:v>390000</c:v>
                </c:pt>
                <c:pt idx="284">
                  <c:v>395000</c:v>
                </c:pt>
                <c:pt idx="285">
                  <c:v>400000</c:v>
                </c:pt>
                <c:pt idx="286">
                  <c:v>405000</c:v>
                </c:pt>
                <c:pt idx="287">
                  <c:v>410000</c:v>
                </c:pt>
                <c:pt idx="288">
                  <c:v>415000</c:v>
                </c:pt>
                <c:pt idx="289">
                  <c:v>420000</c:v>
                </c:pt>
                <c:pt idx="290">
                  <c:v>425000</c:v>
                </c:pt>
                <c:pt idx="291">
                  <c:v>430000</c:v>
                </c:pt>
                <c:pt idx="292">
                  <c:v>435000</c:v>
                </c:pt>
                <c:pt idx="293">
                  <c:v>440000</c:v>
                </c:pt>
                <c:pt idx="294">
                  <c:v>445000</c:v>
                </c:pt>
                <c:pt idx="295">
                  <c:v>450000</c:v>
                </c:pt>
                <c:pt idx="296">
                  <c:v>455000</c:v>
                </c:pt>
                <c:pt idx="297">
                  <c:v>460000</c:v>
                </c:pt>
                <c:pt idx="298">
                  <c:v>465000</c:v>
                </c:pt>
                <c:pt idx="299">
                  <c:v>470000</c:v>
                </c:pt>
                <c:pt idx="300">
                  <c:v>475000</c:v>
                </c:pt>
                <c:pt idx="301">
                  <c:v>480000</c:v>
                </c:pt>
                <c:pt idx="302">
                  <c:v>485000</c:v>
                </c:pt>
                <c:pt idx="303">
                  <c:v>490000</c:v>
                </c:pt>
                <c:pt idx="304">
                  <c:v>495000</c:v>
                </c:pt>
                <c:pt idx="305">
                  <c:v>500000</c:v>
                </c:pt>
                <c:pt idx="306">
                  <c:v>505000</c:v>
                </c:pt>
                <c:pt idx="307">
                  <c:v>510000</c:v>
                </c:pt>
                <c:pt idx="308">
                  <c:v>515000</c:v>
                </c:pt>
                <c:pt idx="309">
                  <c:v>520000</c:v>
                </c:pt>
                <c:pt idx="310">
                  <c:v>525000</c:v>
                </c:pt>
                <c:pt idx="311">
                  <c:v>530000</c:v>
                </c:pt>
                <c:pt idx="312">
                  <c:v>535000</c:v>
                </c:pt>
                <c:pt idx="313">
                  <c:v>540000</c:v>
                </c:pt>
                <c:pt idx="314">
                  <c:v>545000</c:v>
                </c:pt>
                <c:pt idx="315">
                  <c:v>550000</c:v>
                </c:pt>
                <c:pt idx="316">
                  <c:v>555000</c:v>
                </c:pt>
                <c:pt idx="317">
                  <c:v>560000</c:v>
                </c:pt>
                <c:pt idx="318">
                  <c:v>565000</c:v>
                </c:pt>
                <c:pt idx="319">
                  <c:v>570000</c:v>
                </c:pt>
                <c:pt idx="320">
                  <c:v>575000</c:v>
                </c:pt>
                <c:pt idx="321">
                  <c:v>580000</c:v>
                </c:pt>
                <c:pt idx="322">
                  <c:v>585000</c:v>
                </c:pt>
                <c:pt idx="323">
                  <c:v>590000</c:v>
                </c:pt>
                <c:pt idx="324">
                  <c:v>595000</c:v>
                </c:pt>
                <c:pt idx="325">
                  <c:v>600000</c:v>
                </c:pt>
                <c:pt idx="326">
                  <c:v>605000</c:v>
                </c:pt>
                <c:pt idx="327">
                  <c:v>610000</c:v>
                </c:pt>
                <c:pt idx="328">
                  <c:v>615000</c:v>
                </c:pt>
                <c:pt idx="329">
                  <c:v>620000</c:v>
                </c:pt>
                <c:pt idx="330">
                  <c:v>625000</c:v>
                </c:pt>
                <c:pt idx="331">
                  <c:v>630000</c:v>
                </c:pt>
                <c:pt idx="332">
                  <c:v>635000</c:v>
                </c:pt>
                <c:pt idx="333">
                  <c:v>640000</c:v>
                </c:pt>
                <c:pt idx="334">
                  <c:v>645000</c:v>
                </c:pt>
                <c:pt idx="335">
                  <c:v>650000</c:v>
                </c:pt>
                <c:pt idx="336">
                  <c:v>655000</c:v>
                </c:pt>
                <c:pt idx="337">
                  <c:v>660000</c:v>
                </c:pt>
                <c:pt idx="338">
                  <c:v>665000</c:v>
                </c:pt>
                <c:pt idx="339">
                  <c:v>670000</c:v>
                </c:pt>
                <c:pt idx="340">
                  <c:v>675000</c:v>
                </c:pt>
                <c:pt idx="341">
                  <c:v>680000</c:v>
                </c:pt>
                <c:pt idx="342">
                  <c:v>685000</c:v>
                </c:pt>
                <c:pt idx="343">
                  <c:v>690000</c:v>
                </c:pt>
                <c:pt idx="344">
                  <c:v>695000</c:v>
                </c:pt>
                <c:pt idx="345">
                  <c:v>700000</c:v>
                </c:pt>
                <c:pt idx="346">
                  <c:v>705000</c:v>
                </c:pt>
                <c:pt idx="347">
                  <c:v>710000</c:v>
                </c:pt>
                <c:pt idx="348">
                  <c:v>715000</c:v>
                </c:pt>
                <c:pt idx="349">
                  <c:v>720000</c:v>
                </c:pt>
                <c:pt idx="350">
                  <c:v>725000</c:v>
                </c:pt>
                <c:pt idx="351">
                  <c:v>730000</c:v>
                </c:pt>
                <c:pt idx="352">
                  <c:v>735000</c:v>
                </c:pt>
                <c:pt idx="353">
                  <c:v>740000</c:v>
                </c:pt>
                <c:pt idx="354">
                  <c:v>745000</c:v>
                </c:pt>
                <c:pt idx="355">
                  <c:v>750000</c:v>
                </c:pt>
                <c:pt idx="356">
                  <c:v>755000</c:v>
                </c:pt>
                <c:pt idx="357">
                  <c:v>760000</c:v>
                </c:pt>
                <c:pt idx="358">
                  <c:v>765000</c:v>
                </c:pt>
                <c:pt idx="359">
                  <c:v>770000</c:v>
                </c:pt>
                <c:pt idx="360">
                  <c:v>775000</c:v>
                </c:pt>
                <c:pt idx="361">
                  <c:v>780000</c:v>
                </c:pt>
                <c:pt idx="362">
                  <c:v>785000</c:v>
                </c:pt>
                <c:pt idx="363">
                  <c:v>790000</c:v>
                </c:pt>
                <c:pt idx="364">
                  <c:v>795000</c:v>
                </c:pt>
                <c:pt idx="365">
                  <c:v>800000</c:v>
                </c:pt>
                <c:pt idx="366">
                  <c:v>805000</c:v>
                </c:pt>
                <c:pt idx="367">
                  <c:v>810000</c:v>
                </c:pt>
                <c:pt idx="368">
                  <c:v>815000</c:v>
                </c:pt>
                <c:pt idx="369">
                  <c:v>820000</c:v>
                </c:pt>
                <c:pt idx="370">
                  <c:v>825000</c:v>
                </c:pt>
                <c:pt idx="371">
                  <c:v>830000</c:v>
                </c:pt>
                <c:pt idx="372">
                  <c:v>835000</c:v>
                </c:pt>
                <c:pt idx="373">
                  <c:v>840000</c:v>
                </c:pt>
                <c:pt idx="374">
                  <c:v>845000</c:v>
                </c:pt>
                <c:pt idx="375">
                  <c:v>850000</c:v>
                </c:pt>
                <c:pt idx="376">
                  <c:v>855000</c:v>
                </c:pt>
                <c:pt idx="377">
                  <c:v>860000</c:v>
                </c:pt>
                <c:pt idx="378">
                  <c:v>865000</c:v>
                </c:pt>
                <c:pt idx="379">
                  <c:v>870000</c:v>
                </c:pt>
                <c:pt idx="380">
                  <c:v>875000</c:v>
                </c:pt>
                <c:pt idx="381">
                  <c:v>880000</c:v>
                </c:pt>
                <c:pt idx="382">
                  <c:v>885000</c:v>
                </c:pt>
                <c:pt idx="383">
                  <c:v>890000</c:v>
                </c:pt>
                <c:pt idx="384">
                  <c:v>895000</c:v>
                </c:pt>
                <c:pt idx="385">
                  <c:v>900000</c:v>
                </c:pt>
                <c:pt idx="386">
                  <c:v>905000</c:v>
                </c:pt>
                <c:pt idx="387">
                  <c:v>910000</c:v>
                </c:pt>
                <c:pt idx="388">
                  <c:v>915000</c:v>
                </c:pt>
                <c:pt idx="389">
                  <c:v>920000</c:v>
                </c:pt>
                <c:pt idx="390">
                  <c:v>925000</c:v>
                </c:pt>
                <c:pt idx="391">
                  <c:v>930000</c:v>
                </c:pt>
                <c:pt idx="392">
                  <c:v>935000</c:v>
                </c:pt>
                <c:pt idx="393">
                  <c:v>940000</c:v>
                </c:pt>
                <c:pt idx="394">
                  <c:v>945000</c:v>
                </c:pt>
                <c:pt idx="395">
                  <c:v>950000</c:v>
                </c:pt>
                <c:pt idx="396">
                  <c:v>955000</c:v>
                </c:pt>
                <c:pt idx="397">
                  <c:v>960000</c:v>
                </c:pt>
                <c:pt idx="398">
                  <c:v>965000</c:v>
                </c:pt>
                <c:pt idx="399">
                  <c:v>970000</c:v>
                </c:pt>
                <c:pt idx="400">
                  <c:v>975000</c:v>
                </c:pt>
                <c:pt idx="401">
                  <c:v>980000</c:v>
                </c:pt>
                <c:pt idx="402">
                  <c:v>985000</c:v>
                </c:pt>
                <c:pt idx="403">
                  <c:v>990000</c:v>
                </c:pt>
                <c:pt idx="404">
                  <c:v>995000</c:v>
                </c:pt>
                <c:pt idx="405">
                  <c:v>1000000</c:v>
                </c:pt>
                <c:pt idx="406">
                  <c:v>1005000</c:v>
                </c:pt>
                <c:pt idx="407">
                  <c:v>1010000</c:v>
                </c:pt>
                <c:pt idx="408">
                  <c:v>1015000</c:v>
                </c:pt>
                <c:pt idx="409">
                  <c:v>1020000</c:v>
                </c:pt>
                <c:pt idx="410">
                  <c:v>1025000</c:v>
                </c:pt>
                <c:pt idx="411">
                  <c:v>1030000</c:v>
                </c:pt>
                <c:pt idx="412">
                  <c:v>1035000</c:v>
                </c:pt>
                <c:pt idx="413">
                  <c:v>1040000</c:v>
                </c:pt>
                <c:pt idx="414">
                  <c:v>1045000</c:v>
                </c:pt>
                <c:pt idx="415">
                  <c:v>1050000</c:v>
                </c:pt>
                <c:pt idx="416">
                  <c:v>1055000</c:v>
                </c:pt>
                <c:pt idx="417">
                  <c:v>1060000</c:v>
                </c:pt>
                <c:pt idx="418">
                  <c:v>1065000</c:v>
                </c:pt>
                <c:pt idx="419">
                  <c:v>1070000</c:v>
                </c:pt>
                <c:pt idx="420">
                  <c:v>1075000</c:v>
                </c:pt>
                <c:pt idx="421">
                  <c:v>1080000</c:v>
                </c:pt>
                <c:pt idx="422">
                  <c:v>1085000</c:v>
                </c:pt>
                <c:pt idx="423">
                  <c:v>1090000</c:v>
                </c:pt>
                <c:pt idx="424">
                  <c:v>1095000</c:v>
                </c:pt>
                <c:pt idx="425">
                  <c:v>1100000</c:v>
                </c:pt>
                <c:pt idx="426">
                  <c:v>1105000</c:v>
                </c:pt>
                <c:pt idx="427">
                  <c:v>1110000</c:v>
                </c:pt>
                <c:pt idx="428">
                  <c:v>1115000</c:v>
                </c:pt>
                <c:pt idx="429">
                  <c:v>1120000</c:v>
                </c:pt>
                <c:pt idx="430">
                  <c:v>1125000</c:v>
                </c:pt>
                <c:pt idx="431">
                  <c:v>1130000</c:v>
                </c:pt>
                <c:pt idx="432">
                  <c:v>1135000</c:v>
                </c:pt>
                <c:pt idx="433">
                  <c:v>1140000</c:v>
                </c:pt>
                <c:pt idx="434">
                  <c:v>1145000</c:v>
                </c:pt>
                <c:pt idx="435">
                  <c:v>1150000</c:v>
                </c:pt>
                <c:pt idx="436">
                  <c:v>1155000</c:v>
                </c:pt>
                <c:pt idx="437">
                  <c:v>1160000</c:v>
                </c:pt>
                <c:pt idx="438">
                  <c:v>1165000</c:v>
                </c:pt>
                <c:pt idx="439">
                  <c:v>1170000</c:v>
                </c:pt>
                <c:pt idx="440">
                  <c:v>1175000</c:v>
                </c:pt>
                <c:pt idx="441">
                  <c:v>1180000</c:v>
                </c:pt>
                <c:pt idx="442">
                  <c:v>1185000</c:v>
                </c:pt>
                <c:pt idx="443">
                  <c:v>1190000</c:v>
                </c:pt>
                <c:pt idx="444">
                  <c:v>1195000</c:v>
                </c:pt>
                <c:pt idx="445">
                  <c:v>1200000</c:v>
                </c:pt>
                <c:pt idx="446">
                  <c:v>1205000</c:v>
                </c:pt>
                <c:pt idx="447">
                  <c:v>1210000</c:v>
                </c:pt>
                <c:pt idx="448">
                  <c:v>1215000</c:v>
                </c:pt>
                <c:pt idx="449">
                  <c:v>1220000</c:v>
                </c:pt>
                <c:pt idx="450">
                  <c:v>1225000</c:v>
                </c:pt>
                <c:pt idx="451">
                  <c:v>1230000</c:v>
                </c:pt>
                <c:pt idx="452">
                  <c:v>1235000</c:v>
                </c:pt>
                <c:pt idx="453">
                  <c:v>1240000</c:v>
                </c:pt>
                <c:pt idx="454">
                  <c:v>1245000</c:v>
                </c:pt>
                <c:pt idx="455">
                  <c:v>1250000</c:v>
                </c:pt>
                <c:pt idx="456">
                  <c:v>1255000</c:v>
                </c:pt>
                <c:pt idx="457">
                  <c:v>1260000</c:v>
                </c:pt>
                <c:pt idx="458">
                  <c:v>1265000</c:v>
                </c:pt>
                <c:pt idx="459">
                  <c:v>1270000</c:v>
                </c:pt>
                <c:pt idx="460">
                  <c:v>1275000</c:v>
                </c:pt>
                <c:pt idx="461">
                  <c:v>1280000</c:v>
                </c:pt>
                <c:pt idx="462">
                  <c:v>1285000</c:v>
                </c:pt>
                <c:pt idx="463">
                  <c:v>1290000</c:v>
                </c:pt>
                <c:pt idx="464">
                  <c:v>1295000</c:v>
                </c:pt>
                <c:pt idx="465">
                  <c:v>1300000</c:v>
                </c:pt>
                <c:pt idx="466">
                  <c:v>1305000</c:v>
                </c:pt>
                <c:pt idx="467">
                  <c:v>1310000</c:v>
                </c:pt>
                <c:pt idx="468">
                  <c:v>1315000</c:v>
                </c:pt>
                <c:pt idx="469">
                  <c:v>1320000</c:v>
                </c:pt>
                <c:pt idx="470">
                  <c:v>1325000</c:v>
                </c:pt>
                <c:pt idx="471">
                  <c:v>1330000</c:v>
                </c:pt>
                <c:pt idx="472">
                  <c:v>1335000</c:v>
                </c:pt>
                <c:pt idx="473">
                  <c:v>1340000</c:v>
                </c:pt>
                <c:pt idx="474">
                  <c:v>1345000</c:v>
                </c:pt>
                <c:pt idx="475">
                  <c:v>1350000</c:v>
                </c:pt>
                <c:pt idx="476">
                  <c:v>1355000</c:v>
                </c:pt>
                <c:pt idx="477">
                  <c:v>1360000</c:v>
                </c:pt>
                <c:pt idx="478">
                  <c:v>1365000</c:v>
                </c:pt>
                <c:pt idx="479">
                  <c:v>1370000</c:v>
                </c:pt>
                <c:pt idx="480">
                  <c:v>1375000</c:v>
                </c:pt>
                <c:pt idx="481">
                  <c:v>1380000</c:v>
                </c:pt>
                <c:pt idx="482">
                  <c:v>1385000</c:v>
                </c:pt>
                <c:pt idx="483">
                  <c:v>1390000</c:v>
                </c:pt>
                <c:pt idx="484">
                  <c:v>1395000</c:v>
                </c:pt>
                <c:pt idx="485">
                  <c:v>1400000</c:v>
                </c:pt>
                <c:pt idx="486">
                  <c:v>1405000</c:v>
                </c:pt>
                <c:pt idx="487">
                  <c:v>1410000</c:v>
                </c:pt>
                <c:pt idx="488">
                  <c:v>1415000</c:v>
                </c:pt>
                <c:pt idx="489">
                  <c:v>1420000</c:v>
                </c:pt>
                <c:pt idx="490">
                  <c:v>1425000</c:v>
                </c:pt>
                <c:pt idx="491">
                  <c:v>1430000</c:v>
                </c:pt>
                <c:pt idx="492">
                  <c:v>1435000</c:v>
                </c:pt>
                <c:pt idx="493">
                  <c:v>1440000</c:v>
                </c:pt>
                <c:pt idx="494">
                  <c:v>1445000</c:v>
                </c:pt>
                <c:pt idx="495">
                  <c:v>1450000</c:v>
                </c:pt>
                <c:pt idx="496">
                  <c:v>1455000</c:v>
                </c:pt>
                <c:pt idx="497">
                  <c:v>1460000</c:v>
                </c:pt>
                <c:pt idx="498">
                  <c:v>1465000</c:v>
                </c:pt>
                <c:pt idx="499">
                  <c:v>1470000</c:v>
                </c:pt>
                <c:pt idx="500">
                  <c:v>1475000</c:v>
                </c:pt>
                <c:pt idx="501">
                  <c:v>1480000</c:v>
                </c:pt>
                <c:pt idx="502">
                  <c:v>1485000</c:v>
                </c:pt>
                <c:pt idx="503">
                  <c:v>1490000</c:v>
                </c:pt>
                <c:pt idx="504">
                  <c:v>1495000</c:v>
                </c:pt>
                <c:pt idx="505">
                  <c:v>1500000</c:v>
                </c:pt>
                <c:pt idx="506">
                  <c:v>1505000</c:v>
                </c:pt>
                <c:pt idx="507">
                  <c:v>1510000</c:v>
                </c:pt>
                <c:pt idx="508">
                  <c:v>1515000</c:v>
                </c:pt>
                <c:pt idx="509">
                  <c:v>1520000</c:v>
                </c:pt>
                <c:pt idx="510">
                  <c:v>1525000</c:v>
                </c:pt>
                <c:pt idx="511">
                  <c:v>1530000</c:v>
                </c:pt>
                <c:pt idx="512">
                  <c:v>1535000</c:v>
                </c:pt>
                <c:pt idx="513">
                  <c:v>1540000</c:v>
                </c:pt>
                <c:pt idx="514">
                  <c:v>1545000</c:v>
                </c:pt>
                <c:pt idx="515">
                  <c:v>1550000</c:v>
                </c:pt>
                <c:pt idx="516">
                  <c:v>1555000</c:v>
                </c:pt>
                <c:pt idx="517">
                  <c:v>1560000</c:v>
                </c:pt>
                <c:pt idx="518">
                  <c:v>1565000</c:v>
                </c:pt>
                <c:pt idx="519">
                  <c:v>1570000</c:v>
                </c:pt>
                <c:pt idx="520">
                  <c:v>1575000</c:v>
                </c:pt>
                <c:pt idx="521">
                  <c:v>1580000</c:v>
                </c:pt>
                <c:pt idx="522">
                  <c:v>1585000</c:v>
                </c:pt>
                <c:pt idx="523">
                  <c:v>1590000</c:v>
                </c:pt>
                <c:pt idx="524">
                  <c:v>1595000</c:v>
                </c:pt>
                <c:pt idx="525">
                  <c:v>1600000</c:v>
                </c:pt>
                <c:pt idx="526">
                  <c:v>1605000</c:v>
                </c:pt>
                <c:pt idx="527">
                  <c:v>1610000</c:v>
                </c:pt>
                <c:pt idx="528">
                  <c:v>1615000</c:v>
                </c:pt>
                <c:pt idx="529">
                  <c:v>1620000</c:v>
                </c:pt>
                <c:pt idx="530">
                  <c:v>1625000</c:v>
                </c:pt>
                <c:pt idx="531">
                  <c:v>1630000</c:v>
                </c:pt>
                <c:pt idx="532">
                  <c:v>1635000</c:v>
                </c:pt>
                <c:pt idx="533">
                  <c:v>1640000</c:v>
                </c:pt>
                <c:pt idx="534">
                  <c:v>1645000</c:v>
                </c:pt>
                <c:pt idx="535">
                  <c:v>1650000</c:v>
                </c:pt>
                <c:pt idx="536">
                  <c:v>1655000</c:v>
                </c:pt>
                <c:pt idx="537">
                  <c:v>1660000</c:v>
                </c:pt>
                <c:pt idx="538">
                  <c:v>1665000</c:v>
                </c:pt>
                <c:pt idx="539">
                  <c:v>1670000</c:v>
                </c:pt>
                <c:pt idx="540">
                  <c:v>1675000</c:v>
                </c:pt>
                <c:pt idx="541">
                  <c:v>1680000</c:v>
                </c:pt>
                <c:pt idx="542">
                  <c:v>1685000</c:v>
                </c:pt>
                <c:pt idx="543">
                  <c:v>1690000</c:v>
                </c:pt>
                <c:pt idx="544">
                  <c:v>1695000</c:v>
                </c:pt>
                <c:pt idx="545">
                  <c:v>1700000</c:v>
                </c:pt>
                <c:pt idx="546">
                  <c:v>1705000</c:v>
                </c:pt>
                <c:pt idx="547">
                  <c:v>1710000</c:v>
                </c:pt>
                <c:pt idx="548">
                  <c:v>1715000</c:v>
                </c:pt>
                <c:pt idx="549">
                  <c:v>1720000</c:v>
                </c:pt>
                <c:pt idx="550">
                  <c:v>1725000</c:v>
                </c:pt>
                <c:pt idx="551">
                  <c:v>1730000</c:v>
                </c:pt>
                <c:pt idx="552">
                  <c:v>1735000</c:v>
                </c:pt>
                <c:pt idx="553">
                  <c:v>1740000</c:v>
                </c:pt>
                <c:pt idx="554">
                  <c:v>1745000</c:v>
                </c:pt>
                <c:pt idx="555">
                  <c:v>1750000</c:v>
                </c:pt>
                <c:pt idx="556">
                  <c:v>1755000</c:v>
                </c:pt>
                <c:pt idx="557">
                  <c:v>1760000</c:v>
                </c:pt>
                <c:pt idx="558">
                  <c:v>1765000</c:v>
                </c:pt>
                <c:pt idx="559">
                  <c:v>1770000</c:v>
                </c:pt>
                <c:pt idx="560">
                  <c:v>1775000</c:v>
                </c:pt>
                <c:pt idx="561">
                  <c:v>1780000</c:v>
                </c:pt>
                <c:pt idx="562">
                  <c:v>1785000</c:v>
                </c:pt>
                <c:pt idx="563">
                  <c:v>1790000</c:v>
                </c:pt>
                <c:pt idx="564">
                  <c:v>1795000</c:v>
                </c:pt>
                <c:pt idx="565">
                  <c:v>1800000</c:v>
                </c:pt>
                <c:pt idx="566">
                  <c:v>1805000</c:v>
                </c:pt>
                <c:pt idx="567">
                  <c:v>1810000</c:v>
                </c:pt>
                <c:pt idx="568">
                  <c:v>1815000</c:v>
                </c:pt>
                <c:pt idx="569">
                  <c:v>1820000</c:v>
                </c:pt>
                <c:pt idx="570">
                  <c:v>1825000</c:v>
                </c:pt>
                <c:pt idx="571">
                  <c:v>1830000</c:v>
                </c:pt>
                <c:pt idx="572">
                  <c:v>1835000</c:v>
                </c:pt>
                <c:pt idx="573">
                  <c:v>1840000</c:v>
                </c:pt>
                <c:pt idx="574">
                  <c:v>1845000</c:v>
                </c:pt>
                <c:pt idx="575">
                  <c:v>1850000</c:v>
                </c:pt>
                <c:pt idx="576">
                  <c:v>1855000</c:v>
                </c:pt>
                <c:pt idx="577">
                  <c:v>1860000</c:v>
                </c:pt>
                <c:pt idx="578">
                  <c:v>1865000</c:v>
                </c:pt>
                <c:pt idx="579">
                  <c:v>1870000</c:v>
                </c:pt>
                <c:pt idx="580">
                  <c:v>1875000</c:v>
                </c:pt>
                <c:pt idx="581">
                  <c:v>1880000</c:v>
                </c:pt>
                <c:pt idx="582">
                  <c:v>1885000</c:v>
                </c:pt>
                <c:pt idx="583">
                  <c:v>1890000</c:v>
                </c:pt>
                <c:pt idx="584">
                  <c:v>1895000</c:v>
                </c:pt>
                <c:pt idx="585">
                  <c:v>1900000</c:v>
                </c:pt>
                <c:pt idx="586">
                  <c:v>1905000</c:v>
                </c:pt>
                <c:pt idx="587">
                  <c:v>1910000</c:v>
                </c:pt>
                <c:pt idx="588">
                  <c:v>1915000</c:v>
                </c:pt>
                <c:pt idx="589">
                  <c:v>1920000</c:v>
                </c:pt>
                <c:pt idx="590">
                  <c:v>1925000</c:v>
                </c:pt>
                <c:pt idx="591">
                  <c:v>1930000</c:v>
                </c:pt>
                <c:pt idx="592">
                  <c:v>1935000</c:v>
                </c:pt>
                <c:pt idx="593">
                  <c:v>1940000</c:v>
                </c:pt>
                <c:pt idx="594">
                  <c:v>1945000</c:v>
                </c:pt>
                <c:pt idx="595">
                  <c:v>1950000</c:v>
                </c:pt>
                <c:pt idx="596">
                  <c:v>1955000</c:v>
                </c:pt>
                <c:pt idx="597">
                  <c:v>1960000</c:v>
                </c:pt>
                <c:pt idx="598">
                  <c:v>1965000</c:v>
                </c:pt>
                <c:pt idx="599">
                  <c:v>1970000</c:v>
                </c:pt>
                <c:pt idx="600">
                  <c:v>1975000</c:v>
                </c:pt>
                <c:pt idx="601">
                  <c:v>1980000</c:v>
                </c:pt>
                <c:pt idx="602">
                  <c:v>1985000</c:v>
                </c:pt>
                <c:pt idx="603">
                  <c:v>1990000</c:v>
                </c:pt>
                <c:pt idx="604">
                  <c:v>1995000</c:v>
                </c:pt>
                <c:pt idx="605">
                  <c:v>2000000</c:v>
                </c:pt>
                <c:pt idx="606">
                  <c:v>2250000</c:v>
                </c:pt>
                <c:pt idx="607">
                  <c:v>2500000</c:v>
                </c:pt>
                <c:pt idx="608">
                  <c:v>2750000</c:v>
                </c:pt>
                <c:pt idx="609">
                  <c:v>3000000</c:v>
                </c:pt>
                <c:pt idx="610">
                  <c:v>3250000</c:v>
                </c:pt>
                <c:pt idx="611">
                  <c:v>3500000</c:v>
                </c:pt>
                <c:pt idx="612">
                  <c:v>3750000</c:v>
                </c:pt>
                <c:pt idx="613">
                  <c:v>4000000</c:v>
                </c:pt>
                <c:pt idx="614">
                  <c:v>4250000</c:v>
                </c:pt>
                <c:pt idx="615">
                  <c:v>4500000</c:v>
                </c:pt>
                <c:pt idx="616">
                  <c:v>4750000</c:v>
                </c:pt>
                <c:pt idx="617">
                  <c:v>5000000</c:v>
                </c:pt>
                <c:pt idx="618">
                  <c:v>5100000</c:v>
                </c:pt>
                <c:pt idx="619">
                  <c:v>5200000</c:v>
                </c:pt>
                <c:pt idx="620">
                  <c:v>5300000</c:v>
                </c:pt>
                <c:pt idx="621">
                  <c:v>5400000</c:v>
                </c:pt>
                <c:pt idx="622">
                  <c:v>5500000</c:v>
                </c:pt>
                <c:pt idx="623">
                  <c:v>5600000</c:v>
                </c:pt>
                <c:pt idx="624">
                  <c:v>5700000</c:v>
                </c:pt>
                <c:pt idx="625">
                  <c:v>5800000</c:v>
                </c:pt>
                <c:pt idx="626">
                  <c:v>5900000</c:v>
                </c:pt>
                <c:pt idx="627">
                  <c:v>6000000</c:v>
                </c:pt>
                <c:pt idx="628">
                  <c:v>6100000</c:v>
                </c:pt>
                <c:pt idx="629">
                  <c:v>6200000</c:v>
                </c:pt>
                <c:pt idx="630">
                  <c:v>6300000</c:v>
                </c:pt>
                <c:pt idx="631">
                  <c:v>6400000</c:v>
                </c:pt>
                <c:pt idx="632">
                  <c:v>6500000</c:v>
                </c:pt>
                <c:pt idx="633">
                  <c:v>6600000</c:v>
                </c:pt>
                <c:pt idx="634">
                  <c:v>6700000</c:v>
                </c:pt>
                <c:pt idx="635">
                  <c:v>6800000</c:v>
                </c:pt>
                <c:pt idx="636">
                  <c:v>6900000</c:v>
                </c:pt>
                <c:pt idx="637">
                  <c:v>7000000</c:v>
                </c:pt>
                <c:pt idx="638">
                  <c:v>7100000</c:v>
                </c:pt>
                <c:pt idx="639">
                  <c:v>7200000</c:v>
                </c:pt>
                <c:pt idx="640">
                  <c:v>7300000</c:v>
                </c:pt>
                <c:pt idx="641">
                  <c:v>7400000</c:v>
                </c:pt>
                <c:pt idx="642">
                  <c:v>7500000</c:v>
                </c:pt>
                <c:pt idx="643">
                  <c:v>7600000</c:v>
                </c:pt>
                <c:pt idx="644">
                  <c:v>7700000</c:v>
                </c:pt>
                <c:pt idx="645">
                  <c:v>7800000</c:v>
                </c:pt>
                <c:pt idx="646">
                  <c:v>7900000</c:v>
                </c:pt>
                <c:pt idx="647">
                  <c:v>8000000</c:v>
                </c:pt>
                <c:pt idx="648">
                  <c:v>8100000</c:v>
                </c:pt>
                <c:pt idx="649">
                  <c:v>8200000</c:v>
                </c:pt>
                <c:pt idx="650">
                  <c:v>8300000</c:v>
                </c:pt>
                <c:pt idx="651">
                  <c:v>8400000</c:v>
                </c:pt>
                <c:pt idx="652">
                  <c:v>8500000</c:v>
                </c:pt>
                <c:pt idx="653">
                  <c:v>8600000</c:v>
                </c:pt>
                <c:pt idx="654">
                  <c:v>8700000</c:v>
                </c:pt>
                <c:pt idx="655">
                  <c:v>8800000</c:v>
                </c:pt>
                <c:pt idx="656">
                  <c:v>8900000</c:v>
                </c:pt>
                <c:pt idx="657">
                  <c:v>9000000</c:v>
                </c:pt>
                <c:pt idx="658">
                  <c:v>9100000</c:v>
                </c:pt>
                <c:pt idx="659">
                  <c:v>9200000</c:v>
                </c:pt>
                <c:pt idx="660">
                  <c:v>9300000</c:v>
                </c:pt>
                <c:pt idx="661">
                  <c:v>9400000</c:v>
                </c:pt>
                <c:pt idx="662">
                  <c:v>9500000</c:v>
                </c:pt>
                <c:pt idx="663">
                  <c:v>9600000</c:v>
                </c:pt>
                <c:pt idx="664">
                  <c:v>9700000</c:v>
                </c:pt>
                <c:pt idx="665">
                  <c:v>9800000</c:v>
                </c:pt>
                <c:pt idx="666">
                  <c:v>9900000</c:v>
                </c:pt>
                <c:pt idx="667">
                  <c:v>10000000</c:v>
                </c:pt>
              </c:numCache>
            </c:numRef>
          </c:xVal>
          <c:yVal>
            <c:numRef>
              <c:f>'Bode Plots Calculations'!$BM$9:$BM$676</c:f>
              <c:numCache>
                <c:formatCode>General</c:formatCode>
                <c:ptCount val="668"/>
                <c:pt idx="0">
                  <c:v>19.018503421855</c:v>
                </c:pt>
                <c:pt idx="1">
                  <c:v>19.018503433029</c:v>
                </c:pt>
                <c:pt idx="2">
                  <c:v>19.0185034516524</c:v>
                </c:pt>
                <c:pt idx="3">
                  <c:v>19.0185034777251</c:v>
                </c:pt>
                <c:pt idx="4">
                  <c:v>19.0185035112471</c:v>
                </c:pt>
                <c:pt idx="5">
                  <c:v>19.0185035522185</c:v>
                </c:pt>
                <c:pt idx="6">
                  <c:v>19.0185036006392</c:v>
                </c:pt>
                <c:pt idx="7">
                  <c:v>19.0185036565093</c:v>
                </c:pt>
                <c:pt idx="8">
                  <c:v>19.0185037198286</c:v>
                </c:pt>
                <c:pt idx="9">
                  <c:v>19.0185037905974</c:v>
                </c:pt>
                <c:pt idx="10">
                  <c:v>19.0185049079985</c:v>
                </c:pt>
                <c:pt idx="11">
                  <c:v>19.0185067703339</c:v>
                </c:pt>
                <c:pt idx="12">
                  <c:v>19.0185093776037</c:v>
                </c:pt>
                <c:pt idx="13">
                  <c:v>19.0185127298083</c:v>
                </c:pt>
                <c:pt idx="14">
                  <c:v>19.018516826948</c:v>
                </c:pt>
                <c:pt idx="15">
                  <c:v>19.0185216690234</c:v>
                </c:pt>
                <c:pt idx="16">
                  <c:v>19.0185272560349</c:v>
                </c:pt>
                <c:pt idx="17">
                  <c:v>19.0185335879834</c:v>
                </c:pt>
                <c:pt idx="18">
                  <c:v>19.0185406648694</c:v>
                </c:pt>
                <c:pt idx="19">
                  <c:v>19.018652405523</c:v>
                </c:pt>
                <c:pt idx="20">
                  <c:v>19.0188386414011</c:v>
                </c:pt>
                <c:pt idx="21">
                  <c:v>19.0190993746863</c:v>
                </c:pt>
                <c:pt idx="22">
                  <c:v>19.0194346084342</c:v>
                </c:pt>
                <c:pt idx="23">
                  <c:v>19.0198443465725</c:v>
                </c:pt>
                <c:pt idx="24">
                  <c:v>19.0203285939011</c:v>
                </c:pt>
                <c:pt idx="25">
                  <c:v>19.020887356091</c:v>
                </c:pt>
                <c:pt idx="26">
                  <c:v>19.021520639684</c:v>
                </c:pt>
                <c:pt idx="27">
                  <c:v>19.0222284520916</c:v>
                </c:pt>
                <c:pt idx="28">
                  <c:v>19.0268857665245</c:v>
                </c:pt>
                <c:pt idx="29">
                  <c:v>19.0334079113713</c:v>
                </c:pt>
                <c:pt idx="30">
                  <c:v>19.0417967843494</c:v>
                </c:pt>
                <c:pt idx="31">
                  <c:v>19.0520548153818</c:v>
                </c:pt>
                <c:pt idx="32">
                  <c:v>19.0641849589069</c:v>
                </c:pt>
                <c:pt idx="33">
                  <c:v>19.0781906842623</c:v>
                </c:pt>
                <c:pt idx="34">
                  <c:v>19.0940759640118</c:v>
                </c:pt>
                <c:pt idx="35">
                  <c:v>19.1118452600533</c:v>
                </c:pt>
                <c:pt idx="36">
                  <c:v>19.1315035073169</c:v>
                </c:pt>
                <c:pt idx="37">
                  <c:v>19.1530560948309</c:v>
                </c:pt>
                <c:pt idx="38">
                  <c:v>19.1765088438989</c:v>
                </c:pt>
                <c:pt idx="39">
                  <c:v>19.2018679830923</c:v>
                </c:pt>
                <c:pt idx="40">
                  <c:v>19.2291401197252</c:v>
                </c:pt>
                <c:pt idx="41">
                  <c:v>19.2583322074284</c:v>
                </c:pt>
                <c:pt idx="42">
                  <c:v>19.2894515093969</c:v>
                </c:pt>
                <c:pt idx="43">
                  <c:v>19.3225055568249</c:v>
                </c:pt>
                <c:pt idx="44">
                  <c:v>19.3575021019885</c:v>
                </c:pt>
                <c:pt idx="45">
                  <c:v>19.3944490653664</c:v>
                </c:pt>
                <c:pt idx="46">
                  <c:v>19.4333544761186</c:v>
                </c:pt>
                <c:pt idx="47">
                  <c:v>19.4742264051646</c:v>
                </c:pt>
                <c:pt idx="48">
                  <c:v>19.5170728900103</c:v>
                </c:pt>
                <c:pt idx="49">
                  <c:v>19.561901850381</c:v>
                </c:pt>
                <c:pt idx="50">
                  <c:v>19.6087209936052</c:v>
                </c:pt>
                <c:pt idx="51">
                  <c:v>19.6575377085801</c:v>
                </c:pt>
                <c:pt idx="52">
                  <c:v>19.7083589470159</c:v>
                </c:pt>
                <c:pt idx="53">
                  <c:v>19.7611910905166</c:v>
                </c:pt>
                <c:pt idx="54">
                  <c:v>19.8160398018946</c:v>
                </c:pt>
                <c:pt idx="55">
                  <c:v>19.8729098589479</c:v>
                </c:pt>
                <c:pt idx="56">
                  <c:v>19.9318049687418</c:v>
                </c:pt>
                <c:pt idx="57">
                  <c:v>19.9927275602306</c:v>
                </c:pt>
                <c:pt idx="58">
                  <c:v>20.0556785528415</c:v>
                </c:pt>
                <c:pt idx="59">
                  <c:v>20.1206570984022</c:v>
                </c:pt>
                <c:pt idx="60">
                  <c:v>20.1876602935451</c:v>
                </c:pt>
                <c:pt idx="61">
                  <c:v>20.256682859453</c:v>
                </c:pt>
                <c:pt idx="62">
                  <c:v>20.3277167855344</c:v>
                </c:pt>
                <c:pt idx="63">
                  <c:v>20.400750933325</c:v>
                </c:pt>
                <c:pt idx="64">
                  <c:v>20.4757705966196</c:v>
                </c:pt>
                <c:pt idx="65">
                  <c:v>20.5527570135488</c:v>
                </c:pt>
                <c:pt idx="66">
                  <c:v>20.631686826029</c:v>
                </c:pt>
                <c:pt idx="67">
                  <c:v>20.7125314817598</c:v>
                </c:pt>
                <c:pt idx="68">
                  <c:v>20.7952565737212</c:v>
                </c:pt>
                <c:pt idx="69">
                  <c:v>20.8798211119611</c:v>
                </c:pt>
                <c:pt idx="70">
                  <c:v>20.9661767223902</c:v>
                </c:pt>
                <c:pt idx="71">
                  <c:v>21.0542667673417</c:v>
                </c:pt>
                <c:pt idx="72">
                  <c:v>21.1440253828554</c:v>
                </c:pt>
                <c:pt idx="73">
                  <c:v>21.2353764280582</c:v>
                </c:pt>
                <c:pt idx="74">
                  <c:v>21.3282323426926</c:v>
                </c:pt>
                <c:pt idx="75">
                  <c:v>21.422492909874</c:v>
                </c:pt>
                <c:pt idx="76">
                  <c:v>21.5180439226115</c:v>
                </c:pt>
                <c:pt idx="77">
                  <c:v>21.6147557546185</c:v>
                </c:pt>
                <c:pt idx="78">
                  <c:v>21.7124818385685</c:v>
                </c:pt>
                <c:pt idx="79">
                  <c:v>21.8110570583592</c:v>
                </c:pt>
                <c:pt idx="80">
                  <c:v>21.9102960662552</c:v>
                </c:pt>
                <c:pt idx="81">
                  <c:v>22.0099915411329</c:v>
                </c:pt>
                <c:pt idx="82">
                  <c:v>22.1099124105808</c:v>
                </c:pt>
                <c:pt idx="83">
                  <c:v>22.2098020674165</c:v>
                </c:pt>
                <c:pt idx="84">
                  <c:v>22.3093766203544</c:v>
                </c:pt>
                <c:pt idx="85">
                  <c:v>22.408323229081</c:v>
                </c:pt>
                <c:pt idx="86">
                  <c:v>22.5062985857919</c:v>
                </c:pt>
                <c:pt idx="87">
                  <c:v>22.6029276180641</c:v>
                </c:pt>
                <c:pt idx="88">
                  <c:v>22.6978025013719</c:v>
                </c:pt>
                <c:pt idx="89">
                  <c:v>22.7904820829464</c:v>
                </c:pt>
                <c:pt idx="90">
                  <c:v>22.8804918310832</c:v>
                </c:pt>
                <c:pt idx="91">
                  <c:v>22.9673244341895</c:v>
                </c:pt>
                <c:pt idx="92">
                  <c:v>23.0504411802395</c:v>
                </c:pt>
                <c:pt idx="93">
                  <c:v>23.1292742480169</c:v>
                </c:pt>
                <c:pt idx="94">
                  <c:v>23.2032300344945</c:v>
                </c:pt>
                <c:pt idx="95">
                  <c:v>23.2716936258044</c:v>
                </c:pt>
                <c:pt idx="96">
                  <c:v>23.3340344905756</c:v>
                </c:pt>
                <c:pt idx="97">
                  <c:v>23.3896134325791</c:v>
                </c:pt>
                <c:pt idx="98">
                  <c:v>23.4377907841659</c:v>
                </c:pt>
                <c:pt idx="99">
                  <c:v>23.4779357538267</c:v>
                </c:pt>
                <c:pt idx="100">
                  <c:v>23.5094367629799</c:v>
                </c:pt>
                <c:pt idx="101">
                  <c:v>23.531712523403</c:v>
                </c:pt>
                <c:pt idx="102">
                  <c:v>23.5442235240847</c:v>
                </c:pt>
                <c:pt idx="103">
                  <c:v>23.5464835227937</c:v>
                </c:pt>
                <c:pt idx="104">
                  <c:v>23.538070582205</c:v>
                </c:pt>
                <c:pt idx="105">
                  <c:v>23.5186371615777</c:v>
                </c:pt>
                <c:pt idx="106">
                  <c:v>23.4879187796309</c:v>
                </c:pt>
                <c:pt idx="107">
                  <c:v>23.4457408063031</c:v>
                </c:pt>
                <c:pt idx="108">
                  <c:v>23.3920230203176</c:v>
                </c:pt>
                <c:pt idx="109">
                  <c:v>23.326781681158</c:v>
                </c:pt>
                <c:pt idx="110">
                  <c:v>23.2501289991233</c:v>
                </c:pt>
                <c:pt idx="111">
                  <c:v>23.1622700332542</c:v>
                </c:pt>
                <c:pt idx="112">
                  <c:v>23.0634971902021</c:v>
                </c:pt>
                <c:pt idx="113">
                  <c:v>22.9541826240459</c:v>
                </c:pt>
                <c:pt idx="114">
                  <c:v>22.8347689364769</c:v>
                </c:pt>
                <c:pt idx="115">
                  <c:v>22.7057586412695</c:v>
                </c:pt>
                <c:pt idx="116">
                  <c:v>22.5677028836395</c:v>
                </c:pt>
                <c:pt idx="117">
                  <c:v>22.4211898955204</c:v>
                </c:pt>
                <c:pt idx="118">
                  <c:v>22.2668336272171</c:v>
                </c:pt>
                <c:pt idx="119">
                  <c:v>22.1052629320709</c:v>
                </c:pt>
                <c:pt idx="120">
                  <c:v>21.9371116025294</c:v>
                </c:pt>
                <c:pt idx="121">
                  <c:v>21.7630094720584</c:v>
                </c:pt>
                <c:pt idx="122">
                  <c:v>21.5835747151674</c:v>
                </c:pt>
                <c:pt idx="123">
                  <c:v>21.3994074032356</c:v>
                </c:pt>
                <c:pt idx="124">
                  <c:v>21.2110843105904</c:v>
                </c:pt>
                <c:pt idx="125">
                  <c:v>21.0191549153297</c:v>
                </c:pt>
                <c:pt idx="126">
                  <c:v>20.8241385029772</c:v>
                </c:pt>
                <c:pt idx="127">
                  <c:v>20.6265222573616</c:v>
                </c:pt>
                <c:pt idx="128">
                  <c:v>20.4267602104532</c:v>
                </c:pt>
                <c:pt idx="129">
                  <c:v>20.225272919251</c:v>
                </c:pt>
                <c:pt idx="130">
                  <c:v>20.0224477410617</c:v>
                </c:pt>
                <c:pt idx="131">
                  <c:v>19.8186395866352</c:v>
                </c:pt>
                <c:pt idx="132">
                  <c:v>19.614172041882</c:v>
                </c:pt>
                <c:pt idx="133">
                  <c:v>19.4093387618302</c:v>
                </c:pt>
                <c:pt idx="134">
                  <c:v>19.2044050539876</c:v>
                </c:pt>
                <c:pt idx="135">
                  <c:v>18.999609581522</c:v>
                </c:pt>
                <c:pt idx="136">
                  <c:v>18.7951661291206</c:v>
                </c:pt>
                <c:pt idx="137">
                  <c:v>18.5912653856878</c:v>
                </c:pt>
                <c:pt idx="138">
                  <c:v>18.3880767080233</c:v>
                </c:pt>
                <c:pt idx="139">
                  <c:v>18.1857498382382</c:v>
                </c:pt>
                <c:pt idx="140">
                  <c:v>17.9844165549459</c:v>
                </c:pt>
                <c:pt idx="141">
                  <c:v>17.7841922443032</c:v>
                </c:pt>
                <c:pt idx="142">
                  <c:v>17.5851773818902</c:v>
                </c:pt>
                <c:pt idx="143">
                  <c:v>17.3874589203465</c:v>
                </c:pt>
                <c:pt idx="144">
                  <c:v>17.191111580754</c:v>
                </c:pt>
                <c:pt idx="145">
                  <c:v>16.996199048117</c:v>
                </c:pt>
                <c:pt idx="146">
                  <c:v>16.8027750730501</c:v>
                </c:pt>
                <c:pt idx="147">
                  <c:v>16.6108844830533</c:v>
                </c:pt>
                <c:pt idx="148">
                  <c:v>16.4205641076353</c:v>
                </c:pt>
                <c:pt idx="149">
                  <c:v>16.2318436221066</c:v>
                </c:pt>
                <c:pt idx="150">
                  <c:v>16.0447463151856</c:v>
                </c:pt>
                <c:pt idx="151">
                  <c:v>15.8592897856926</c:v>
                </c:pt>
                <c:pt idx="152">
                  <c:v>15.6754865735967</c:v>
                </c:pt>
                <c:pt idx="153">
                  <c:v>15.4933447305653</c:v>
                </c:pt>
                <c:pt idx="154">
                  <c:v>15.3128683349826</c:v>
                </c:pt>
                <c:pt idx="155">
                  <c:v>15.1340579561596</c:v>
                </c:pt>
                <c:pt idx="156">
                  <c:v>14.9569110721958</c:v>
                </c:pt>
                <c:pt idx="157">
                  <c:v>14.7814224456597</c:v>
                </c:pt>
                <c:pt idx="158">
                  <c:v>14.6075844609669</c:v>
                </c:pt>
                <c:pt idx="159">
                  <c:v>14.4353874270396</c:v>
                </c:pt>
                <c:pt idx="160">
                  <c:v>14.2648198485463</c:v>
                </c:pt>
                <c:pt idx="161">
                  <c:v>14.0958686687497</c:v>
                </c:pt>
                <c:pt idx="162">
                  <c:v>13.9285194867265</c:v>
                </c:pt>
                <c:pt idx="163">
                  <c:v>13.7627567514807</c:v>
                </c:pt>
                <c:pt idx="164">
                  <c:v>13.5985639352428</c:v>
                </c:pt>
                <c:pt idx="165">
                  <c:v>13.4359236880364</c:v>
                </c:pt>
                <c:pt idx="166">
                  <c:v>13.2748179753947</c:v>
                </c:pt>
                <c:pt idx="167">
                  <c:v>13.115228200934</c:v>
                </c:pt>
                <c:pt idx="168">
                  <c:v>12.9571353153242</c:v>
                </c:pt>
                <c:pt idx="169">
                  <c:v>12.8005199130454</c:v>
                </c:pt>
                <c:pt idx="170">
                  <c:v>12.6453623181857</c:v>
                </c:pt>
                <c:pt idx="171">
                  <c:v>12.4916426604073</c:v>
                </c:pt>
                <c:pt idx="172">
                  <c:v>12.3393409421004</c:v>
                </c:pt>
                <c:pt idx="173">
                  <c:v>12.1884370976367</c:v>
                </c:pt>
                <c:pt idx="174">
                  <c:v>12.0389110455473</c:v>
                </c:pt>
                <c:pt idx="175">
                  <c:v>11.8907427343632</c:v>
                </c:pt>
                <c:pt idx="176">
                  <c:v>11.7439121827844</c:v>
                </c:pt>
                <c:pt idx="177">
                  <c:v>11.5983995147725</c:v>
                </c:pt>
                <c:pt idx="178">
                  <c:v>11.4541849901057</c:v>
                </c:pt>
                <c:pt idx="179">
                  <c:v>11.3112490308757</c:v>
                </c:pt>
                <c:pt idx="180">
                  <c:v>11.169572244359</c:v>
                </c:pt>
                <c:pt idx="181">
                  <c:v>11.0291354426524</c:v>
                </c:pt>
                <c:pt idx="182">
                  <c:v>10.8899196594187</c:v>
                </c:pt>
                <c:pt idx="183">
                  <c:v>10.7519061640565</c:v>
                </c:pt>
                <c:pt idx="184">
                  <c:v>10.6150764735747</c:v>
                </c:pt>
                <c:pt idx="185">
                  <c:v>10.4794123624224</c:v>
                </c:pt>
                <c:pt idx="186">
                  <c:v>10.3448958705013</c:v>
                </c:pt>
                <c:pt idx="187">
                  <c:v>10.2115093095621</c:v>
                </c:pt>
                <c:pt idx="188">
                  <c:v>10.0792352681668</c:v>
                </c:pt>
                <c:pt idx="189">
                  <c:v>9.94805661538004</c:v>
                </c:pt>
                <c:pt idx="190">
                  <c:v>9.81795650333585</c:v>
                </c:pt>
                <c:pt idx="191">
                  <c:v>9.68891836880997</c:v>
                </c:pt>
                <c:pt idx="192">
                  <c:v>9.56092593391596</c:v>
                </c:pt>
                <c:pt idx="193">
                  <c:v>9.43396320602982</c:v>
                </c:pt>
                <c:pt idx="194">
                  <c:v>9.30801447703769</c:v>
                </c:pt>
                <c:pt idx="195">
                  <c:v>9.18306432199097</c:v>
                </c:pt>
                <c:pt idx="196">
                  <c:v>9.05909759724441</c:v>
                </c:pt>
                <c:pt idx="197">
                  <c:v>8.93609943814501</c:v>
                </c:pt>
                <c:pt idx="198">
                  <c:v>8.81405525633215</c:v>
                </c:pt>
                <c:pt idx="199">
                  <c:v>8.69295073670314</c:v>
                </c:pt>
                <c:pt idx="200">
                  <c:v>8.57277183409257</c:v>
                </c:pt>
                <c:pt idx="201">
                  <c:v>8.4535047697088</c:v>
                </c:pt>
                <c:pt idx="202">
                  <c:v>8.33513602736597</c:v>
                </c:pt>
                <c:pt idx="203">
                  <c:v>8.21765234954607</c:v>
                </c:pt>
                <c:pt idx="204">
                  <c:v>8.10104073332176</c:v>
                </c:pt>
                <c:pt idx="205">
                  <c:v>7.98528842616705</c:v>
                </c:pt>
                <c:pt idx="206">
                  <c:v>7.87038292168029</c:v>
                </c:pt>
                <c:pt idx="207">
                  <c:v>7.75631195524091</c:v>
                </c:pt>
                <c:pt idx="208">
                  <c:v>7.64306349961902</c:v>
                </c:pt>
                <c:pt idx="209">
                  <c:v>7.53062576055471</c:v>
                </c:pt>
                <c:pt idx="210">
                  <c:v>7.41898717232213</c:v>
                </c:pt>
                <c:pt idx="211">
                  <c:v>7.30813639329131</c:v>
                </c:pt>
                <c:pt idx="212">
                  <c:v>7.19806230149947</c:v>
                </c:pt>
                <c:pt idx="213">
                  <c:v>7.08875399024183</c:v>
                </c:pt>
                <c:pt idx="214">
                  <c:v>6.9802007636908</c:v>
                </c:pt>
                <c:pt idx="215">
                  <c:v>6.87239213255142</c:v>
                </c:pt>
                <c:pt idx="216">
                  <c:v>6.76531780975949</c:v>
                </c:pt>
                <c:pt idx="217">
                  <c:v>6.6589677062283</c:v>
                </c:pt>
                <c:pt idx="218">
                  <c:v>6.55333192664898</c:v>
                </c:pt>
                <c:pt idx="219">
                  <c:v>6.44840076534849</c:v>
                </c:pt>
                <c:pt idx="220">
                  <c:v>6.34416470220887</c:v>
                </c:pt>
                <c:pt idx="221">
                  <c:v>6.24061439865082</c:v>
                </c:pt>
                <c:pt idx="222">
                  <c:v>6.13774069368385</c:v>
                </c:pt>
                <c:pt idx="223">
                  <c:v>6.03553460002504</c:v>
                </c:pt>
                <c:pt idx="224">
                  <c:v>5.93398730028807</c:v>
                </c:pt>
                <c:pt idx="225">
                  <c:v>5.83309014324347</c:v>
                </c:pt>
                <c:pt idx="226">
                  <c:v>4.85808482890517</c:v>
                </c:pt>
                <c:pt idx="227">
                  <c:v>3.93967926078019</c:v>
                </c:pt>
                <c:pt idx="228">
                  <c:v>3.07145667615204</c:v>
                </c:pt>
                <c:pt idx="229">
                  <c:v>2.24802540621177</c:v>
                </c:pt>
                <c:pt idx="230">
                  <c:v>1.46481884456783</c:v>
                </c:pt>
                <c:pt idx="231">
                  <c:v>0.717939070380471</c:v>
                </c:pt>
                <c:pt idx="232">
                  <c:v>0.00403429147945619</c:v>
                </c:pt>
                <c:pt idx="233">
                  <c:v>-0.679797724214575</c:v>
                </c:pt>
                <c:pt idx="234">
                  <c:v>-1.33608625823392</c:v>
                </c:pt>
                <c:pt idx="235">
                  <c:v>-1.96704887010486</c:v>
                </c:pt>
                <c:pt idx="236">
                  <c:v>-2.57464070707444</c:v>
                </c:pt>
                <c:pt idx="237">
                  <c:v>-3.16059451642691</c:v>
                </c:pt>
                <c:pt idx="238">
                  <c:v>-3.72645335321971</c:v>
                </c:pt>
                <c:pt idx="239">
                  <c:v>-4.27359750695688</c:v>
                </c:pt>
                <c:pt idx="240">
                  <c:v>-4.80326681949012</c:v>
                </c:pt>
                <c:pt idx="241">
                  <c:v>-5.31657930241203</c:v>
                </c:pt>
                <c:pt idx="242">
                  <c:v>-5.81454676260577</c:v>
                </c:pt>
                <c:pt idx="243">
                  <c:v>-6.2980879927671</c:v>
                </c:pt>
                <c:pt idx="244">
                  <c:v>-6.7680399674243</c:v>
                </c:pt>
                <c:pt idx="245">
                  <c:v>-7.22516739531952</c:v>
                </c:pt>
                <c:pt idx="246">
                  <c:v>-7.67017090941778</c:v>
                </c:pt>
                <c:pt idx="247">
                  <c:v>-8.1036941214276</c:v>
                </c:pt>
                <c:pt idx="248">
                  <c:v>-8.52632972494812</c:v>
                </c:pt>
                <c:pt idx="249">
                  <c:v>-8.93862479751</c:v>
                </c:pt>
                <c:pt idx="250">
                  <c:v>-9.34108542482738</c:v>
                </c:pt>
                <c:pt idx="251">
                  <c:v>-9.73418074899384</c:v>
                </c:pt>
                <c:pt idx="252">
                  <c:v>-10.1183465249711</c:v>
                </c:pt>
                <c:pt idx="253">
                  <c:v>-10.4939882556426</c:v>
                </c:pt>
                <c:pt idx="254">
                  <c:v>-10.8614839642432</c:v>
                </c:pt>
                <c:pt idx="255">
                  <c:v>-11.221186653606</c:v>
                </c:pt>
                <c:pt idx="256">
                  <c:v>-11.5734264939566</c:v>
                </c:pt>
                <c:pt idx="257">
                  <c:v>-11.9185127746273</c:v>
                </c:pt>
                <c:pt idx="258">
                  <c:v>-12.2567356497838</c:v>
                </c:pt>
                <c:pt idx="259">
                  <c:v>-12.5883677038606</c:v>
                </c:pt>
                <c:pt idx="260">
                  <c:v>-12.9136653587287</c:v>
                </c:pt>
                <c:pt idx="261">
                  <c:v>-13.2328701415276</c:v>
                </c:pt>
                <c:pt idx="262">
                  <c:v>-13.5462098294989</c:v>
                </c:pt>
                <c:pt idx="263">
                  <c:v>-13.8538994859533</c:v>
                </c:pt>
                <c:pt idx="264">
                  <c:v>-14.1561423996397</c:v>
                </c:pt>
                <c:pt idx="265">
                  <c:v>-14.4531309381942</c:v>
                </c:pt>
                <c:pt idx="266">
                  <c:v>-14.7450473249888</c:v>
                </c:pt>
                <c:pt idx="267">
                  <c:v>-15.0320643475365</c:v>
                </c:pt>
                <c:pt idx="268">
                  <c:v>-15.3143460046078</c:v>
                </c:pt>
                <c:pt idx="269">
                  <c:v>-15.5920480983553</c:v>
                </c:pt>
                <c:pt idx="270">
                  <c:v>-15.8653187769936</c:v>
                </c:pt>
                <c:pt idx="271">
                  <c:v>-16.1342990329402</c:v>
                </c:pt>
                <c:pt idx="272">
                  <c:v>-16.3991231607591</c:v>
                </c:pt>
                <c:pt idx="273">
                  <c:v>-16.659919178763</c:v>
                </c:pt>
                <c:pt idx="274">
                  <c:v>-16.9168092177012</c:v>
                </c:pt>
                <c:pt idx="275">
                  <c:v>-17.1699098795889</c:v>
                </c:pt>
                <c:pt idx="276">
                  <c:v>-17.4193325694051</c:v>
                </c:pt>
                <c:pt idx="277">
                  <c:v>-17.6651838020987</c:v>
                </c:pt>
                <c:pt idx="278">
                  <c:v>-17.9075654870904</c:v>
                </c:pt>
                <c:pt idx="279">
                  <c:v>-18.1465751922316</c:v>
                </c:pt>
                <c:pt idx="280">
                  <c:v>-18.382306388987</c:v>
                </c:pt>
                <c:pt idx="281">
                  <c:v>-18.6148486804294</c:v>
                </c:pt>
                <c:pt idx="282">
                  <c:v>-18.8442880134811</c:v>
                </c:pt>
                <c:pt idx="283">
                  <c:v>-19.0707068766987</c:v>
                </c:pt>
                <c:pt idx="284">
                  <c:v>-19.2941844847719</c:v>
                </c:pt>
                <c:pt idx="285">
                  <c:v>-19.5147969508013</c:v>
                </c:pt>
                <c:pt idx="286">
                  <c:v>-19.7326174473175</c:v>
                </c:pt>
                <c:pt idx="287">
                  <c:v>-19.9477163569183</c:v>
                </c:pt>
                <c:pt idx="288">
                  <c:v>-20.1601614133224</c:v>
                </c:pt>
                <c:pt idx="289">
                  <c:v>-20.3700178335645</c:v>
                </c:pt>
                <c:pt idx="290">
                  <c:v>-20.5773484419955</c:v>
                </c:pt>
                <c:pt idx="291">
                  <c:v>-20.7822137866929</c:v>
                </c:pt>
                <c:pt idx="292">
                  <c:v>-20.9846722488353</c:v>
                </c:pt>
                <c:pt idx="293">
                  <c:v>-21.1847801455471</c:v>
                </c:pt>
                <c:pt idx="294">
                  <c:v>-21.3825918266791</c:v>
                </c:pt>
                <c:pt idx="295">
                  <c:v>-21.57815976595</c:v>
                </c:pt>
                <c:pt idx="296">
                  <c:v>-21.7715346468414</c:v>
                </c:pt>
                <c:pt idx="297">
                  <c:v>-21.9627654436057</c:v>
                </c:pt>
                <c:pt idx="298">
                  <c:v>-22.1518994977194</c:v>
                </c:pt>
                <c:pt idx="299">
                  <c:v>-22.3389825900857</c:v>
                </c:pt>
                <c:pt idx="300">
                  <c:v>-22.5240590092693</c:v>
                </c:pt>
                <c:pt idx="301">
                  <c:v>-22.7071716160231</c:v>
                </c:pt>
                <c:pt idx="302">
                  <c:v>-22.888361904347</c:v>
                </c:pt>
                <c:pt idx="303">
                  <c:v>-23.067670059301</c:v>
                </c:pt>
                <c:pt idx="304">
                  <c:v>-23.2451350117788</c:v>
                </c:pt>
                <c:pt idx="305">
                  <c:v>-23.4207944904321</c:v>
                </c:pt>
                <c:pt idx="306">
                  <c:v>-23.5946850709225</c:v>
                </c:pt>
                <c:pt idx="307">
                  <c:v>-23.7668422226651</c:v>
                </c:pt>
                <c:pt idx="308">
                  <c:v>-23.9373003532161</c:v>
                </c:pt>
                <c:pt idx="309">
                  <c:v>-24.1060928504465</c:v>
                </c:pt>
                <c:pt idx="310">
                  <c:v>-24.2732521226327</c:v>
                </c:pt>
                <c:pt idx="311">
                  <c:v>-24.4388096365878</c:v>
                </c:pt>
                <c:pt idx="312">
                  <c:v>-24.6027959539474</c:v>
                </c:pt>
                <c:pt idx="313">
                  <c:v>-24.7652407657161</c:v>
                </c:pt>
                <c:pt idx="314">
                  <c:v>-24.9261729251747</c:v>
                </c:pt>
                <c:pt idx="315">
                  <c:v>-25.0856204792412</c:v>
                </c:pt>
                <c:pt idx="316">
                  <c:v>-25.2436106983714</c:v>
                </c:pt>
                <c:pt idx="317">
                  <c:v>-25.4001701050806</c:v>
                </c:pt>
                <c:pt idx="318">
                  <c:v>-25.5553245011629</c:v>
                </c:pt>
                <c:pt idx="319">
                  <c:v>-25.7090989936784</c:v>
                </c:pt>
                <c:pt idx="320">
                  <c:v>-25.861518019775</c:v>
                </c:pt>
                <c:pt idx="321">
                  <c:v>-26.0126053704073</c:v>
                </c:pt>
                <c:pt idx="322">
                  <c:v>-26.1623842130111</c:v>
                </c:pt>
                <c:pt idx="323">
                  <c:v>-26.3108771131882</c:v>
                </c:pt>
                <c:pt idx="324">
                  <c:v>-26.4581060554532</c:v>
                </c:pt>
                <c:pt idx="325">
                  <c:v>-26.6040924630911</c:v>
                </c:pt>
                <c:pt idx="326">
                  <c:v>-26.7488572171703</c:v>
                </c:pt>
                <c:pt idx="327">
                  <c:v>-26.8924206747546</c:v>
                </c:pt>
                <c:pt idx="328">
                  <c:v>-27.0348026863548</c:v>
                </c:pt>
                <c:pt idx="329">
                  <c:v>-27.1760226126562</c:v>
                </c:pt>
                <c:pt idx="330">
                  <c:v>-27.3160993405603</c:v>
                </c:pt>
                <c:pt idx="331">
                  <c:v>-27.4550512985719</c:v>
                </c:pt>
                <c:pt idx="332">
                  <c:v>-27.592896471565</c:v>
                </c:pt>
                <c:pt idx="333">
                  <c:v>-27.7296524149571</c:v>
                </c:pt>
                <c:pt idx="334">
                  <c:v>-27.8653362683197</c:v>
                </c:pt>
                <c:pt idx="335">
                  <c:v>-27.9999647684526</c:v>
                </c:pt>
                <c:pt idx="336">
                  <c:v>-28.1335542619462</c:v>
                </c:pt>
                <c:pt idx="337">
                  <c:v>-28.2661207172572</c:v>
                </c:pt>
                <c:pt idx="338">
                  <c:v>-28.3976797363185</c:v>
                </c:pt>
                <c:pt idx="339">
                  <c:v>-28.5282465657061</c:v>
                </c:pt>
                <c:pt idx="340">
                  <c:v>-28.6578361073825</c:v>
                </c:pt>
                <c:pt idx="341">
                  <c:v>-28.7864629290359</c:v>
                </c:pt>
                <c:pt idx="342">
                  <c:v>-28.9141412740336</c:v>
                </c:pt>
                <c:pt idx="343">
                  <c:v>-29.0408850710067</c:v>
                </c:pt>
                <c:pt idx="344">
                  <c:v>-29.1667079430822</c:v>
                </c:pt>
                <c:pt idx="345">
                  <c:v>-29.2916232167776</c:v>
                </c:pt>
                <c:pt idx="346">
                  <c:v>-29.4156439305745</c:v>
                </c:pt>
                <c:pt idx="347">
                  <c:v>-29.5387828431827</c:v>
                </c:pt>
                <c:pt idx="348">
                  <c:v>-29.6610524415096</c:v>
                </c:pt>
                <c:pt idx="349">
                  <c:v>-29.7824649483474</c:v>
                </c:pt>
                <c:pt idx="350">
                  <c:v>-29.9030323297892</c:v>
                </c:pt>
                <c:pt idx="351">
                  <c:v>-30.0227663023863</c:v>
                </c:pt>
                <c:pt idx="352">
                  <c:v>-30.1416783400572</c:v>
                </c:pt>
                <c:pt idx="353">
                  <c:v>-30.2597796807583</c:v>
                </c:pt>
                <c:pt idx="354">
                  <c:v>-30.3770813329264</c:v>
                </c:pt>
                <c:pt idx="355">
                  <c:v>-30.4935940817026</c:v>
                </c:pt>
                <c:pt idx="356">
                  <c:v>-30.6093284949454</c:v>
                </c:pt>
                <c:pt idx="357">
                  <c:v>-30.7242949290435</c:v>
                </c:pt>
                <c:pt idx="358">
                  <c:v>-30.8385035345336</c:v>
                </c:pt>
                <c:pt idx="359">
                  <c:v>-30.9519642615334</c:v>
                </c:pt>
                <c:pt idx="360">
                  <c:v>-31.0646868649961</c:v>
                </c:pt>
                <c:pt idx="361">
                  <c:v>-31.1766809097931</c:v>
                </c:pt>
                <c:pt idx="362">
                  <c:v>-31.2879557756316</c:v>
                </c:pt>
                <c:pt idx="363">
                  <c:v>-31.398520661815</c:v>
                </c:pt>
                <c:pt idx="364">
                  <c:v>-31.50838459185</c:v>
                </c:pt>
                <c:pt idx="365">
                  <c:v>-31.617556417907</c:v>
                </c:pt>
                <c:pt idx="366">
                  <c:v>-31.7260448251409</c:v>
                </c:pt>
                <c:pt idx="367">
                  <c:v>-31.833858335875</c:v>
                </c:pt>
                <c:pt idx="368">
                  <c:v>-31.9410053136551</c:v>
                </c:pt>
                <c:pt idx="369">
                  <c:v>-32.0474939671775</c:v>
                </c:pt>
                <c:pt idx="370">
                  <c:v>-32.1533323540967</c:v>
                </c:pt>
                <c:pt idx="371">
                  <c:v>-32.2585283847158</c:v>
                </c:pt>
                <c:pt idx="372">
                  <c:v>-32.3630898255649</c:v>
                </c:pt>
                <c:pt idx="373">
                  <c:v>-32.4670243028719</c:v>
                </c:pt>
                <c:pt idx="374">
                  <c:v>-32.5703393059279</c:v>
                </c:pt>
                <c:pt idx="375">
                  <c:v>-32.6730421903531</c:v>
                </c:pt>
                <c:pt idx="376">
                  <c:v>-32.7751401812649</c:v>
                </c:pt>
                <c:pt idx="377">
                  <c:v>-32.8766403763534</c:v>
                </c:pt>
                <c:pt idx="378">
                  <c:v>-32.9775497488657</c:v>
                </c:pt>
                <c:pt idx="379">
                  <c:v>-33.0778751505042</c:v>
                </c:pt>
                <c:pt idx="380">
                  <c:v>-33.1776233142397</c:v>
                </c:pt>
                <c:pt idx="381">
                  <c:v>-33.2768008570447</c:v>
                </c:pt>
                <c:pt idx="382">
                  <c:v>-33.375414282547</c:v>
                </c:pt>
                <c:pt idx="383">
                  <c:v>-33.4734699836093</c:v>
                </c:pt>
                <c:pt idx="384">
                  <c:v>-33.5709742448341</c:v>
                </c:pt>
                <c:pt idx="385">
                  <c:v>-33.667933244999</c:v>
                </c:pt>
                <c:pt idx="386">
                  <c:v>-33.7643530594237</c:v>
                </c:pt>
                <c:pt idx="387">
                  <c:v>-33.8602396622709</c:v>
                </c:pt>
                <c:pt idx="388">
                  <c:v>-33.9555989287837</c:v>
                </c:pt>
                <c:pt idx="389">
                  <c:v>-34.0504366374608</c:v>
                </c:pt>
                <c:pt idx="390">
                  <c:v>-34.1447584721729</c:v>
                </c:pt>
                <c:pt idx="391">
                  <c:v>-34.238570024221</c:v>
                </c:pt>
                <c:pt idx="392">
                  <c:v>-34.3318767943391</c:v>
                </c:pt>
                <c:pt idx="393">
                  <c:v>-34.4246841946428</c:v>
                </c:pt>
                <c:pt idx="394">
                  <c:v>-34.5169975505259</c:v>
                </c:pt>
                <c:pt idx="395">
                  <c:v>-34.6088221025063</c:v>
                </c:pt>
                <c:pt idx="396">
                  <c:v>-34.7001630080228</c:v>
                </c:pt>
                <c:pt idx="397">
                  <c:v>-34.7910253431852</c:v>
                </c:pt>
                <c:pt idx="398">
                  <c:v>-34.8814141044775</c:v>
                </c:pt>
                <c:pt idx="399">
                  <c:v>-34.9713342104176</c:v>
                </c:pt>
                <c:pt idx="400">
                  <c:v>-35.0607905031733</c:v>
                </c:pt>
                <c:pt idx="401">
                  <c:v>-35.1497877501369</c:v>
                </c:pt>
                <c:pt idx="402">
                  <c:v>-35.2383306454592</c:v>
                </c:pt>
                <c:pt idx="403">
                  <c:v>-35.3264238115445</c:v>
                </c:pt>
                <c:pt idx="404">
                  <c:v>-35.4140718005073</c:v>
                </c:pt>
                <c:pt idx="405">
                  <c:v>-35.5012790955922</c:v>
                </c:pt>
                <c:pt idx="406">
                  <c:v>-35.5880501125589</c:v>
                </c:pt>
                <c:pt idx="407">
                  <c:v>-35.6743892010307</c:v>
                </c:pt>
                <c:pt idx="408">
                  <c:v>-35.7603006458115</c:v>
                </c:pt>
                <c:pt idx="409">
                  <c:v>-35.8457886681688</c:v>
                </c:pt>
                <c:pt idx="410">
                  <c:v>-35.9308574270854</c:v>
                </c:pt>
                <c:pt idx="411">
                  <c:v>-36.0155110204806</c:v>
                </c:pt>
                <c:pt idx="412">
                  <c:v>-36.0997534864013</c:v>
                </c:pt>
                <c:pt idx="413">
                  <c:v>-36.1835888041842</c:v>
                </c:pt>
                <c:pt idx="414">
                  <c:v>-36.2670208955904</c:v>
                </c:pt>
                <c:pt idx="415">
                  <c:v>-36.3500536259115</c:v>
                </c:pt>
                <c:pt idx="416">
                  <c:v>-36.4326908050508</c:v>
                </c:pt>
                <c:pt idx="417">
                  <c:v>-36.5149361885774</c:v>
                </c:pt>
                <c:pt idx="418">
                  <c:v>-36.596793478756</c:v>
                </c:pt>
                <c:pt idx="419">
                  <c:v>-36.678266325552</c:v>
                </c:pt>
                <c:pt idx="420">
                  <c:v>-36.7593583276136</c:v>
                </c:pt>
                <c:pt idx="421">
                  <c:v>-36.8400730332302</c:v>
                </c:pt>
                <c:pt idx="422">
                  <c:v>-36.9204139412687</c:v>
                </c:pt>
                <c:pt idx="423">
                  <c:v>-37.0003845020888</c:v>
                </c:pt>
                <c:pt idx="424">
                  <c:v>-37.0799881184359</c:v>
                </c:pt>
                <c:pt idx="425">
                  <c:v>-37.1592281463149</c:v>
                </c:pt>
                <c:pt idx="426">
                  <c:v>-37.2381078958429</c:v>
                </c:pt>
                <c:pt idx="427">
                  <c:v>-37.3166306320832</c:v>
                </c:pt>
                <c:pt idx="428">
                  <c:v>-37.3947995758602</c:v>
                </c:pt>
                <c:pt idx="429">
                  <c:v>-37.4726179045559</c:v>
                </c:pt>
                <c:pt idx="430">
                  <c:v>-37.5500887528885</c:v>
                </c:pt>
                <c:pt idx="431">
                  <c:v>-37.6272152136741</c:v>
                </c:pt>
                <c:pt idx="432">
                  <c:v>-37.7040003385702</c:v>
                </c:pt>
                <c:pt idx="433">
                  <c:v>-37.7804471388047</c:v>
                </c:pt>
                <c:pt idx="434">
                  <c:v>-37.8565585858868</c:v>
                </c:pt>
                <c:pt idx="435">
                  <c:v>-37.9323376123038</c:v>
                </c:pt>
                <c:pt idx="436">
                  <c:v>-38.0077871122019</c:v>
                </c:pt>
                <c:pt idx="437">
                  <c:v>-38.0829099420524</c:v>
                </c:pt>
                <c:pt idx="438">
                  <c:v>-38.1577089213038</c:v>
                </c:pt>
                <c:pt idx="439">
                  <c:v>-38.2321868330189</c:v>
                </c:pt>
                <c:pt idx="440">
                  <c:v>-38.3063464244998</c:v>
                </c:pt>
                <c:pt idx="441">
                  <c:v>-38.3801904078978</c:v>
                </c:pt>
                <c:pt idx="442">
                  <c:v>-38.4537214608114</c:v>
                </c:pt>
                <c:pt idx="443">
                  <c:v>-38.5269422268715</c:v>
                </c:pt>
                <c:pt idx="444">
                  <c:v>-38.599855316314</c:v>
                </c:pt>
                <c:pt idx="445">
                  <c:v>-38.6724633065407</c:v>
                </c:pt>
                <c:pt idx="446">
                  <c:v>-38.7447687426676</c:v>
                </c:pt>
                <c:pt idx="447">
                  <c:v>-38.8167741380634</c:v>
                </c:pt>
                <c:pt idx="448">
                  <c:v>-38.8884819748751</c:v>
                </c:pt>
                <c:pt idx="449">
                  <c:v>-38.9598947045437</c:v>
                </c:pt>
                <c:pt idx="450">
                  <c:v>-39.0310147483094</c:v>
                </c:pt>
                <c:pt idx="451">
                  <c:v>-39.1018444977056</c:v>
                </c:pt>
                <c:pt idx="452">
                  <c:v>-39.1723863150439</c:v>
                </c:pt>
                <c:pt idx="453">
                  <c:v>-39.2426425338883</c:v>
                </c:pt>
                <c:pt idx="454">
                  <c:v>-39.3126154595205</c:v>
                </c:pt>
                <c:pt idx="455">
                  <c:v>-39.3823073693953</c:v>
                </c:pt>
                <c:pt idx="456">
                  <c:v>-39.4517205135871</c:v>
                </c:pt>
                <c:pt idx="457">
                  <c:v>-39.5208571152279</c:v>
                </c:pt>
                <c:pt idx="458">
                  <c:v>-39.5897193709354</c:v>
                </c:pt>
                <c:pt idx="459">
                  <c:v>-39.6583094512338</c:v>
                </c:pt>
                <c:pt idx="460">
                  <c:v>-39.7266295009658</c:v>
                </c:pt>
                <c:pt idx="461">
                  <c:v>-39.7946816396967</c:v>
                </c:pt>
                <c:pt idx="462">
                  <c:v>-39.8624679621097</c:v>
                </c:pt>
                <c:pt idx="463">
                  <c:v>-39.9299905383952</c:v>
                </c:pt>
                <c:pt idx="464">
                  <c:v>-39.9972514146305</c:v>
                </c:pt>
                <c:pt idx="465">
                  <c:v>-40.064252613154</c:v>
                </c:pt>
                <c:pt idx="466">
                  <c:v>-40.1309961329308</c:v>
                </c:pt>
                <c:pt idx="467">
                  <c:v>-40.1974839499121</c:v>
                </c:pt>
                <c:pt idx="468">
                  <c:v>-40.2637180173871</c:v>
                </c:pt>
                <c:pt idx="469">
                  <c:v>-40.329700266329</c:v>
                </c:pt>
                <c:pt idx="470">
                  <c:v>-40.3954326057336</c:v>
                </c:pt>
                <c:pt idx="471">
                  <c:v>-40.4609169229518</c:v>
                </c:pt>
                <c:pt idx="472">
                  <c:v>-40.5261550840161</c:v>
                </c:pt>
                <c:pt idx="473">
                  <c:v>-40.5911489339605</c:v>
                </c:pt>
                <c:pt idx="474">
                  <c:v>-40.6559002971349</c:v>
                </c:pt>
                <c:pt idx="475">
                  <c:v>-40.7204109775131</c:v>
                </c:pt>
                <c:pt idx="476">
                  <c:v>-40.7846827589955</c:v>
                </c:pt>
                <c:pt idx="477">
                  <c:v>-40.848717405706</c:v>
                </c:pt>
                <c:pt idx="478">
                  <c:v>-40.9125166622836</c:v>
                </c:pt>
                <c:pt idx="479">
                  <c:v>-40.9760822541684</c:v>
                </c:pt>
                <c:pt idx="480">
                  <c:v>-41.0394158878826</c:v>
                </c:pt>
                <c:pt idx="481">
                  <c:v>-41.1025192513061</c:v>
                </c:pt>
                <c:pt idx="482">
                  <c:v>-41.1653940139474</c:v>
                </c:pt>
                <c:pt idx="483">
                  <c:v>-41.2280418272096</c:v>
                </c:pt>
                <c:pt idx="484">
                  <c:v>-41.2904643246508</c:v>
                </c:pt>
                <c:pt idx="485">
                  <c:v>-41.3526631222415</c:v>
                </c:pt>
                <c:pt idx="486">
                  <c:v>-41.4146398186155</c:v>
                </c:pt>
                <c:pt idx="487">
                  <c:v>-41.4763959953175</c:v>
                </c:pt>
                <c:pt idx="488">
                  <c:v>-41.5379332170461</c:v>
                </c:pt>
                <c:pt idx="489">
                  <c:v>-41.5992530318923</c:v>
                </c:pt>
                <c:pt idx="490">
                  <c:v>-41.6603569715738</c:v>
                </c:pt>
                <c:pt idx="491">
                  <c:v>-41.7212465516652</c:v>
                </c:pt>
                <c:pt idx="492">
                  <c:v>-41.7819232718244</c:v>
                </c:pt>
                <c:pt idx="493">
                  <c:v>-41.842388616015</c:v>
                </c:pt>
                <c:pt idx="494">
                  <c:v>-41.902644052724</c:v>
                </c:pt>
                <c:pt idx="495">
                  <c:v>-41.9626910351773</c:v>
                </c:pt>
                <c:pt idx="496">
                  <c:v>-42.0225310015501</c:v>
                </c:pt>
                <c:pt idx="497">
                  <c:v>-42.0821653751739</c:v>
                </c:pt>
                <c:pt idx="498">
                  <c:v>-42.141595564741</c:v>
                </c:pt>
                <c:pt idx="499">
                  <c:v>-42.2008229645041</c:v>
                </c:pt>
                <c:pt idx="500">
                  <c:v>-42.259848954473</c:v>
                </c:pt>
                <c:pt idx="501">
                  <c:v>-42.3186749006088</c:v>
                </c:pt>
                <c:pt idx="502">
                  <c:v>-42.3773021550133</c:v>
                </c:pt>
                <c:pt idx="503">
                  <c:v>-42.4357320561163</c:v>
                </c:pt>
                <c:pt idx="504">
                  <c:v>-42.4939659288596</c:v>
                </c:pt>
                <c:pt idx="505">
                  <c:v>-42.5520050848775</c:v>
                </c:pt>
                <c:pt idx="506">
                  <c:v>-42.6098508226745</c:v>
                </c:pt>
                <c:pt idx="507">
                  <c:v>-42.6675044278004</c:v>
                </c:pt>
                <c:pt idx="508">
                  <c:v>-42.7249671730217</c:v>
                </c:pt>
                <c:pt idx="509">
                  <c:v>-42.7822403184912</c:v>
                </c:pt>
                <c:pt idx="510">
                  <c:v>-42.8393251119136</c:v>
                </c:pt>
                <c:pt idx="511">
                  <c:v>-42.8962227887095</c:v>
                </c:pt>
                <c:pt idx="512">
                  <c:v>-42.9529345721762</c:v>
                </c:pt>
                <c:pt idx="513">
                  <c:v>-43.0094616736455</c:v>
                </c:pt>
                <c:pt idx="514">
                  <c:v>-43.0658052926398</c:v>
                </c:pt>
                <c:pt idx="515">
                  <c:v>-43.121966617025</c:v>
                </c:pt>
                <c:pt idx="516">
                  <c:v>-43.1779468231612</c:v>
                </c:pt>
                <c:pt idx="517">
                  <c:v>-43.2337470760507</c:v>
                </c:pt>
                <c:pt idx="518">
                  <c:v>-43.2893685294842</c:v>
                </c:pt>
                <c:pt idx="519">
                  <c:v>-43.344812326184</c:v>
                </c:pt>
                <c:pt idx="520">
                  <c:v>-43.4000795979454</c:v>
                </c:pt>
                <c:pt idx="521">
                  <c:v>-43.4551714657754</c:v>
                </c:pt>
                <c:pt idx="522">
                  <c:v>-43.5100890400296</c:v>
                </c:pt>
                <c:pt idx="523">
                  <c:v>-43.5648334205471</c:v>
                </c:pt>
                <c:pt idx="524">
                  <c:v>-43.6194056967824</c:v>
                </c:pt>
                <c:pt idx="525">
                  <c:v>-43.6738069479361</c:v>
                </c:pt>
                <c:pt idx="526">
                  <c:v>-43.7280382430833</c:v>
                </c:pt>
                <c:pt idx="527">
                  <c:v>-43.7821006412999</c:v>
                </c:pt>
                <c:pt idx="528">
                  <c:v>-43.8359951917869</c:v>
                </c:pt>
                <c:pt idx="529">
                  <c:v>-43.8897229339929</c:v>
                </c:pt>
                <c:pt idx="530">
                  <c:v>-43.9432848977348</c:v>
                </c:pt>
                <c:pt idx="531">
                  <c:v>-43.9966821033161</c:v>
                </c:pt>
                <c:pt idx="532">
                  <c:v>-44.0499155616444</c:v>
                </c:pt>
                <c:pt idx="533">
                  <c:v>-44.1029862743459</c:v>
                </c:pt>
                <c:pt idx="534">
                  <c:v>-44.1558952338791</c:v>
                </c:pt>
                <c:pt idx="535">
                  <c:v>-44.208643423646</c:v>
                </c:pt>
                <c:pt idx="536">
                  <c:v>-44.2612318181028</c:v>
                </c:pt>
                <c:pt idx="537">
                  <c:v>-44.3136613828671</c:v>
                </c:pt>
                <c:pt idx="538">
                  <c:v>-44.3659330748253</c:v>
                </c:pt>
                <c:pt idx="539">
                  <c:v>-44.4180478422375</c:v>
                </c:pt>
                <c:pt idx="540">
                  <c:v>-44.4700066248404</c:v>
                </c:pt>
                <c:pt idx="541">
                  <c:v>-44.52181035395</c:v>
                </c:pt>
                <c:pt idx="542">
                  <c:v>-44.5734599525613</c:v>
                </c:pt>
                <c:pt idx="543">
                  <c:v>-44.6249563354474</c:v>
                </c:pt>
                <c:pt idx="544">
                  <c:v>-44.6763004092571</c:v>
                </c:pt>
                <c:pt idx="545">
                  <c:v>-44.7274930726107</c:v>
                </c:pt>
                <c:pt idx="546">
                  <c:v>-44.7785352161945</c:v>
                </c:pt>
                <c:pt idx="547">
                  <c:v>-44.8294277228541</c:v>
                </c:pt>
                <c:pt idx="548">
                  <c:v>-44.880171467686</c:v>
                </c:pt>
                <c:pt idx="549">
                  <c:v>-44.9307673181286</c:v>
                </c:pt>
                <c:pt idx="550">
                  <c:v>-44.9812161340506</c:v>
                </c:pt>
                <c:pt idx="551">
                  <c:v>-45.0315187678394</c:v>
                </c:pt>
                <c:pt idx="552">
                  <c:v>-45.0816760644875</c:v>
                </c:pt>
                <c:pt idx="553">
                  <c:v>-45.1316888616778</c:v>
                </c:pt>
                <c:pt idx="554">
                  <c:v>-45.1815579898679</c:v>
                </c:pt>
                <c:pt idx="555">
                  <c:v>-45.2312842723727</c:v>
                </c:pt>
                <c:pt idx="556">
                  <c:v>-45.2808685254462</c:v>
                </c:pt>
                <c:pt idx="557">
                  <c:v>-45.3303115583625</c:v>
                </c:pt>
                <c:pt idx="558">
                  <c:v>-45.3796141734943</c:v>
                </c:pt>
                <c:pt idx="559">
                  <c:v>-45.4287771663921</c:v>
                </c:pt>
                <c:pt idx="560">
                  <c:v>-45.4778013258608</c:v>
                </c:pt>
                <c:pt idx="561">
                  <c:v>-45.526687434036</c:v>
                </c:pt>
                <c:pt idx="562">
                  <c:v>-45.5754362664589</c:v>
                </c:pt>
                <c:pt idx="563">
                  <c:v>-45.6240485921503</c:v>
                </c:pt>
                <c:pt idx="564">
                  <c:v>-45.6725251736837</c:v>
                </c:pt>
                <c:pt idx="565">
                  <c:v>-45.7208667672567</c:v>
                </c:pt>
                <c:pt idx="566">
                  <c:v>-45.7690741227626</c:v>
                </c:pt>
                <c:pt idx="567">
                  <c:v>-45.8171479838598</c:v>
                </c:pt>
                <c:pt idx="568">
                  <c:v>-45.865089088041</c:v>
                </c:pt>
                <c:pt idx="569">
                  <c:v>-45.9128981667011</c:v>
                </c:pt>
                <c:pt idx="570">
                  <c:v>-45.9605759452042</c:v>
                </c:pt>
                <c:pt idx="571">
                  <c:v>-46.00812314295</c:v>
                </c:pt>
                <c:pt idx="572">
                  <c:v>-46.0555404734389</c:v>
                </c:pt>
                <c:pt idx="573">
                  <c:v>-46.1028286443363</c:v>
                </c:pt>
                <c:pt idx="574">
                  <c:v>-46.1499883575359</c:v>
                </c:pt>
                <c:pt idx="575">
                  <c:v>-46.197020309223</c:v>
                </c:pt>
                <c:pt idx="576">
                  <c:v>-46.2439251899355</c:v>
                </c:pt>
                <c:pt idx="577">
                  <c:v>-46.2907036846252</c:v>
                </c:pt>
                <c:pt idx="578">
                  <c:v>-46.3373564727179</c:v>
                </c:pt>
                <c:pt idx="579">
                  <c:v>-46.3838842281727</c:v>
                </c:pt>
                <c:pt idx="580">
                  <c:v>-46.4302876195404</c:v>
                </c:pt>
                <c:pt idx="581">
                  <c:v>-46.4765673100215</c:v>
                </c:pt>
                <c:pt idx="582">
                  <c:v>-46.5227239575229</c:v>
                </c:pt>
                <c:pt idx="583">
                  <c:v>-46.568758214714</c:v>
                </c:pt>
                <c:pt idx="584">
                  <c:v>-46.6146707290828</c:v>
                </c:pt>
                <c:pt idx="585">
                  <c:v>-46.6604621429898</c:v>
                </c:pt>
                <c:pt idx="586">
                  <c:v>-46.7061330937227</c:v>
                </c:pt>
                <c:pt idx="587">
                  <c:v>-46.7516842135492</c:v>
                </c:pt>
                <c:pt idx="588">
                  <c:v>-46.79711612977</c:v>
                </c:pt>
                <c:pt idx="589">
                  <c:v>-46.8424294647703</c:v>
                </c:pt>
                <c:pt idx="590">
                  <c:v>-46.8876248360715</c:v>
                </c:pt>
                <c:pt idx="591">
                  <c:v>-46.9327028563815</c:v>
                </c:pt>
                <c:pt idx="592">
                  <c:v>-46.9776641336445</c:v>
                </c:pt>
                <c:pt idx="593">
                  <c:v>-47.0225092710906</c:v>
                </c:pt>
                <c:pt idx="594">
                  <c:v>-47.0672388672844</c:v>
                </c:pt>
                <c:pt idx="595">
                  <c:v>-47.1118535161724</c:v>
                </c:pt>
                <c:pt idx="596">
                  <c:v>-47.1563538071314</c:v>
                </c:pt>
                <c:pt idx="597">
                  <c:v>-47.2007403250144</c:v>
                </c:pt>
                <c:pt idx="598">
                  <c:v>-47.2450136501973</c:v>
                </c:pt>
                <c:pt idx="599">
                  <c:v>-47.2891743586245</c:v>
                </c:pt>
                <c:pt idx="600">
                  <c:v>-47.3332230218533</c:v>
                </c:pt>
                <c:pt idx="601">
                  <c:v>-47.3771602070994</c:v>
                </c:pt>
                <c:pt idx="602">
                  <c:v>-47.4209864772798</c:v>
                </c:pt>
                <c:pt idx="603">
                  <c:v>-47.4647023910567</c:v>
                </c:pt>
                <c:pt idx="604">
                  <c:v>-47.5083085028802</c:v>
                </c:pt>
                <c:pt idx="605">
                  <c:v>-47.5518053630303</c:v>
                </c:pt>
                <c:pt idx="606">
                  <c:v>-49.5984123829545</c:v>
                </c:pt>
                <c:pt idx="607">
                  <c:v>-51.429000742433</c:v>
                </c:pt>
                <c:pt idx="608">
                  <c:v>-53.0848474104726</c:v>
                </c:pt>
                <c:pt idx="609">
                  <c:v>-54.5964204870742</c:v>
                </c:pt>
                <c:pt idx="610">
                  <c:v>-55.9868525328754</c:v>
                </c:pt>
                <c:pt idx="611">
                  <c:v>-57.2741217314227</c:v>
                </c:pt>
                <c:pt idx="612">
                  <c:v>-58.47247807115</c:v>
                </c:pt>
                <c:pt idx="613">
                  <c:v>-59.5934079658434</c:v>
                </c:pt>
                <c:pt idx="614">
                  <c:v>-60.6463057353198</c:v>
                </c:pt>
                <c:pt idx="615">
                  <c:v>-61.6389527558667</c:v>
                </c:pt>
                <c:pt idx="616">
                  <c:v>-62.5778668245922</c:v>
                </c:pt>
                <c:pt idx="617">
                  <c:v>-63.4685617668085</c:v>
                </c:pt>
                <c:pt idx="618">
                  <c:v>-63.8124160163327</c:v>
                </c:pt>
                <c:pt idx="619">
                  <c:v>-64.1495855143608</c:v>
                </c:pt>
                <c:pt idx="620">
                  <c:v>-64.4803248544927</c:v>
                </c:pt>
                <c:pt idx="621">
                  <c:v>-64.8048743492698</c:v>
                </c:pt>
                <c:pt idx="622">
                  <c:v>-65.1234610787559</c:v>
                </c:pt>
                <c:pt idx="623">
                  <c:v>-65.4362998446068</c:v>
                </c:pt>
                <c:pt idx="624">
                  <c:v>-65.7435940396701</c:v>
                </c:pt>
                <c:pt idx="625">
                  <c:v>-66.0455364419326</c:v>
                </c:pt>
                <c:pt idx="626">
                  <c:v>-66.3423099405817</c:v>
                </c:pt>
                <c:pt idx="627">
                  <c:v>-66.6340882010268</c:v>
                </c:pt>
                <c:pt idx="628">
                  <c:v>-66.9210362749381</c:v>
                </c:pt>
                <c:pt idx="629">
                  <c:v>-67.20331116067</c:v>
                </c:pt>
                <c:pt idx="630">
                  <c:v>-67.4810623188338</c:v>
                </c:pt>
                <c:pt idx="631">
                  <c:v>-67.7544321472592</c:v>
                </c:pt>
                <c:pt idx="632">
                  <c:v>-68.0235564191239</c:v>
                </c:pt>
                <c:pt idx="633">
                  <c:v>-68.2885646876271</c:v>
                </c:pt>
                <c:pt idx="634">
                  <c:v>-68.5495806602265</c:v>
                </c:pt>
                <c:pt idx="635">
                  <c:v>-68.8067225451446</c:v>
                </c:pt>
                <c:pt idx="636">
                  <c:v>-69.0601033725752</c:v>
                </c:pt>
                <c:pt idx="637">
                  <c:v>-69.3098312927747</c:v>
                </c:pt>
                <c:pt idx="638">
                  <c:v>-69.5560098530048</c:v>
                </c:pt>
                <c:pt idx="639">
                  <c:v>-69.7987382551048</c:v>
                </c:pt>
                <c:pt idx="640">
                  <c:v>-70.0381115952938</c:v>
                </c:pt>
                <c:pt idx="641">
                  <c:v>-70.2742210876565</c:v>
                </c:pt>
                <c:pt idx="642">
                  <c:v>-70.5071542726254</c:v>
                </c:pt>
                <c:pt idx="643">
                  <c:v>-70.7369952116528</c:v>
                </c:pt>
                <c:pt idx="644">
                  <c:v>-70.9638246691566</c:v>
                </c:pt>
                <c:pt idx="645">
                  <c:v>-71.1877202827234</c:v>
                </c:pt>
                <c:pt idx="646">
                  <c:v>-71.4087567224702</c:v>
                </c:pt>
                <c:pt idx="647">
                  <c:v>-71.6270058403785</c:v>
                </c:pt>
                <c:pt idx="648">
                  <c:v>-71.8425368103535</c:v>
                </c:pt>
                <c:pt idx="649">
                  <c:v>-72.0554162596866</c:v>
                </c:pt>
                <c:pt idx="650">
                  <c:v>-72.2657083925503</c:v>
                </c:pt>
                <c:pt idx="651">
                  <c:v>-72.4734751060961</c:v>
                </c:pt>
                <c:pt idx="652">
                  <c:v>-72.6787760996811</c:v>
                </c:pt>
                <c:pt idx="653">
                  <c:v>-72.881668977706</c:v>
                </c:pt>
                <c:pt idx="654">
                  <c:v>-73.0822093465081</c:v>
                </c:pt>
                <c:pt idx="655">
                  <c:v>-73.2804509057153</c:v>
                </c:pt>
                <c:pt idx="656">
                  <c:v>-73.476445534439</c:v>
                </c:pt>
                <c:pt idx="657">
                  <c:v>-73.6702433726506</c:v>
                </c:pt>
                <c:pt idx="658">
                  <c:v>-73.8618928980609</c:v>
                </c:pt>
                <c:pt idx="659">
                  <c:v>-74.051440998798</c:v>
                </c:pt>
                <c:pt idx="660">
                  <c:v>-74.2389330421561</c:v>
                </c:pt>
                <c:pt idx="661">
                  <c:v>-74.4244129396669</c:v>
                </c:pt>
                <c:pt idx="662">
                  <c:v>-74.6079232087284</c:v>
                </c:pt>
                <c:pt idx="663">
                  <c:v>-74.7895050310049</c:v>
                </c:pt>
                <c:pt idx="664">
                  <c:v>-74.9691983078026</c:v>
                </c:pt>
                <c:pt idx="665">
                  <c:v>-75.1470417126035</c:v>
                </c:pt>
                <c:pt idx="666">
                  <c:v>-75.3230727409329</c:v>
                </c:pt>
                <c:pt idx="667">
                  <c:v>-75.4973277577205</c:v>
                </c:pt>
              </c:numCache>
            </c:numRef>
          </c:yVal>
        </c:ser>
        <c:axId val="10955"/>
        <c:axId val="12314"/>
      </c:scatterChart>
      <c:scatterChart>
        <c:scatterStyle val="lineMarker"/>
        <c:varyColors val="0"/>
        <c:ser>
          <c:idx val="0"/>
          <c:order val="0"/>
          <c:tx>
            <c:strRef>
              <c:f>"Actual Phase"</c:f>
              <c:strCache>
                <c:ptCount val="1"/>
                <c:pt idx="0">
                  <c:v>Actual Phase</c:v>
                </c:pt>
              </c:strCache>
            </c:strRef>
          </c:tx>
          <c:spPr>
            <a:solidFill>
              <a:srgbClr val="660066"/>
            </a:solidFill>
            <a:ln w="38160">
              <a:solidFill>
                <a:srgbClr val="660066"/>
              </a:solidFill>
              <a:round/>
            </a:ln>
          </c:spPr>
          <c:marker>
            <c:symbol val="none"/>
          </c:marker>
          <c:xVal>
            <c:numRef>
              <c:f>'Bode Plots Calculations'!$A$9:$A$676</c:f>
              <c:numCache>
                <c:formatCode>General</c:formatCode>
                <c:ptCount val="668"/>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1500</c:v>
                </c:pt>
                <c:pt idx="29">
                  <c:v>2000</c:v>
                </c:pt>
                <c:pt idx="30">
                  <c:v>2500</c:v>
                </c:pt>
                <c:pt idx="31">
                  <c:v>3000</c:v>
                </c:pt>
                <c:pt idx="32">
                  <c:v>3500</c:v>
                </c:pt>
                <c:pt idx="33">
                  <c:v>4000</c:v>
                </c:pt>
                <c:pt idx="34">
                  <c:v>4500</c:v>
                </c:pt>
                <c:pt idx="35">
                  <c:v>5000</c:v>
                </c:pt>
                <c:pt idx="36">
                  <c:v>5500</c:v>
                </c:pt>
                <c:pt idx="37">
                  <c:v>6000</c:v>
                </c:pt>
                <c:pt idx="38">
                  <c:v>6500</c:v>
                </c:pt>
                <c:pt idx="39">
                  <c:v>7000</c:v>
                </c:pt>
                <c:pt idx="40">
                  <c:v>7500</c:v>
                </c:pt>
                <c:pt idx="41">
                  <c:v>8000</c:v>
                </c:pt>
                <c:pt idx="42">
                  <c:v>8500</c:v>
                </c:pt>
                <c:pt idx="43">
                  <c:v>9000</c:v>
                </c:pt>
                <c:pt idx="44">
                  <c:v>9500</c:v>
                </c:pt>
                <c:pt idx="45">
                  <c:v>10000</c:v>
                </c:pt>
                <c:pt idx="46">
                  <c:v>10500</c:v>
                </c:pt>
                <c:pt idx="47">
                  <c:v>11000</c:v>
                </c:pt>
                <c:pt idx="48">
                  <c:v>11500</c:v>
                </c:pt>
                <c:pt idx="49">
                  <c:v>12000</c:v>
                </c:pt>
                <c:pt idx="50">
                  <c:v>12500</c:v>
                </c:pt>
                <c:pt idx="51">
                  <c:v>13000</c:v>
                </c:pt>
                <c:pt idx="52">
                  <c:v>13500</c:v>
                </c:pt>
                <c:pt idx="53">
                  <c:v>14000</c:v>
                </c:pt>
                <c:pt idx="54">
                  <c:v>14500</c:v>
                </c:pt>
                <c:pt idx="55">
                  <c:v>15000</c:v>
                </c:pt>
                <c:pt idx="56">
                  <c:v>15500</c:v>
                </c:pt>
                <c:pt idx="57">
                  <c:v>16000</c:v>
                </c:pt>
                <c:pt idx="58">
                  <c:v>16500</c:v>
                </c:pt>
                <c:pt idx="59">
                  <c:v>17000</c:v>
                </c:pt>
                <c:pt idx="60">
                  <c:v>17500</c:v>
                </c:pt>
                <c:pt idx="61">
                  <c:v>18000</c:v>
                </c:pt>
                <c:pt idx="62">
                  <c:v>18500</c:v>
                </c:pt>
                <c:pt idx="63">
                  <c:v>19000</c:v>
                </c:pt>
                <c:pt idx="64">
                  <c:v>19500</c:v>
                </c:pt>
                <c:pt idx="65">
                  <c:v>20000</c:v>
                </c:pt>
                <c:pt idx="66">
                  <c:v>20500</c:v>
                </c:pt>
                <c:pt idx="67">
                  <c:v>21000</c:v>
                </c:pt>
                <c:pt idx="68">
                  <c:v>21500</c:v>
                </c:pt>
                <c:pt idx="69">
                  <c:v>22000</c:v>
                </c:pt>
                <c:pt idx="70">
                  <c:v>22500</c:v>
                </c:pt>
                <c:pt idx="71">
                  <c:v>23000</c:v>
                </c:pt>
                <c:pt idx="72">
                  <c:v>23500</c:v>
                </c:pt>
                <c:pt idx="73">
                  <c:v>24000</c:v>
                </c:pt>
                <c:pt idx="74">
                  <c:v>24500</c:v>
                </c:pt>
                <c:pt idx="75">
                  <c:v>25000</c:v>
                </c:pt>
                <c:pt idx="76">
                  <c:v>25500</c:v>
                </c:pt>
                <c:pt idx="77">
                  <c:v>26000</c:v>
                </c:pt>
                <c:pt idx="78">
                  <c:v>26500</c:v>
                </c:pt>
                <c:pt idx="79">
                  <c:v>27000</c:v>
                </c:pt>
                <c:pt idx="80">
                  <c:v>27500</c:v>
                </c:pt>
                <c:pt idx="81">
                  <c:v>28000</c:v>
                </c:pt>
                <c:pt idx="82">
                  <c:v>28500</c:v>
                </c:pt>
                <c:pt idx="83">
                  <c:v>29000</c:v>
                </c:pt>
                <c:pt idx="84">
                  <c:v>29500</c:v>
                </c:pt>
                <c:pt idx="85">
                  <c:v>30000</c:v>
                </c:pt>
                <c:pt idx="86">
                  <c:v>30500</c:v>
                </c:pt>
                <c:pt idx="87">
                  <c:v>31000</c:v>
                </c:pt>
                <c:pt idx="88">
                  <c:v>31500</c:v>
                </c:pt>
                <c:pt idx="89">
                  <c:v>32000</c:v>
                </c:pt>
                <c:pt idx="90">
                  <c:v>32500</c:v>
                </c:pt>
                <c:pt idx="91">
                  <c:v>33000</c:v>
                </c:pt>
                <c:pt idx="92">
                  <c:v>33500</c:v>
                </c:pt>
                <c:pt idx="93">
                  <c:v>34000</c:v>
                </c:pt>
                <c:pt idx="94">
                  <c:v>34500</c:v>
                </c:pt>
                <c:pt idx="95">
                  <c:v>35000</c:v>
                </c:pt>
                <c:pt idx="96">
                  <c:v>35500</c:v>
                </c:pt>
                <c:pt idx="97">
                  <c:v>36000</c:v>
                </c:pt>
                <c:pt idx="98">
                  <c:v>36500</c:v>
                </c:pt>
                <c:pt idx="99">
                  <c:v>37000</c:v>
                </c:pt>
                <c:pt idx="100">
                  <c:v>37500</c:v>
                </c:pt>
                <c:pt idx="101">
                  <c:v>38000</c:v>
                </c:pt>
                <c:pt idx="102">
                  <c:v>38500</c:v>
                </c:pt>
                <c:pt idx="103">
                  <c:v>39000</c:v>
                </c:pt>
                <c:pt idx="104">
                  <c:v>39500</c:v>
                </c:pt>
                <c:pt idx="105">
                  <c:v>40000</c:v>
                </c:pt>
                <c:pt idx="106">
                  <c:v>40500</c:v>
                </c:pt>
                <c:pt idx="107">
                  <c:v>41000</c:v>
                </c:pt>
                <c:pt idx="108">
                  <c:v>41500</c:v>
                </c:pt>
                <c:pt idx="109">
                  <c:v>42000</c:v>
                </c:pt>
                <c:pt idx="110">
                  <c:v>42500</c:v>
                </c:pt>
                <c:pt idx="111">
                  <c:v>43000</c:v>
                </c:pt>
                <c:pt idx="112">
                  <c:v>43500</c:v>
                </c:pt>
                <c:pt idx="113">
                  <c:v>44000</c:v>
                </c:pt>
                <c:pt idx="114">
                  <c:v>44500</c:v>
                </c:pt>
                <c:pt idx="115">
                  <c:v>45000</c:v>
                </c:pt>
                <c:pt idx="116">
                  <c:v>45500</c:v>
                </c:pt>
                <c:pt idx="117">
                  <c:v>46000</c:v>
                </c:pt>
                <c:pt idx="118">
                  <c:v>46500</c:v>
                </c:pt>
                <c:pt idx="119">
                  <c:v>47000</c:v>
                </c:pt>
                <c:pt idx="120">
                  <c:v>47500</c:v>
                </c:pt>
                <c:pt idx="121">
                  <c:v>48000</c:v>
                </c:pt>
                <c:pt idx="122">
                  <c:v>48500</c:v>
                </c:pt>
                <c:pt idx="123">
                  <c:v>49000</c:v>
                </c:pt>
                <c:pt idx="124">
                  <c:v>49500</c:v>
                </c:pt>
                <c:pt idx="125">
                  <c:v>50000</c:v>
                </c:pt>
                <c:pt idx="126">
                  <c:v>50500</c:v>
                </c:pt>
                <c:pt idx="127">
                  <c:v>51000</c:v>
                </c:pt>
                <c:pt idx="128">
                  <c:v>51500</c:v>
                </c:pt>
                <c:pt idx="129">
                  <c:v>52000</c:v>
                </c:pt>
                <c:pt idx="130">
                  <c:v>52500</c:v>
                </c:pt>
                <c:pt idx="131">
                  <c:v>53000</c:v>
                </c:pt>
                <c:pt idx="132">
                  <c:v>53500</c:v>
                </c:pt>
                <c:pt idx="133">
                  <c:v>54000</c:v>
                </c:pt>
                <c:pt idx="134">
                  <c:v>54500</c:v>
                </c:pt>
                <c:pt idx="135">
                  <c:v>55000</c:v>
                </c:pt>
                <c:pt idx="136">
                  <c:v>55500</c:v>
                </c:pt>
                <c:pt idx="137">
                  <c:v>56000</c:v>
                </c:pt>
                <c:pt idx="138">
                  <c:v>56500</c:v>
                </c:pt>
                <c:pt idx="139">
                  <c:v>57000</c:v>
                </c:pt>
                <c:pt idx="140">
                  <c:v>57500</c:v>
                </c:pt>
                <c:pt idx="141">
                  <c:v>58000</c:v>
                </c:pt>
                <c:pt idx="142">
                  <c:v>58500</c:v>
                </c:pt>
                <c:pt idx="143">
                  <c:v>59000</c:v>
                </c:pt>
                <c:pt idx="144">
                  <c:v>59500</c:v>
                </c:pt>
                <c:pt idx="145">
                  <c:v>60000</c:v>
                </c:pt>
                <c:pt idx="146">
                  <c:v>60500</c:v>
                </c:pt>
                <c:pt idx="147">
                  <c:v>61000</c:v>
                </c:pt>
                <c:pt idx="148">
                  <c:v>61500</c:v>
                </c:pt>
                <c:pt idx="149">
                  <c:v>62000</c:v>
                </c:pt>
                <c:pt idx="150">
                  <c:v>62500</c:v>
                </c:pt>
                <c:pt idx="151">
                  <c:v>63000</c:v>
                </c:pt>
                <c:pt idx="152">
                  <c:v>63500</c:v>
                </c:pt>
                <c:pt idx="153">
                  <c:v>64000</c:v>
                </c:pt>
                <c:pt idx="154">
                  <c:v>64500</c:v>
                </c:pt>
                <c:pt idx="155">
                  <c:v>65000</c:v>
                </c:pt>
                <c:pt idx="156">
                  <c:v>65500</c:v>
                </c:pt>
                <c:pt idx="157">
                  <c:v>66000</c:v>
                </c:pt>
                <c:pt idx="158">
                  <c:v>66500</c:v>
                </c:pt>
                <c:pt idx="159">
                  <c:v>67000</c:v>
                </c:pt>
                <c:pt idx="160">
                  <c:v>67500</c:v>
                </c:pt>
                <c:pt idx="161">
                  <c:v>68000</c:v>
                </c:pt>
                <c:pt idx="162">
                  <c:v>68500</c:v>
                </c:pt>
                <c:pt idx="163">
                  <c:v>69000</c:v>
                </c:pt>
                <c:pt idx="164">
                  <c:v>69500</c:v>
                </c:pt>
                <c:pt idx="165">
                  <c:v>70000</c:v>
                </c:pt>
                <c:pt idx="166">
                  <c:v>70500</c:v>
                </c:pt>
                <c:pt idx="167">
                  <c:v>71000</c:v>
                </c:pt>
                <c:pt idx="168">
                  <c:v>71500</c:v>
                </c:pt>
                <c:pt idx="169">
                  <c:v>72000</c:v>
                </c:pt>
                <c:pt idx="170">
                  <c:v>72500</c:v>
                </c:pt>
                <c:pt idx="171">
                  <c:v>73000</c:v>
                </c:pt>
                <c:pt idx="172">
                  <c:v>73500</c:v>
                </c:pt>
                <c:pt idx="173">
                  <c:v>74000</c:v>
                </c:pt>
                <c:pt idx="174">
                  <c:v>74500</c:v>
                </c:pt>
                <c:pt idx="175">
                  <c:v>75000</c:v>
                </c:pt>
                <c:pt idx="176">
                  <c:v>75500</c:v>
                </c:pt>
                <c:pt idx="177">
                  <c:v>76000</c:v>
                </c:pt>
                <c:pt idx="178">
                  <c:v>76500</c:v>
                </c:pt>
                <c:pt idx="179">
                  <c:v>77000</c:v>
                </c:pt>
                <c:pt idx="180">
                  <c:v>77500</c:v>
                </c:pt>
                <c:pt idx="181">
                  <c:v>78000</c:v>
                </c:pt>
                <c:pt idx="182">
                  <c:v>78500</c:v>
                </c:pt>
                <c:pt idx="183">
                  <c:v>79000</c:v>
                </c:pt>
                <c:pt idx="184">
                  <c:v>79500</c:v>
                </c:pt>
                <c:pt idx="185">
                  <c:v>80000</c:v>
                </c:pt>
                <c:pt idx="186">
                  <c:v>80500</c:v>
                </c:pt>
                <c:pt idx="187">
                  <c:v>81000</c:v>
                </c:pt>
                <c:pt idx="188">
                  <c:v>81500</c:v>
                </c:pt>
                <c:pt idx="189">
                  <c:v>82000</c:v>
                </c:pt>
                <c:pt idx="190">
                  <c:v>82500</c:v>
                </c:pt>
                <c:pt idx="191">
                  <c:v>83000</c:v>
                </c:pt>
                <c:pt idx="192">
                  <c:v>83500</c:v>
                </c:pt>
                <c:pt idx="193">
                  <c:v>84000</c:v>
                </c:pt>
                <c:pt idx="194">
                  <c:v>84500</c:v>
                </c:pt>
                <c:pt idx="195">
                  <c:v>85000</c:v>
                </c:pt>
                <c:pt idx="196">
                  <c:v>85500</c:v>
                </c:pt>
                <c:pt idx="197">
                  <c:v>86000</c:v>
                </c:pt>
                <c:pt idx="198">
                  <c:v>86500</c:v>
                </c:pt>
                <c:pt idx="199">
                  <c:v>87000</c:v>
                </c:pt>
                <c:pt idx="200">
                  <c:v>87500</c:v>
                </c:pt>
                <c:pt idx="201">
                  <c:v>88000</c:v>
                </c:pt>
                <c:pt idx="202">
                  <c:v>88500</c:v>
                </c:pt>
                <c:pt idx="203">
                  <c:v>89000</c:v>
                </c:pt>
                <c:pt idx="204">
                  <c:v>89500</c:v>
                </c:pt>
                <c:pt idx="205">
                  <c:v>90000</c:v>
                </c:pt>
                <c:pt idx="206">
                  <c:v>90500</c:v>
                </c:pt>
                <c:pt idx="207">
                  <c:v>91000</c:v>
                </c:pt>
                <c:pt idx="208">
                  <c:v>91500</c:v>
                </c:pt>
                <c:pt idx="209">
                  <c:v>92000</c:v>
                </c:pt>
                <c:pt idx="210">
                  <c:v>92500</c:v>
                </c:pt>
                <c:pt idx="211">
                  <c:v>93000</c:v>
                </c:pt>
                <c:pt idx="212">
                  <c:v>93500</c:v>
                </c:pt>
                <c:pt idx="213">
                  <c:v>94000</c:v>
                </c:pt>
                <c:pt idx="214">
                  <c:v>94500</c:v>
                </c:pt>
                <c:pt idx="215">
                  <c:v>95000</c:v>
                </c:pt>
                <c:pt idx="216">
                  <c:v>95500</c:v>
                </c:pt>
                <c:pt idx="217">
                  <c:v>96000</c:v>
                </c:pt>
                <c:pt idx="218">
                  <c:v>96500</c:v>
                </c:pt>
                <c:pt idx="219">
                  <c:v>97000</c:v>
                </c:pt>
                <c:pt idx="220">
                  <c:v>97500</c:v>
                </c:pt>
                <c:pt idx="221">
                  <c:v>98000</c:v>
                </c:pt>
                <c:pt idx="222">
                  <c:v>98500</c:v>
                </c:pt>
                <c:pt idx="223">
                  <c:v>99000</c:v>
                </c:pt>
                <c:pt idx="224">
                  <c:v>99500</c:v>
                </c:pt>
                <c:pt idx="225">
                  <c:v>100000</c:v>
                </c:pt>
                <c:pt idx="226">
                  <c:v>105000</c:v>
                </c:pt>
                <c:pt idx="227">
                  <c:v>110000</c:v>
                </c:pt>
                <c:pt idx="228">
                  <c:v>115000</c:v>
                </c:pt>
                <c:pt idx="229">
                  <c:v>120000</c:v>
                </c:pt>
                <c:pt idx="230">
                  <c:v>125000</c:v>
                </c:pt>
                <c:pt idx="231">
                  <c:v>130000</c:v>
                </c:pt>
                <c:pt idx="232">
                  <c:v>135000</c:v>
                </c:pt>
                <c:pt idx="233">
                  <c:v>140000</c:v>
                </c:pt>
                <c:pt idx="234">
                  <c:v>145000</c:v>
                </c:pt>
                <c:pt idx="235">
                  <c:v>150000</c:v>
                </c:pt>
                <c:pt idx="236">
                  <c:v>155000</c:v>
                </c:pt>
                <c:pt idx="237">
                  <c:v>160000</c:v>
                </c:pt>
                <c:pt idx="238">
                  <c:v>165000</c:v>
                </c:pt>
                <c:pt idx="239">
                  <c:v>170000</c:v>
                </c:pt>
                <c:pt idx="240">
                  <c:v>175000</c:v>
                </c:pt>
                <c:pt idx="241">
                  <c:v>180000</c:v>
                </c:pt>
                <c:pt idx="242">
                  <c:v>185000</c:v>
                </c:pt>
                <c:pt idx="243">
                  <c:v>190000</c:v>
                </c:pt>
                <c:pt idx="244">
                  <c:v>195000</c:v>
                </c:pt>
                <c:pt idx="245">
                  <c:v>200000</c:v>
                </c:pt>
                <c:pt idx="246">
                  <c:v>205000</c:v>
                </c:pt>
                <c:pt idx="247">
                  <c:v>210000</c:v>
                </c:pt>
                <c:pt idx="248">
                  <c:v>215000</c:v>
                </c:pt>
                <c:pt idx="249">
                  <c:v>220000</c:v>
                </c:pt>
                <c:pt idx="250">
                  <c:v>225000</c:v>
                </c:pt>
                <c:pt idx="251">
                  <c:v>230000</c:v>
                </c:pt>
                <c:pt idx="252">
                  <c:v>235000</c:v>
                </c:pt>
                <c:pt idx="253">
                  <c:v>240000</c:v>
                </c:pt>
                <c:pt idx="254">
                  <c:v>245000</c:v>
                </c:pt>
                <c:pt idx="255">
                  <c:v>250000</c:v>
                </c:pt>
                <c:pt idx="256">
                  <c:v>255000</c:v>
                </c:pt>
                <c:pt idx="257">
                  <c:v>260000</c:v>
                </c:pt>
                <c:pt idx="258">
                  <c:v>265000</c:v>
                </c:pt>
                <c:pt idx="259">
                  <c:v>270000</c:v>
                </c:pt>
                <c:pt idx="260">
                  <c:v>275000</c:v>
                </c:pt>
                <c:pt idx="261">
                  <c:v>280000</c:v>
                </c:pt>
                <c:pt idx="262">
                  <c:v>285000</c:v>
                </c:pt>
                <c:pt idx="263">
                  <c:v>290000</c:v>
                </c:pt>
                <c:pt idx="264">
                  <c:v>295000</c:v>
                </c:pt>
                <c:pt idx="265">
                  <c:v>300000</c:v>
                </c:pt>
                <c:pt idx="266">
                  <c:v>305000</c:v>
                </c:pt>
                <c:pt idx="267">
                  <c:v>310000</c:v>
                </c:pt>
                <c:pt idx="268">
                  <c:v>315000</c:v>
                </c:pt>
                <c:pt idx="269">
                  <c:v>320000</c:v>
                </c:pt>
                <c:pt idx="270">
                  <c:v>325000</c:v>
                </c:pt>
                <c:pt idx="271">
                  <c:v>330000</c:v>
                </c:pt>
                <c:pt idx="272">
                  <c:v>335000</c:v>
                </c:pt>
                <c:pt idx="273">
                  <c:v>340000</c:v>
                </c:pt>
                <c:pt idx="274">
                  <c:v>345000</c:v>
                </c:pt>
                <c:pt idx="275">
                  <c:v>350000</c:v>
                </c:pt>
                <c:pt idx="276">
                  <c:v>355000</c:v>
                </c:pt>
                <c:pt idx="277">
                  <c:v>360000</c:v>
                </c:pt>
                <c:pt idx="278">
                  <c:v>365000</c:v>
                </c:pt>
                <c:pt idx="279">
                  <c:v>370000</c:v>
                </c:pt>
                <c:pt idx="280">
                  <c:v>375000</c:v>
                </c:pt>
                <c:pt idx="281">
                  <c:v>380000</c:v>
                </c:pt>
                <c:pt idx="282">
                  <c:v>385000</c:v>
                </c:pt>
                <c:pt idx="283">
                  <c:v>390000</c:v>
                </c:pt>
                <c:pt idx="284">
                  <c:v>395000</c:v>
                </c:pt>
                <c:pt idx="285">
                  <c:v>400000</c:v>
                </c:pt>
                <c:pt idx="286">
                  <c:v>405000</c:v>
                </c:pt>
                <c:pt idx="287">
                  <c:v>410000</c:v>
                </c:pt>
                <c:pt idx="288">
                  <c:v>415000</c:v>
                </c:pt>
                <c:pt idx="289">
                  <c:v>420000</c:v>
                </c:pt>
                <c:pt idx="290">
                  <c:v>425000</c:v>
                </c:pt>
                <c:pt idx="291">
                  <c:v>430000</c:v>
                </c:pt>
                <c:pt idx="292">
                  <c:v>435000</c:v>
                </c:pt>
                <c:pt idx="293">
                  <c:v>440000</c:v>
                </c:pt>
                <c:pt idx="294">
                  <c:v>445000</c:v>
                </c:pt>
                <c:pt idx="295">
                  <c:v>450000</c:v>
                </c:pt>
                <c:pt idx="296">
                  <c:v>455000</c:v>
                </c:pt>
                <c:pt idx="297">
                  <c:v>460000</c:v>
                </c:pt>
                <c:pt idx="298">
                  <c:v>465000</c:v>
                </c:pt>
                <c:pt idx="299">
                  <c:v>470000</c:v>
                </c:pt>
                <c:pt idx="300">
                  <c:v>475000</c:v>
                </c:pt>
                <c:pt idx="301">
                  <c:v>480000</c:v>
                </c:pt>
                <c:pt idx="302">
                  <c:v>485000</c:v>
                </c:pt>
                <c:pt idx="303">
                  <c:v>490000</c:v>
                </c:pt>
                <c:pt idx="304">
                  <c:v>495000</c:v>
                </c:pt>
                <c:pt idx="305">
                  <c:v>500000</c:v>
                </c:pt>
                <c:pt idx="306">
                  <c:v>505000</c:v>
                </c:pt>
                <c:pt idx="307">
                  <c:v>510000</c:v>
                </c:pt>
                <c:pt idx="308">
                  <c:v>515000</c:v>
                </c:pt>
                <c:pt idx="309">
                  <c:v>520000</c:v>
                </c:pt>
                <c:pt idx="310">
                  <c:v>525000</c:v>
                </c:pt>
                <c:pt idx="311">
                  <c:v>530000</c:v>
                </c:pt>
                <c:pt idx="312">
                  <c:v>535000</c:v>
                </c:pt>
                <c:pt idx="313">
                  <c:v>540000</c:v>
                </c:pt>
                <c:pt idx="314">
                  <c:v>545000</c:v>
                </c:pt>
                <c:pt idx="315">
                  <c:v>550000</c:v>
                </c:pt>
                <c:pt idx="316">
                  <c:v>555000</c:v>
                </c:pt>
                <c:pt idx="317">
                  <c:v>560000</c:v>
                </c:pt>
                <c:pt idx="318">
                  <c:v>565000</c:v>
                </c:pt>
                <c:pt idx="319">
                  <c:v>570000</c:v>
                </c:pt>
                <c:pt idx="320">
                  <c:v>575000</c:v>
                </c:pt>
                <c:pt idx="321">
                  <c:v>580000</c:v>
                </c:pt>
                <c:pt idx="322">
                  <c:v>585000</c:v>
                </c:pt>
                <c:pt idx="323">
                  <c:v>590000</c:v>
                </c:pt>
                <c:pt idx="324">
                  <c:v>595000</c:v>
                </c:pt>
                <c:pt idx="325">
                  <c:v>600000</c:v>
                </c:pt>
                <c:pt idx="326">
                  <c:v>605000</c:v>
                </c:pt>
                <c:pt idx="327">
                  <c:v>610000</c:v>
                </c:pt>
                <c:pt idx="328">
                  <c:v>615000</c:v>
                </c:pt>
                <c:pt idx="329">
                  <c:v>620000</c:v>
                </c:pt>
                <c:pt idx="330">
                  <c:v>625000</c:v>
                </c:pt>
                <c:pt idx="331">
                  <c:v>630000</c:v>
                </c:pt>
                <c:pt idx="332">
                  <c:v>635000</c:v>
                </c:pt>
                <c:pt idx="333">
                  <c:v>640000</c:v>
                </c:pt>
                <c:pt idx="334">
                  <c:v>645000</c:v>
                </c:pt>
                <c:pt idx="335">
                  <c:v>650000</c:v>
                </c:pt>
                <c:pt idx="336">
                  <c:v>655000</c:v>
                </c:pt>
                <c:pt idx="337">
                  <c:v>660000</c:v>
                </c:pt>
                <c:pt idx="338">
                  <c:v>665000</c:v>
                </c:pt>
                <c:pt idx="339">
                  <c:v>670000</c:v>
                </c:pt>
                <c:pt idx="340">
                  <c:v>675000</c:v>
                </c:pt>
                <c:pt idx="341">
                  <c:v>680000</c:v>
                </c:pt>
                <c:pt idx="342">
                  <c:v>685000</c:v>
                </c:pt>
                <c:pt idx="343">
                  <c:v>690000</c:v>
                </c:pt>
                <c:pt idx="344">
                  <c:v>695000</c:v>
                </c:pt>
                <c:pt idx="345">
                  <c:v>700000</c:v>
                </c:pt>
                <c:pt idx="346">
                  <c:v>705000</c:v>
                </c:pt>
                <c:pt idx="347">
                  <c:v>710000</c:v>
                </c:pt>
                <c:pt idx="348">
                  <c:v>715000</c:v>
                </c:pt>
                <c:pt idx="349">
                  <c:v>720000</c:v>
                </c:pt>
                <c:pt idx="350">
                  <c:v>725000</c:v>
                </c:pt>
                <c:pt idx="351">
                  <c:v>730000</c:v>
                </c:pt>
                <c:pt idx="352">
                  <c:v>735000</c:v>
                </c:pt>
                <c:pt idx="353">
                  <c:v>740000</c:v>
                </c:pt>
                <c:pt idx="354">
                  <c:v>745000</c:v>
                </c:pt>
                <c:pt idx="355">
                  <c:v>750000</c:v>
                </c:pt>
                <c:pt idx="356">
                  <c:v>755000</c:v>
                </c:pt>
                <c:pt idx="357">
                  <c:v>760000</c:v>
                </c:pt>
                <c:pt idx="358">
                  <c:v>765000</c:v>
                </c:pt>
                <c:pt idx="359">
                  <c:v>770000</c:v>
                </c:pt>
                <c:pt idx="360">
                  <c:v>775000</c:v>
                </c:pt>
                <c:pt idx="361">
                  <c:v>780000</c:v>
                </c:pt>
                <c:pt idx="362">
                  <c:v>785000</c:v>
                </c:pt>
                <c:pt idx="363">
                  <c:v>790000</c:v>
                </c:pt>
                <c:pt idx="364">
                  <c:v>795000</c:v>
                </c:pt>
                <c:pt idx="365">
                  <c:v>800000</c:v>
                </c:pt>
                <c:pt idx="366">
                  <c:v>805000</c:v>
                </c:pt>
                <c:pt idx="367">
                  <c:v>810000</c:v>
                </c:pt>
                <c:pt idx="368">
                  <c:v>815000</c:v>
                </c:pt>
                <c:pt idx="369">
                  <c:v>820000</c:v>
                </c:pt>
                <c:pt idx="370">
                  <c:v>825000</c:v>
                </c:pt>
                <c:pt idx="371">
                  <c:v>830000</c:v>
                </c:pt>
                <c:pt idx="372">
                  <c:v>835000</c:v>
                </c:pt>
                <c:pt idx="373">
                  <c:v>840000</c:v>
                </c:pt>
                <c:pt idx="374">
                  <c:v>845000</c:v>
                </c:pt>
                <c:pt idx="375">
                  <c:v>850000</c:v>
                </c:pt>
                <c:pt idx="376">
                  <c:v>855000</c:v>
                </c:pt>
                <c:pt idx="377">
                  <c:v>860000</c:v>
                </c:pt>
                <c:pt idx="378">
                  <c:v>865000</c:v>
                </c:pt>
                <c:pt idx="379">
                  <c:v>870000</c:v>
                </c:pt>
                <c:pt idx="380">
                  <c:v>875000</c:v>
                </c:pt>
                <c:pt idx="381">
                  <c:v>880000</c:v>
                </c:pt>
                <c:pt idx="382">
                  <c:v>885000</c:v>
                </c:pt>
                <c:pt idx="383">
                  <c:v>890000</c:v>
                </c:pt>
                <c:pt idx="384">
                  <c:v>895000</c:v>
                </c:pt>
                <c:pt idx="385">
                  <c:v>900000</c:v>
                </c:pt>
                <c:pt idx="386">
                  <c:v>905000</c:v>
                </c:pt>
                <c:pt idx="387">
                  <c:v>910000</c:v>
                </c:pt>
                <c:pt idx="388">
                  <c:v>915000</c:v>
                </c:pt>
                <c:pt idx="389">
                  <c:v>920000</c:v>
                </c:pt>
                <c:pt idx="390">
                  <c:v>925000</c:v>
                </c:pt>
                <c:pt idx="391">
                  <c:v>930000</c:v>
                </c:pt>
                <c:pt idx="392">
                  <c:v>935000</c:v>
                </c:pt>
                <c:pt idx="393">
                  <c:v>940000</c:v>
                </c:pt>
                <c:pt idx="394">
                  <c:v>945000</c:v>
                </c:pt>
                <c:pt idx="395">
                  <c:v>950000</c:v>
                </c:pt>
                <c:pt idx="396">
                  <c:v>955000</c:v>
                </c:pt>
                <c:pt idx="397">
                  <c:v>960000</c:v>
                </c:pt>
                <c:pt idx="398">
                  <c:v>965000</c:v>
                </c:pt>
                <c:pt idx="399">
                  <c:v>970000</c:v>
                </c:pt>
                <c:pt idx="400">
                  <c:v>975000</c:v>
                </c:pt>
                <c:pt idx="401">
                  <c:v>980000</c:v>
                </c:pt>
                <c:pt idx="402">
                  <c:v>985000</c:v>
                </c:pt>
                <c:pt idx="403">
                  <c:v>990000</c:v>
                </c:pt>
                <c:pt idx="404">
                  <c:v>995000</c:v>
                </c:pt>
                <c:pt idx="405">
                  <c:v>1000000</c:v>
                </c:pt>
                <c:pt idx="406">
                  <c:v>1005000</c:v>
                </c:pt>
                <c:pt idx="407">
                  <c:v>1010000</c:v>
                </c:pt>
                <c:pt idx="408">
                  <c:v>1015000</c:v>
                </c:pt>
                <c:pt idx="409">
                  <c:v>1020000</c:v>
                </c:pt>
                <c:pt idx="410">
                  <c:v>1025000</c:v>
                </c:pt>
                <c:pt idx="411">
                  <c:v>1030000</c:v>
                </c:pt>
                <c:pt idx="412">
                  <c:v>1035000</c:v>
                </c:pt>
                <c:pt idx="413">
                  <c:v>1040000</c:v>
                </c:pt>
                <c:pt idx="414">
                  <c:v>1045000</c:v>
                </c:pt>
                <c:pt idx="415">
                  <c:v>1050000</c:v>
                </c:pt>
                <c:pt idx="416">
                  <c:v>1055000</c:v>
                </c:pt>
                <c:pt idx="417">
                  <c:v>1060000</c:v>
                </c:pt>
                <c:pt idx="418">
                  <c:v>1065000</c:v>
                </c:pt>
                <c:pt idx="419">
                  <c:v>1070000</c:v>
                </c:pt>
                <c:pt idx="420">
                  <c:v>1075000</c:v>
                </c:pt>
                <c:pt idx="421">
                  <c:v>1080000</c:v>
                </c:pt>
                <c:pt idx="422">
                  <c:v>1085000</c:v>
                </c:pt>
                <c:pt idx="423">
                  <c:v>1090000</c:v>
                </c:pt>
                <c:pt idx="424">
                  <c:v>1095000</c:v>
                </c:pt>
                <c:pt idx="425">
                  <c:v>1100000</c:v>
                </c:pt>
                <c:pt idx="426">
                  <c:v>1105000</c:v>
                </c:pt>
                <c:pt idx="427">
                  <c:v>1110000</c:v>
                </c:pt>
                <c:pt idx="428">
                  <c:v>1115000</c:v>
                </c:pt>
                <c:pt idx="429">
                  <c:v>1120000</c:v>
                </c:pt>
                <c:pt idx="430">
                  <c:v>1125000</c:v>
                </c:pt>
                <c:pt idx="431">
                  <c:v>1130000</c:v>
                </c:pt>
                <c:pt idx="432">
                  <c:v>1135000</c:v>
                </c:pt>
                <c:pt idx="433">
                  <c:v>1140000</c:v>
                </c:pt>
                <c:pt idx="434">
                  <c:v>1145000</c:v>
                </c:pt>
                <c:pt idx="435">
                  <c:v>1150000</c:v>
                </c:pt>
                <c:pt idx="436">
                  <c:v>1155000</c:v>
                </c:pt>
                <c:pt idx="437">
                  <c:v>1160000</c:v>
                </c:pt>
                <c:pt idx="438">
                  <c:v>1165000</c:v>
                </c:pt>
                <c:pt idx="439">
                  <c:v>1170000</c:v>
                </c:pt>
                <c:pt idx="440">
                  <c:v>1175000</c:v>
                </c:pt>
                <c:pt idx="441">
                  <c:v>1180000</c:v>
                </c:pt>
                <c:pt idx="442">
                  <c:v>1185000</c:v>
                </c:pt>
                <c:pt idx="443">
                  <c:v>1190000</c:v>
                </c:pt>
                <c:pt idx="444">
                  <c:v>1195000</c:v>
                </c:pt>
                <c:pt idx="445">
                  <c:v>1200000</c:v>
                </c:pt>
                <c:pt idx="446">
                  <c:v>1205000</c:v>
                </c:pt>
                <c:pt idx="447">
                  <c:v>1210000</c:v>
                </c:pt>
                <c:pt idx="448">
                  <c:v>1215000</c:v>
                </c:pt>
                <c:pt idx="449">
                  <c:v>1220000</c:v>
                </c:pt>
                <c:pt idx="450">
                  <c:v>1225000</c:v>
                </c:pt>
                <c:pt idx="451">
                  <c:v>1230000</c:v>
                </c:pt>
                <c:pt idx="452">
                  <c:v>1235000</c:v>
                </c:pt>
                <c:pt idx="453">
                  <c:v>1240000</c:v>
                </c:pt>
                <c:pt idx="454">
                  <c:v>1245000</c:v>
                </c:pt>
                <c:pt idx="455">
                  <c:v>1250000</c:v>
                </c:pt>
                <c:pt idx="456">
                  <c:v>1255000</c:v>
                </c:pt>
                <c:pt idx="457">
                  <c:v>1260000</c:v>
                </c:pt>
                <c:pt idx="458">
                  <c:v>1265000</c:v>
                </c:pt>
                <c:pt idx="459">
                  <c:v>1270000</c:v>
                </c:pt>
                <c:pt idx="460">
                  <c:v>1275000</c:v>
                </c:pt>
                <c:pt idx="461">
                  <c:v>1280000</c:v>
                </c:pt>
                <c:pt idx="462">
                  <c:v>1285000</c:v>
                </c:pt>
                <c:pt idx="463">
                  <c:v>1290000</c:v>
                </c:pt>
                <c:pt idx="464">
                  <c:v>1295000</c:v>
                </c:pt>
                <c:pt idx="465">
                  <c:v>1300000</c:v>
                </c:pt>
                <c:pt idx="466">
                  <c:v>1305000</c:v>
                </c:pt>
                <c:pt idx="467">
                  <c:v>1310000</c:v>
                </c:pt>
                <c:pt idx="468">
                  <c:v>1315000</c:v>
                </c:pt>
                <c:pt idx="469">
                  <c:v>1320000</c:v>
                </c:pt>
                <c:pt idx="470">
                  <c:v>1325000</c:v>
                </c:pt>
                <c:pt idx="471">
                  <c:v>1330000</c:v>
                </c:pt>
                <c:pt idx="472">
                  <c:v>1335000</c:v>
                </c:pt>
                <c:pt idx="473">
                  <c:v>1340000</c:v>
                </c:pt>
                <c:pt idx="474">
                  <c:v>1345000</c:v>
                </c:pt>
                <c:pt idx="475">
                  <c:v>1350000</c:v>
                </c:pt>
                <c:pt idx="476">
                  <c:v>1355000</c:v>
                </c:pt>
                <c:pt idx="477">
                  <c:v>1360000</c:v>
                </c:pt>
                <c:pt idx="478">
                  <c:v>1365000</c:v>
                </c:pt>
                <c:pt idx="479">
                  <c:v>1370000</c:v>
                </c:pt>
                <c:pt idx="480">
                  <c:v>1375000</c:v>
                </c:pt>
                <c:pt idx="481">
                  <c:v>1380000</c:v>
                </c:pt>
                <c:pt idx="482">
                  <c:v>1385000</c:v>
                </c:pt>
                <c:pt idx="483">
                  <c:v>1390000</c:v>
                </c:pt>
                <c:pt idx="484">
                  <c:v>1395000</c:v>
                </c:pt>
                <c:pt idx="485">
                  <c:v>1400000</c:v>
                </c:pt>
                <c:pt idx="486">
                  <c:v>1405000</c:v>
                </c:pt>
                <c:pt idx="487">
                  <c:v>1410000</c:v>
                </c:pt>
                <c:pt idx="488">
                  <c:v>1415000</c:v>
                </c:pt>
                <c:pt idx="489">
                  <c:v>1420000</c:v>
                </c:pt>
                <c:pt idx="490">
                  <c:v>1425000</c:v>
                </c:pt>
                <c:pt idx="491">
                  <c:v>1430000</c:v>
                </c:pt>
                <c:pt idx="492">
                  <c:v>1435000</c:v>
                </c:pt>
                <c:pt idx="493">
                  <c:v>1440000</c:v>
                </c:pt>
                <c:pt idx="494">
                  <c:v>1445000</c:v>
                </c:pt>
                <c:pt idx="495">
                  <c:v>1450000</c:v>
                </c:pt>
                <c:pt idx="496">
                  <c:v>1455000</c:v>
                </c:pt>
                <c:pt idx="497">
                  <c:v>1460000</c:v>
                </c:pt>
                <c:pt idx="498">
                  <c:v>1465000</c:v>
                </c:pt>
                <c:pt idx="499">
                  <c:v>1470000</c:v>
                </c:pt>
                <c:pt idx="500">
                  <c:v>1475000</c:v>
                </c:pt>
                <c:pt idx="501">
                  <c:v>1480000</c:v>
                </c:pt>
                <c:pt idx="502">
                  <c:v>1485000</c:v>
                </c:pt>
                <c:pt idx="503">
                  <c:v>1490000</c:v>
                </c:pt>
                <c:pt idx="504">
                  <c:v>1495000</c:v>
                </c:pt>
                <c:pt idx="505">
                  <c:v>1500000</c:v>
                </c:pt>
                <c:pt idx="506">
                  <c:v>1505000</c:v>
                </c:pt>
                <c:pt idx="507">
                  <c:v>1510000</c:v>
                </c:pt>
                <c:pt idx="508">
                  <c:v>1515000</c:v>
                </c:pt>
                <c:pt idx="509">
                  <c:v>1520000</c:v>
                </c:pt>
                <c:pt idx="510">
                  <c:v>1525000</c:v>
                </c:pt>
                <c:pt idx="511">
                  <c:v>1530000</c:v>
                </c:pt>
                <c:pt idx="512">
                  <c:v>1535000</c:v>
                </c:pt>
                <c:pt idx="513">
                  <c:v>1540000</c:v>
                </c:pt>
                <c:pt idx="514">
                  <c:v>1545000</c:v>
                </c:pt>
                <c:pt idx="515">
                  <c:v>1550000</c:v>
                </c:pt>
                <c:pt idx="516">
                  <c:v>1555000</c:v>
                </c:pt>
                <c:pt idx="517">
                  <c:v>1560000</c:v>
                </c:pt>
                <c:pt idx="518">
                  <c:v>1565000</c:v>
                </c:pt>
                <c:pt idx="519">
                  <c:v>1570000</c:v>
                </c:pt>
                <c:pt idx="520">
                  <c:v>1575000</c:v>
                </c:pt>
                <c:pt idx="521">
                  <c:v>1580000</c:v>
                </c:pt>
                <c:pt idx="522">
                  <c:v>1585000</c:v>
                </c:pt>
                <c:pt idx="523">
                  <c:v>1590000</c:v>
                </c:pt>
                <c:pt idx="524">
                  <c:v>1595000</c:v>
                </c:pt>
                <c:pt idx="525">
                  <c:v>1600000</c:v>
                </c:pt>
                <c:pt idx="526">
                  <c:v>1605000</c:v>
                </c:pt>
                <c:pt idx="527">
                  <c:v>1610000</c:v>
                </c:pt>
                <c:pt idx="528">
                  <c:v>1615000</c:v>
                </c:pt>
                <c:pt idx="529">
                  <c:v>1620000</c:v>
                </c:pt>
                <c:pt idx="530">
                  <c:v>1625000</c:v>
                </c:pt>
                <c:pt idx="531">
                  <c:v>1630000</c:v>
                </c:pt>
                <c:pt idx="532">
                  <c:v>1635000</c:v>
                </c:pt>
                <c:pt idx="533">
                  <c:v>1640000</c:v>
                </c:pt>
                <c:pt idx="534">
                  <c:v>1645000</c:v>
                </c:pt>
                <c:pt idx="535">
                  <c:v>1650000</c:v>
                </c:pt>
                <c:pt idx="536">
                  <c:v>1655000</c:v>
                </c:pt>
                <c:pt idx="537">
                  <c:v>1660000</c:v>
                </c:pt>
                <c:pt idx="538">
                  <c:v>1665000</c:v>
                </c:pt>
                <c:pt idx="539">
                  <c:v>1670000</c:v>
                </c:pt>
                <c:pt idx="540">
                  <c:v>1675000</c:v>
                </c:pt>
                <c:pt idx="541">
                  <c:v>1680000</c:v>
                </c:pt>
                <c:pt idx="542">
                  <c:v>1685000</c:v>
                </c:pt>
                <c:pt idx="543">
                  <c:v>1690000</c:v>
                </c:pt>
                <c:pt idx="544">
                  <c:v>1695000</c:v>
                </c:pt>
                <c:pt idx="545">
                  <c:v>1700000</c:v>
                </c:pt>
                <c:pt idx="546">
                  <c:v>1705000</c:v>
                </c:pt>
                <c:pt idx="547">
                  <c:v>1710000</c:v>
                </c:pt>
                <c:pt idx="548">
                  <c:v>1715000</c:v>
                </c:pt>
                <c:pt idx="549">
                  <c:v>1720000</c:v>
                </c:pt>
                <c:pt idx="550">
                  <c:v>1725000</c:v>
                </c:pt>
                <c:pt idx="551">
                  <c:v>1730000</c:v>
                </c:pt>
                <c:pt idx="552">
                  <c:v>1735000</c:v>
                </c:pt>
                <c:pt idx="553">
                  <c:v>1740000</c:v>
                </c:pt>
                <c:pt idx="554">
                  <c:v>1745000</c:v>
                </c:pt>
                <c:pt idx="555">
                  <c:v>1750000</c:v>
                </c:pt>
                <c:pt idx="556">
                  <c:v>1755000</c:v>
                </c:pt>
                <c:pt idx="557">
                  <c:v>1760000</c:v>
                </c:pt>
                <c:pt idx="558">
                  <c:v>1765000</c:v>
                </c:pt>
                <c:pt idx="559">
                  <c:v>1770000</c:v>
                </c:pt>
                <c:pt idx="560">
                  <c:v>1775000</c:v>
                </c:pt>
                <c:pt idx="561">
                  <c:v>1780000</c:v>
                </c:pt>
                <c:pt idx="562">
                  <c:v>1785000</c:v>
                </c:pt>
                <c:pt idx="563">
                  <c:v>1790000</c:v>
                </c:pt>
                <c:pt idx="564">
                  <c:v>1795000</c:v>
                </c:pt>
                <c:pt idx="565">
                  <c:v>1800000</c:v>
                </c:pt>
                <c:pt idx="566">
                  <c:v>1805000</c:v>
                </c:pt>
                <c:pt idx="567">
                  <c:v>1810000</c:v>
                </c:pt>
                <c:pt idx="568">
                  <c:v>1815000</c:v>
                </c:pt>
                <c:pt idx="569">
                  <c:v>1820000</c:v>
                </c:pt>
                <c:pt idx="570">
                  <c:v>1825000</c:v>
                </c:pt>
                <c:pt idx="571">
                  <c:v>1830000</c:v>
                </c:pt>
                <c:pt idx="572">
                  <c:v>1835000</c:v>
                </c:pt>
                <c:pt idx="573">
                  <c:v>1840000</c:v>
                </c:pt>
                <c:pt idx="574">
                  <c:v>1845000</c:v>
                </c:pt>
                <c:pt idx="575">
                  <c:v>1850000</c:v>
                </c:pt>
                <c:pt idx="576">
                  <c:v>1855000</c:v>
                </c:pt>
                <c:pt idx="577">
                  <c:v>1860000</c:v>
                </c:pt>
                <c:pt idx="578">
                  <c:v>1865000</c:v>
                </c:pt>
                <c:pt idx="579">
                  <c:v>1870000</c:v>
                </c:pt>
                <c:pt idx="580">
                  <c:v>1875000</c:v>
                </c:pt>
                <c:pt idx="581">
                  <c:v>1880000</c:v>
                </c:pt>
                <c:pt idx="582">
                  <c:v>1885000</c:v>
                </c:pt>
                <c:pt idx="583">
                  <c:v>1890000</c:v>
                </c:pt>
                <c:pt idx="584">
                  <c:v>1895000</c:v>
                </c:pt>
                <c:pt idx="585">
                  <c:v>1900000</c:v>
                </c:pt>
                <c:pt idx="586">
                  <c:v>1905000</c:v>
                </c:pt>
                <c:pt idx="587">
                  <c:v>1910000</c:v>
                </c:pt>
                <c:pt idx="588">
                  <c:v>1915000</c:v>
                </c:pt>
                <c:pt idx="589">
                  <c:v>1920000</c:v>
                </c:pt>
                <c:pt idx="590">
                  <c:v>1925000</c:v>
                </c:pt>
                <c:pt idx="591">
                  <c:v>1930000</c:v>
                </c:pt>
                <c:pt idx="592">
                  <c:v>1935000</c:v>
                </c:pt>
                <c:pt idx="593">
                  <c:v>1940000</c:v>
                </c:pt>
                <c:pt idx="594">
                  <c:v>1945000</c:v>
                </c:pt>
                <c:pt idx="595">
                  <c:v>1950000</c:v>
                </c:pt>
                <c:pt idx="596">
                  <c:v>1955000</c:v>
                </c:pt>
                <c:pt idx="597">
                  <c:v>1960000</c:v>
                </c:pt>
                <c:pt idx="598">
                  <c:v>1965000</c:v>
                </c:pt>
                <c:pt idx="599">
                  <c:v>1970000</c:v>
                </c:pt>
                <c:pt idx="600">
                  <c:v>1975000</c:v>
                </c:pt>
                <c:pt idx="601">
                  <c:v>1980000</c:v>
                </c:pt>
                <c:pt idx="602">
                  <c:v>1985000</c:v>
                </c:pt>
                <c:pt idx="603">
                  <c:v>1990000</c:v>
                </c:pt>
                <c:pt idx="604">
                  <c:v>1995000</c:v>
                </c:pt>
                <c:pt idx="605">
                  <c:v>2000000</c:v>
                </c:pt>
                <c:pt idx="606">
                  <c:v>2250000</c:v>
                </c:pt>
                <c:pt idx="607">
                  <c:v>2500000</c:v>
                </c:pt>
                <c:pt idx="608">
                  <c:v>2750000</c:v>
                </c:pt>
                <c:pt idx="609">
                  <c:v>3000000</c:v>
                </c:pt>
                <c:pt idx="610">
                  <c:v>3250000</c:v>
                </c:pt>
                <c:pt idx="611">
                  <c:v>3500000</c:v>
                </c:pt>
                <c:pt idx="612">
                  <c:v>3750000</c:v>
                </c:pt>
                <c:pt idx="613">
                  <c:v>4000000</c:v>
                </c:pt>
                <c:pt idx="614">
                  <c:v>4250000</c:v>
                </c:pt>
                <c:pt idx="615">
                  <c:v>4500000</c:v>
                </c:pt>
                <c:pt idx="616">
                  <c:v>4750000</c:v>
                </c:pt>
                <c:pt idx="617">
                  <c:v>5000000</c:v>
                </c:pt>
                <c:pt idx="618">
                  <c:v>5100000</c:v>
                </c:pt>
                <c:pt idx="619">
                  <c:v>5200000</c:v>
                </c:pt>
                <c:pt idx="620">
                  <c:v>5300000</c:v>
                </c:pt>
                <c:pt idx="621">
                  <c:v>5400000</c:v>
                </c:pt>
                <c:pt idx="622">
                  <c:v>5500000</c:v>
                </c:pt>
                <c:pt idx="623">
                  <c:v>5600000</c:v>
                </c:pt>
                <c:pt idx="624">
                  <c:v>5700000</c:v>
                </c:pt>
                <c:pt idx="625">
                  <c:v>5800000</c:v>
                </c:pt>
                <c:pt idx="626">
                  <c:v>5900000</c:v>
                </c:pt>
                <c:pt idx="627">
                  <c:v>6000000</c:v>
                </c:pt>
                <c:pt idx="628">
                  <c:v>6100000</c:v>
                </c:pt>
                <c:pt idx="629">
                  <c:v>6200000</c:v>
                </c:pt>
                <c:pt idx="630">
                  <c:v>6300000</c:v>
                </c:pt>
                <c:pt idx="631">
                  <c:v>6400000</c:v>
                </c:pt>
                <c:pt idx="632">
                  <c:v>6500000</c:v>
                </c:pt>
                <c:pt idx="633">
                  <c:v>6600000</c:v>
                </c:pt>
                <c:pt idx="634">
                  <c:v>6700000</c:v>
                </c:pt>
                <c:pt idx="635">
                  <c:v>6800000</c:v>
                </c:pt>
                <c:pt idx="636">
                  <c:v>6900000</c:v>
                </c:pt>
                <c:pt idx="637">
                  <c:v>7000000</c:v>
                </c:pt>
                <c:pt idx="638">
                  <c:v>7100000</c:v>
                </c:pt>
                <c:pt idx="639">
                  <c:v>7200000</c:v>
                </c:pt>
                <c:pt idx="640">
                  <c:v>7300000</c:v>
                </c:pt>
                <c:pt idx="641">
                  <c:v>7400000</c:v>
                </c:pt>
                <c:pt idx="642">
                  <c:v>7500000</c:v>
                </c:pt>
                <c:pt idx="643">
                  <c:v>7600000</c:v>
                </c:pt>
                <c:pt idx="644">
                  <c:v>7700000</c:v>
                </c:pt>
                <c:pt idx="645">
                  <c:v>7800000</c:v>
                </c:pt>
                <c:pt idx="646">
                  <c:v>7900000</c:v>
                </c:pt>
                <c:pt idx="647">
                  <c:v>8000000</c:v>
                </c:pt>
                <c:pt idx="648">
                  <c:v>8100000</c:v>
                </c:pt>
                <c:pt idx="649">
                  <c:v>8200000</c:v>
                </c:pt>
                <c:pt idx="650">
                  <c:v>8300000</c:v>
                </c:pt>
                <c:pt idx="651">
                  <c:v>8400000</c:v>
                </c:pt>
                <c:pt idx="652">
                  <c:v>8500000</c:v>
                </c:pt>
                <c:pt idx="653">
                  <c:v>8600000</c:v>
                </c:pt>
                <c:pt idx="654">
                  <c:v>8700000</c:v>
                </c:pt>
                <c:pt idx="655">
                  <c:v>8800000</c:v>
                </c:pt>
                <c:pt idx="656">
                  <c:v>8900000</c:v>
                </c:pt>
                <c:pt idx="657">
                  <c:v>9000000</c:v>
                </c:pt>
                <c:pt idx="658">
                  <c:v>9100000</c:v>
                </c:pt>
                <c:pt idx="659">
                  <c:v>9200000</c:v>
                </c:pt>
                <c:pt idx="660">
                  <c:v>9300000</c:v>
                </c:pt>
                <c:pt idx="661">
                  <c:v>9400000</c:v>
                </c:pt>
                <c:pt idx="662">
                  <c:v>9500000</c:v>
                </c:pt>
                <c:pt idx="663">
                  <c:v>9600000</c:v>
                </c:pt>
                <c:pt idx="664">
                  <c:v>9700000</c:v>
                </c:pt>
                <c:pt idx="665">
                  <c:v>9800000</c:v>
                </c:pt>
                <c:pt idx="666">
                  <c:v>9900000</c:v>
                </c:pt>
                <c:pt idx="667">
                  <c:v>10000000</c:v>
                </c:pt>
              </c:numCache>
            </c:numRef>
          </c:xVal>
          <c:yVal>
            <c:numRef>
              <c:f>'Bode Plots Calculations'!$BN$9:$BN$676</c:f>
              <c:numCache>
                <c:formatCode>General</c:formatCode>
                <c:ptCount val="668"/>
                <c:pt idx="0">
                  <c:v>-0.000826334077205115</c:v>
                </c:pt>
                <c:pt idx="1">
                  <c:v>-0.00165266815670934</c:v>
                </c:pt>
                <c:pt idx="2">
                  <c:v>-0.0024790022408118</c:v>
                </c:pt>
                <c:pt idx="3">
                  <c:v>-0.00330533633181159</c:v>
                </c:pt>
                <c:pt idx="4">
                  <c:v>-0.00413167043200785</c:v>
                </c:pt>
                <c:pt idx="5">
                  <c:v>-0.00495800454369966</c:v>
                </c:pt>
                <c:pt idx="6">
                  <c:v>-0.00578433866918616</c:v>
                </c:pt>
                <c:pt idx="7">
                  <c:v>-0.00661067281076646</c:v>
                </c:pt>
                <c:pt idx="8">
                  <c:v>-0.00743700697073967</c:v>
                </c:pt>
                <c:pt idx="9">
                  <c:v>-0.0082633411514049</c:v>
                </c:pt>
                <c:pt idx="10">
                  <c:v>-0.0165266846019238</c:v>
                </c:pt>
                <c:pt idx="11">
                  <c:v>-0.0247900326506725</c:v>
                </c:pt>
                <c:pt idx="12">
                  <c:v>-0.0330533875967704</c:v>
                </c:pt>
                <c:pt idx="13">
                  <c:v>-0.0413167517393423</c:v>
                </c:pt>
                <c:pt idx="14">
                  <c:v>-0.0495801273775203</c:v>
                </c:pt>
                <c:pt idx="15">
                  <c:v>-0.0578435168104453</c:v>
                </c:pt>
                <c:pt idx="16">
                  <c:v>-0.0661069223372693</c:v>
                </c:pt>
                <c:pt idx="17">
                  <c:v>-0.0743703462571567</c:v>
                </c:pt>
                <c:pt idx="18">
                  <c:v>-0.0826337908692864</c:v>
                </c:pt>
                <c:pt idx="19">
                  <c:v>-0.165269880897189</c:v>
                </c:pt>
                <c:pt idx="20">
                  <c:v>-0.247910569422601</c:v>
                </c:pt>
                <c:pt idx="21">
                  <c:v>-0.330558156144996</c:v>
                </c:pt>
                <c:pt idx="22">
                  <c:v>-0.413214941304773</c:v>
                </c:pt>
                <c:pt idx="23">
                  <c:v>-0.495883225863673</c:v>
                </c:pt>
                <c:pt idx="24">
                  <c:v>-0.578565311685284</c:v>
                </c:pt>
                <c:pt idx="25">
                  <c:v>-0.661263501715666</c:v>
                </c:pt>
                <c:pt idx="26">
                  <c:v>-0.743980100164106</c:v>
                </c:pt>
                <c:pt idx="27">
                  <c:v>-0.826717412684037</c:v>
                </c:pt>
                <c:pt idx="28">
                  <c:v>-1.24079550815366</c:v>
                </c:pt>
                <c:pt idx="29">
                  <c:v>-1.65573845140141</c:v>
                </c:pt>
                <c:pt idx="30">
                  <c:v>-2.07183716510045</c:v>
                </c:pt>
                <c:pt idx="31">
                  <c:v>-2.4893848456087</c:v>
                </c:pt>
                <c:pt idx="32">
                  <c:v>-2.90867754487071</c:v>
                </c:pt>
                <c:pt idx="33">
                  <c:v>-3.33001476135626</c:v>
                </c:pt>
                <c:pt idx="34">
                  <c:v>-3.75370004189166</c:v>
                </c:pt>
                <c:pt idx="35">
                  <c:v>-4.18004159626486</c:v>
                </c:pt>
                <c:pt idx="36">
                  <c:v>-4.6093529265132</c:v>
                </c:pt>
                <c:pt idx="37">
                  <c:v>-5.04195347283304</c:v>
                </c:pt>
                <c:pt idx="38">
                  <c:v>-5.47816927808203</c:v>
                </c:pt>
                <c:pt idx="39">
                  <c:v>-5.91833367287663</c:v>
                </c:pt>
                <c:pt idx="40">
                  <c:v>-6.36278798331828</c:v>
                </c:pt>
                <c:pt idx="41">
                  <c:v>-6.81188226341026</c:v>
                </c:pt>
                <c:pt idx="42">
                  <c:v>-7.26597605425093</c:v>
                </c:pt>
                <c:pt idx="43">
                  <c:v>-7.72543917210634</c:v>
                </c:pt>
                <c:pt idx="44">
                  <c:v>-8.19065252747255</c:v>
                </c:pt>
                <c:pt idx="45">
                  <c:v>-8.66200897723307</c:v>
                </c:pt>
                <c:pt idx="46">
                  <c:v>-9.13991421199375</c:v>
                </c:pt>
                <c:pt idx="47">
                  <c:v>-9.62478768063381</c:v>
                </c:pt>
                <c:pt idx="48">
                  <c:v>-10.1170635540392</c:v>
                </c:pt>
                <c:pt idx="49">
                  <c:v>-10.6171917298785</c:v>
                </c:pt>
                <c:pt idx="50">
                  <c:v>-11.1256388801303</c:v>
                </c:pt>
                <c:pt idx="51">
                  <c:v>-11.6428895428718</c:v>
                </c:pt>
                <c:pt idx="52">
                  <c:v>-12.1694472595667</c:v>
                </c:pt>
                <c:pt idx="53">
                  <c:v>-12.7058357587501</c:v>
                </c:pt>
                <c:pt idx="54">
                  <c:v>-13.2526001865642</c:v>
                </c:pt>
                <c:pt idx="55">
                  <c:v>-13.8103083840458</c:v>
                </c:pt>
                <c:pt idx="56">
                  <c:v>-14.3795522103781</c:v>
                </c:pt>
                <c:pt idx="57">
                  <c:v>-14.9609489104607</c:v>
                </c:pt>
                <c:pt idx="58">
                  <c:v>-15.5551425241097</c:v>
                </c:pt>
                <c:pt idx="59">
                  <c:v>-16.1628053329159</c:v>
                </c:pt>
                <c:pt idx="60">
                  <c:v>-16.7846393392464</c:v>
                </c:pt>
                <c:pt idx="61">
                  <c:v>-17.4213777699984</c:v>
                </c:pt>
                <c:pt idx="62">
                  <c:v>-18.0737865954764</c:v>
                </c:pt>
                <c:pt idx="63">
                  <c:v>-18.7426660510781</c:v>
                </c:pt>
                <c:pt idx="64">
                  <c:v>-19.4288521462855</c:v>
                </c:pt>
                <c:pt idx="65">
                  <c:v>-20.1332181416801</c:v>
                </c:pt>
                <c:pt idx="66">
                  <c:v>-20.8566759702449</c:v>
                </c:pt>
                <c:pt idx="67">
                  <c:v>-21.600177573989</c:v>
                </c:pt>
                <c:pt idx="68">
                  <c:v>-22.3647161208251</c:v>
                </c:pt>
                <c:pt idx="69">
                  <c:v>-23.1513270595418</c:v>
                </c:pt>
                <c:pt idx="70">
                  <c:v>-23.9610889625226</c:v>
                </c:pt>
                <c:pt idx="71">
                  <c:v>-24.7951240964723</c:v>
                </c:pt>
                <c:pt idx="72">
                  <c:v>-25.6545986507137</c:v>
                </c:pt>
                <c:pt idx="73">
                  <c:v>-26.5407225405367</c:v>
                </c:pt>
                <c:pt idx="74">
                  <c:v>-27.4547486895767</c:v>
                </c:pt>
                <c:pt idx="75">
                  <c:v>-28.3979716802726</c:v>
                </c:pt>
                <c:pt idx="76">
                  <c:v>-29.3717256451926</c:v>
                </c:pt>
                <c:pt idx="77">
                  <c:v>-30.3773812546173</c:v>
                </c:pt>
                <c:pt idx="78">
                  <c:v>-31.4163416375559</c:v>
                </c:pt>
                <c:pt idx="79">
                  <c:v>-32.4900370548961</c:v>
                </c:pt>
                <c:pt idx="80">
                  <c:v>-33.5999181254055</c:v>
                </c:pt>
                <c:pt idx="81">
                  <c:v>-34.7474473889196</c:v>
                </c:pt>
                <c:pt idx="82">
                  <c:v>-35.9340889777157</c:v>
                </c:pt>
                <c:pt idx="83">
                  <c:v>-37.1612961587063</c:v>
                </c:pt>
                <c:pt idx="84">
                  <c:v>-38.4304965080806</c:v>
                </c:pt>
                <c:pt idx="85">
                  <c:v>-39.7430744893372</c:v>
                </c:pt>
                <c:pt idx="86">
                  <c:v>-41.1003512287639</c:v>
                </c:pt>
                <c:pt idx="87">
                  <c:v>-42.5035613232862</c:v>
                </c:pt>
                <c:pt idx="88">
                  <c:v>-43.9538265785164</c:v>
                </c:pt>
                <c:pt idx="89">
                  <c:v>-45.4521266641098</c:v>
                </c:pt>
                <c:pt idx="90">
                  <c:v>-46.9992667931359</c:v>
                </c:pt>
                <c:pt idx="91">
                  <c:v>-48.5958426850481</c:v>
                </c:pt>
                <c:pt idx="92">
                  <c:v>-50.2422032591534</c:v>
                </c:pt>
                <c:pt idx="93">
                  <c:v>-51.9384117256343</c:v>
                </c:pt>
                <c:pt idx="94">
                  <c:v>-53.6842059886977</c:v>
                </c:pt>
                <c:pt idx="95">
                  <c:v>-55.4789595409503</c:v>
                </c:pt>
                <c:pt idx="96">
                  <c:v>-57.321644293526</c:v>
                </c:pt>
                <c:pt idx="97">
                  <c:v>-59.2107970306333</c:v>
                </c:pt>
                <c:pt idx="98">
                  <c:v>-61.1444913722828</c:v>
                </c:pt>
                <c:pt idx="99">
                  <c:v>-63.1203172432334</c:v>
                </c:pt>
                <c:pt idx="100">
                  <c:v>-65.1353698468251</c:v>
                </c:pt>
                <c:pt idx="101">
                  <c:v>-67.186249999703</c:v>
                </c:pt>
                <c:pt idx="102">
                  <c:v>-69.2690773763129</c:v>
                </c:pt>
                <c:pt idx="103">
                  <c:v>-71.3795177333406</c:v>
                </c:pt>
                <c:pt idx="104">
                  <c:v>-73.5128245458257</c:v>
                </c:pt>
                <c:pt idx="105">
                  <c:v>-75.6638947221909</c:v>
                </c:pt>
                <c:pt idx="106">
                  <c:v>-77.8273372301489</c:v>
                </c:pt>
                <c:pt idx="107">
                  <c:v>-79.9975526320174</c:v>
                </c:pt>
                <c:pt idx="108">
                  <c:v>-82.1688207782571</c:v>
                </c:pt>
                <c:pt idx="109">
                  <c:v>-84.33539332214</c:v>
                </c:pt>
                <c:pt idx="110">
                  <c:v>-86.4915873625405</c:v>
                </c:pt>
                <c:pt idx="111">
                  <c:v>-88.6318764375418</c:v>
                </c:pt>
                <c:pt idx="112">
                  <c:v>-90.7509750831703</c:v>
                </c:pt>
                <c:pt idx="113">
                  <c:v>-92.8439150669254</c:v>
                </c:pt>
                <c:pt idx="114">
                  <c:v>-94.9061077477113</c:v>
                </c:pt>
                <c:pt idx="115">
                  <c:v>-96.9333950061905</c:v>
                </c:pt>
                <c:pt idx="116">
                  <c:v>-98.9220848345182</c:v>
                </c:pt>
                <c:pt idx="117">
                  <c:v>-100.868972808245</c:v>
                </c:pt>
                <c:pt idx="118">
                  <c:v>-102.77134994238</c:v>
                </c:pt>
                <c:pt idx="119">
                  <c:v>-104.626998215884</c:v>
                </c:pt>
                <c:pt idx="120">
                  <c:v>-106.434175458396</c:v>
                </c:pt>
                <c:pt idx="121">
                  <c:v>-108.191591531792</c:v>
                </c:pt>
                <c:pt idx="122">
                  <c:v>-109.898377820696</c:v>
                </c:pt>
                <c:pt idx="123">
                  <c:v>-111.554051995587</c:v>
                </c:pt>
                <c:pt idx="124">
                  <c:v>-113.158479861174</c:v>
                </c:pt>
                <c:pt idx="125">
                  <c:v>-114.711835884126</c:v>
                </c:pt>
                <c:pt idx="126">
                  <c:v>-116.214563738432</c:v>
                </c:pt>
                <c:pt idx="127">
                  <c:v>-117.667337939281</c:v>
                </c:pt>
                <c:pt idx="128">
                  <c:v>-119.071027377078</c:v>
                </c:pt>
                <c:pt idx="129">
                  <c:v>-120.426661325863</c:v>
                </c:pt>
                <c:pt idx="130">
                  <c:v>-121.735398293059</c:v>
                </c:pt>
                <c:pt idx="131">
                  <c:v>-122.998497904139</c:v>
                </c:pt>
                <c:pt idx="132">
                  <c:v>-124.217295876606</c:v>
                </c:pt>
                <c:pt idx="133">
                  <c:v>-125.393182030797</c:v>
                </c:pt>
                <c:pt idx="134">
                  <c:v>-126.527581206927</c:v>
                </c:pt>
                <c:pt idx="135">
                  <c:v>-127.621936904322</c:v>
                </c:pt>
                <c:pt idx="136">
                  <c:v>-128.677697425597</c:v>
                </c:pt>
                <c:pt idx="137">
                  <c:v>-129.696304291471</c:v>
                </c:pt>
                <c:pt idx="138">
                  <c:v>-130.67918268716</c:v>
                </c:pt>
                <c:pt idx="139">
                  <c:v>-131.627733705583</c:v>
                </c:pt>
                <c:pt idx="140">
                  <c:v>-132.543328163256</c:v>
                </c:pt>
                <c:pt idx="141">
                  <c:v>-133.42730177954</c:v>
                </c:pt>
                <c:pt idx="142">
                  <c:v>-134.280951527038</c:v>
                </c:pt>
                <c:pt idx="143">
                  <c:v>-135.105532979296</c:v>
                </c:pt>
                <c:pt idx="144">
                  <c:v>-135.902258500347</c:v>
                </c:pt>
                <c:pt idx="145">
                  <c:v>-136.67229613861</c:v>
                </c:pt>
                <c:pt idx="146">
                  <c:v>-137.416769104601</c:v>
                </c:pt>
                <c:pt idx="147">
                  <c:v>-138.136755727659</c:v>
                </c:pt>
                <c:pt idx="148">
                  <c:v>-138.833289801242</c:v>
                </c:pt>
                <c:pt idx="149">
                  <c:v>-139.50736123926</c:v>
                </c:pt>
                <c:pt idx="150">
                  <c:v>-140.159916977441</c:v>
                </c:pt>
                <c:pt idx="151">
                  <c:v>-140.791862063855</c:v>
                </c:pt>
                <c:pt idx="152">
                  <c:v>-141.404060891642</c:v>
                </c:pt>
                <c:pt idx="153">
                  <c:v>-141.997338534679</c:v>
                </c:pt>
                <c:pt idx="154">
                  <c:v>-142.57248215362</c:v>
                </c:pt>
                <c:pt idx="155">
                  <c:v>-143.130242445468</c:v>
                </c:pt>
                <c:pt idx="156">
                  <c:v>-143.671335114732</c:v>
                </c:pt>
                <c:pt idx="157">
                  <c:v>-144.196442348389</c:v>
                </c:pt>
                <c:pt idx="158">
                  <c:v>-144.706214280391</c:v>
                </c:pt>
                <c:pt idx="159">
                  <c:v>-145.201270434432</c:v>
                </c:pt>
                <c:pt idx="160">
                  <c:v>-145.682201136179</c:v>
                </c:pt>
                <c:pt idx="161">
                  <c:v>-146.14956888824</c:v>
                </c:pt>
                <c:pt idx="162">
                  <c:v>-146.603909702876</c:v>
                </c:pt>
                <c:pt idx="163">
                  <c:v>-147.045734388894</c:v>
                </c:pt>
                <c:pt idx="164">
                  <c:v>-147.475529790311</c:v>
                </c:pt>
                <c:pt idx="165">
                  <c:v>-147.893759975357</c:v>
                </c:pt>
                <c:pt idx="166">
                  <c:v>-148.300867375149</c:v>
                </c:pt>
                <c:pt idx="167">
                  <c:v>-148.697273871973</c:v>
                </c:pt>
                <c:pt idx="168">
                  <c:v>-149.083381837653</c:v>
                </c:pt>
                <c:pt idx="169">
                  <c:v>-149.459575122801</c:v>
                </c:pt>
                <c:pt idx="170">
                  <c:v>-149.826219998126</c:v>
                </c:pt>
                <c:pt idx="171">
                  <c:v>-150.18366604912</c:v>
                </c:pt>
                <c:pt idx="172">
                  <c:v>-150.532247025679</c:v>
                </c:pt>
                <c:pt idx="173">
                  <c:v>-150.872281648278</c:v>
                </c:pt>
                <c:pt idx="174">
                  <c:v>-151.204074372424</c:v>
                </c:pt>
                <c:pt idx="175">
                  <c:v>-151.527916113142</c:v>
                </c:pt>
                <c:pt idx="176">
                  <c:v>-151.844084931269</c:v>
                </c:pt>
                <c:pt idx="177">
                  <c:v>-152.152846683324</c:v>
                </c:pt>
                <c:pt idx="178">
                  <c:v>-152.454455636701</c:v>
                </c:pt>
                <c:pt idx="179">
                  <c:v>-152.749155051899</c:v>
                </c:pt>
                <c:pt idx="180">
                  <c:v>-153.037177733451</c:v>
                </c:pt>
                <c:pt idx="181">
                  <c:v>-153.318746551181</c:v>
                </c:pt>
                <c:pt idx="182">
                  <c:v>-153.594074933335</c:v>
                </c:pt>
                <c:pt idx="183">
                  <c:v>-153.863367333094</c:v>
                </c:pt>
                <c:pt idx="184">
                  <c:v>-154.12681966991</c:v>
                </c:pt>
                <c:pt idx="185">
                  <c:v>-154.384619747027</c:v>
                </c:pt>
                <c:pt idx="186">
                  <c:v>-154.636947646504</c:v>
                </c:pt>
                <c:pt idx="187">
                  <c:v>-154.883976102989</c:v>
                </c:pt>
                <c:pt idx="188">
                  <c:v>-155.125870857422</c:v>
                </c:pt>
                <c:pt idx="189">
                  <c:v>-155.362790991792</c:v>
                </c:pt>
                <c:pt idx="190">
                  <c:v>-155.594889246018</c:v>
                </c:pt>
                <c:pt idx="191">
                  <c:v>-155.822312317954</c:v>
                </c:pt>
                <c:pt idx="192">
                  <c:v>-156.045201147472</c:v>
                </c:pt>
                <c:pt idx="193">
                  <c:v>-156.263691185527</c:v>
                </c:pt>
                <c:pt idx="194">
                  <c:v>-156.477912649047</c:v>
                </c:pt>
                <c:pt idx="195">
                  <c:v>-156.687990762454</c:v>
                </c:pt>
                <c:pt idx="196">
                  <c:v>-156.894045986574</c:v>
                </c:pt>
                <c:pt idx="197">
                  <c:v>-157.096194235635</c:v>
                </c:pt>
                <c:pt idx="198">
                  <c:v>-157.294547083042</c:v>
                </c:pt>
                <c:pt idx="199">
                  <c:v>-157.489211956552</c:v>
                </c:pt>
                <c:pt idx="200">
                  <c:v>-157.680292323435</c:v>
                </c:pt>
                <c:pt idx="201">
                  <c:v>-157.867887866209</c:v>
                </c:pt>
                <c:pt idx="202">
                  <c:v>-158.052094649442</c:v>
                </c:pt>
                <c:pt idx="203">
                  <c:v>-158.233005278146</c:v>
                </c:pt>
                <c:pt idx="204">
                  <c:v>-158.410709048214</c:v>
                </c:pt>
                <c:pt idx="205">
                  <c:v>-158.585292089348</c:v>
                </c:pt>
                <c:pt idx="206">
                  <c:v>-158.756837500893</c:v>
                </c:pt>
                <c:pt idx="207">
                  <c:v>-158.925425480954</c:v>
                </c:pt>
                <c:pt idx="208">
                  <c:v>-159.091133449186</c:v>
                </c:pt>
                <c:pt idx="209">
                  <c:v>-159.25403616358</c:v>
                </c:pt>
                <c:pt idx="210">
                  <c:v>-159.414205831582</c:v>
                </c:pt>
                <c:pt idx="211">
                  <c:v>-159.571712215854</c:v>
                </c:pt>
                <c:pt idx="212">
                  <c:v>-159.726622734957</c:v>
                </c:pt>
                <c:pt idx="213">
                  <c:v>-159.879002559227</c:v>
                </c:pt>
                <c:pt idx="214">
                  <c:v>-160.028914702119</c:v>
                </c:pt>
                <c:pt idx="215">
                  <c:v>-160.176420107227</c:v>
                </c:pt>
                <c:pt idx="216">
                  <c:v>-160.321577731243</c:v>
                </c:pt>
                <c:pt idx="217">
                  <c:v>-160.464444623042</c:v>
                </c:pt>
                <c:pt idx="218">
                  <c:v>-160.605075999109</c:v>
                </c:pt>
                <c:pt idx="219">
                  <c:v>-160.743525315496</c:v>
                </c:pt>
                <c:pt idx="220">
                  <c:v>-160.879844336488</c:v>
                </c:pt>
                <c:pt idx="221">
                  <c:v>-161.014083200141</c:v>
                </c:pt>
                <c:pt idx="222">
                  <c:v>-161.146290480867</c:v>
                </c:pt>
                <c:pt idx="223">
                  <c:v>-161.276513249199</c:v>
                </c:pt>
                <c:pt idx="224">
                  <c:v>-161.4047971289</c:v>
                </c:pt>
                <c:pt idx="225">
                  <c:v>-161.53118635152</c:v>
                </c:pt>
                <c:pt idx="226">
                  <c:v>-162.699705880194</c:v>
                </c:pt>
                <c:pt idx="227">
                  <c:v>-163.718825778193</c:v>
                </c:pt>
                <c:pt idx="228">
                  <c:v>-164.616219538594</c:v>
                </c:pt>
                <c:pt idx="229">
                  <c:v>-165.413066691854</c:v>
                </c:pt>
                <c:pt idx="230">
                  <c:v>-166.125851085901</c:v>
                </c:pt>
                <c:pt idx="231">
                  <c:v>-166.767595686464</c:v>
                </c:pt>
                <c:pt idx="232">
                  <c:v>-167.348728341684</c:v>
                </c:pt>
                <c:pt idx="233">
                  <c:v>-167.877700435648</c:v>
                </c:pt>
                <c:pt idx="234">
                  <c:v>-168.361436669817</c:v>
                </c:pt>
                <c:pt idx="235">
                  <c:v>-168.805667264798</c:v>
                </c:pt>
                <c:pt idx="236">
                  <c:v>-169.215176881056</c:v>
                </c:pt>
                <c:pt idx="237">
                  <c:v>-169.593993616223</c:v>
                </c:pt>
                <c:pt idx="238">
                  <c:v>-169.945534256319</c:v>
                </c:pt>
                <c:pt idx="239">
                  <c:v>-170.272717161144</c:v>
                </c:pt>
                <c:pt idx="240">
                  <c:v>-170.578050905936</c:v>
                </c:pt>
                <c:pt idx="241">
                  <c:v>-170.863704554107</c:v>
                </c:pt>
                <c:pt idx="242">
                  <c:v>-171.131563863582</c:v>
                </c:pt>
                <c:pt idx="243">
                  <c:v>-171.38327661445</c:v>
                </c:pt>
                <c:pt idx="244">
                  <c:v>-171.620289445348</c:v>
                </c:pt>
                <c:pt idx="245">
                  <c:v>-171.843878004702</c:v>
                </c:pt>
                <c:pt idx="246">
                  <c:v>-172.055171796242</c:v>
                </c:pt>
                <c:pt idx="247">
                  <c:v>-172.25517478159</c:v>
                </c:pt>
                <c:pt idx="248">
                  <c:v>-172.444782565697</c:v>
                </c:pt>
                <c:pt idx="249">
                  <c:v>-172.62479681174</c:v>
                </c:pt>
                <c:pt idx="250">
                  <c:v>-172.795937395552</c:v>
                </c:pt>
                <c:pt idx="251">
                  <c:v>-172.958852704795</c:v>
                </c:pt>
                <c:pt idx="252">
                  <c:v>-173.114128406845</c:v>
                </c:pt>
                <c:pt idx="253">
                  <c:v>-173.262294946099</c:v>
                </c:pt>
                <c:pt idx="254">
                  <c:v>-173.403833981668</c:v>
                </c:pt>
                <c:pt idx="255">
                  <c:v>-173.539183937208</c:v>
                </c:pt>
                <c:pt idx="256">
                  <c:v>-173.668744803377</c:v>
                </c:pt>
                <c:pt idx="257">
                  <c:v>-173.792882308505</c:v>
                </c:pt>
                <c:pt idx="258">
                  <c:v>-173.911931552939</c:v>
                </c:pt>
                <c:pt idx="259">
                  <c:v>-174.026200186369</c:v>
                </c:pt>
                <c:pt idx="260">
                  <c:v>-174.13597119422</c:v>
                </c:pt>
                <c:pt idx="261">
                  <c:v>-174.241505348455</c:v>
                </c:pt>
                <c:pt idx="262">
                  <c:v>-174.343043369329</c:v>
                </c:pt>
                <c:pt idx="263">
                  <c:v>-174.440807837351</c:v>
                </c:pt>
                <c:pt idx="264">
                  <c:v>-174.535004888708</c:v>
                </c:pt>
                <c:pt idx="265">
                  <c:v>-174.625825722417</c:v>
                </c:pt>
                <c:pt idx="266">
                  <c:v>-174.713447943325</c:v>
                </c:pt>
                <c:pt idx="267">
                  <c:v>-174.798036761556</c:v>
                </c:pt>
                <c:pt idx="268">
                  <c:v>-174.87974606613</c:v>
                </c:pt>
                <c:pt idx="269">
                  <c:v>-174.958719387974</c:v>
                </c:pt>
                <c:pt idx="270">
                  <c:v>-175.035090765495</c:v>
                </c:pt>
                <c:pt idx="271">
                  <c:v>-175.10898552408</c:v>
                </c:pt>
                <c:pt idx="272">
                  <c:v>-175.180520979432</c:v>
                </c:pt>
                <c:pt idx="273">
                  <c:v>-175.24980707332</c:v>
                </c:pt>
                <c:pt idx="274">
                  <c:v>-175.316946949264</c:v>
                </c:pt>
                <c:pt idx="275">
                  <c:v>-175.382037474703</c:v>
                </c:pt>
                <c:pt idx="276">
                  <c:v>-175.445169715404</c:v>
                </c:pt>
                <c:pt idx="277">
                  <c:v>-175.506429367161</c:v>
                </c:pt>
                <c:pt idx="278">
                  <c:v>-175.565897149231</c:v>
                </c:pt>
                <c:pt idx="279">
                  <c:v>-175.623649163429</c:v>
                </c:pt>
                <c:pt idx="280">
                  <c:v>-175.679757222355</c:v>
                </c:pt>
                <c:pt idx="281">
                  <c:v>-175.734289149813</c:v>
                </c:pt>
                <c:pt idx="282">
                  <c:v>-175.787309056161</c:v>
                </c:pt>
                <c:pt idx="283">
                  <c:v>-175.838877591002</c:v>
                </c:pt>
                <c:pt idx="284">
                  <c:v>-175.889052175383</c:v>
                </c:pt>
                <c:pt idx="285">
                  <c:v>-175.937887215422</c:v>
                </c:pt>
                <c:pt idx="286">
                  <c:v>-175.985434299082</c:v>
                </c:pt>
                <c:pt idx="287">
                  <c:v>-176.031742377634</c:v>
                </c:pt>
                <c:pt idx="288">
                  <c:v>-176.076857933188</c:v>
                </c:pt>
                <c:pt idx="289">
                  <c:v>-176.120825133533</c:v>
                </c:pt>
                <c:pt idx="290">
                  <c:v>-176.163685975392</c:v>
                </c:pt>
                <c:pt idx="291">
                  <c:v>-176.20548041711</c:v>
                </c:pt>
                <c:pt idx="292">
                  <c:v>-176.246246501659</c:v>
                </c:pt>
                <c:pt idx="293">
                  <c:v>-176.286020470805</c:v>
                </c:pt>
                <c:pt idx="294">
                  <c:v>-176.324836871138</c:v>
                </c:pt>
                <c:pt idx="295">
                  <c:v>-176.362728652676</c:v>
                </c:pt>
                <c:pt idx="296">
                  <c:v>-176.399727260614</c:v>
                </c:pt>
                <c:pt idx="297">
                  <c:v>-176.435862720785</c:v>
                </c:pt>
                <c:pt idx="298">
                  <c:v>-176.471163719335</c:v>
                </c:pt>
                <c:pt idx="299">
                  <c:v>-176.505657677058</c:v>
                </c:pt>
                <c:pt idx="300">
                  <c:v>-176.539370818808</c:v>
                </c:pt>
                <c:pt idx="301">
                  <c:v>-176.572328238372</c:v>
                </c:pt>
                <c:pt idx="302">
                  <c:v>-176.60455395914</c:v>
                </c:pt>
                <c:pt idx="303">
                  <c:v>-176.63607099089</c:v>
                </c:pt>
                <c:pt idx="304">
                  <c:v>-176.666901382988</c:v>
                </c:pt>
                <c:pt idx="305">
                  <c:v>-176.69706627424</c:v>
                </c:pt>
                <c:pt idx="306">
                  <c:v>-176.726585939666</c:v>
                </c:pt>
                <c:pt idx="307">
                  <c:v>-176.755479834407</c:v>
                </c:pt>
                <c:pt idx="308">
                  <c:v>-176.78376663496</c:v>
                </c:pt>
                <c:pt idx="309">
                  <c:v>-176.811464277948</c:v>
                </c:pt>
                <c:pt idx="310">
                  <c:v>-176.838589996575</c:v>
                </c:pt>
                <c:pt idx="311">
                  <c:v>-176.865160354944</c:v>
                </c:pt>
                <c:pt idx="312">
                  <c:v>-176.891191280374</c:v>
                </c:pt>
                <c:pt idx="313">
                  <c:v>-176.916698093855</c:v>
                </c:pt>
                <c:pt idx="314">
                  <c:v>-176.941695538761</c:v>
                </c:pt>
                <c:pt idx="315">
                  <c:v>-176.966197807942</c:v>
                </c:pt>
                <c:pt idx="316">
                  <c:v>-176.990218569301</c:v>
                </c:pt>
                <c:pt idx="317">
                  <c:v>-177.013770989946</c:v>
                </c:pt>
                <c:pt idx="318">
                  <c:v>-177.03686775902</c:v>
                </c:pt>
                <c:pt idx="319">
                  <c:v>-177.059521109288</c:v>
                </c:pt>
                <c:pt idx="320">
                  <c:v>-177.08174283756</c:v>
                </c:pt>
                <c:pt idx="321">
                  <c:v>-177.10354432402</c:v>
                </c:pt>
                <c:pt idx="322">
                  <c:v>-177.124936550533</c:v>
                </c:pt>
                <c:pt idx="323">
                  <c:v>-177.145930117995</c:v>
                </c:pt>
                <c:pt idx="324">
                  <c:v>-177.166535262772</c:v>
                </c:pt>
                <c:pt idx="325">
                  <c:v>-177.186761872302</c:v>
                </c:pt>
                <c:pt idx="326">
                  <c:v>-177.206619499894</c:v>
                </c:pt>
                <c:pt idx="327">
                  <c:v>-177.226117378776</c:v>
                </c:pt>
                <c:pt idx="328">
                  <c:v>-177.245264435441</c:v>
                </c:pt>
                <c:pt idx="329">
                  <c:v>-177.264069302327</c:v>
                </c:pt>
                <c:pt idx="330">
                  <c:v>-177.28254032987</c:v>
                </c:pt>
                <c:pt idx="331">
                  <c:v>-177.300685597972</c:v>
                </c:pt>
                <c:pt idx="332">
                  <c:v>-177.318512926902</c:v>
                </c:pt>
                <c:pt idx="333">
                  <c:v>-177.336029887683</c:v>
                </c:pt>
                <c:pt idx="334">
                  <c:v>-177.353243811977</c:v>
                </c:pt>
                <c:pt idx="335">
                  <c:v>-177.3701618015</c:v>
                </c:pt>
                <c:pt idx="336">
                  <c:v>-177.386790737</c:v>
                </c:pt>
                <c:pt idx="337">
                  <c:v>-177.403137286816</c:v>
                </c:pt>
                <c:pt idx="338">
                  <c:v>-177.419207915031</c:v>
                </c:pt>
                <c:pt idx="339">
                  <c:v>-177.435008889266</c:v>
                </c:pt>
                <c:pt idx="340">
                  <c:v>-177.450546288108</c:v>
                </c:pt>
                <c:pt idx="341">
                  <c:v>-177.465826008209</c:v>
                </c:pt>
                <c:pt idx="342">
                  <c:v>-177.480853771057</c:v>
                </c:pt>
                <c:pt idx="343">
                  <c:v>-177.49563512946</c:v>
                </c:pt>
                <c:pt idx="344">
                  <c:v>-177.510175473732</c:v>
                </c:pt>
                <c:pt idx="345">
                  <c:v>-177.524480037611</c:v>
                </c:pt>
                <c:pt idx="346">
                  <c:v>-177.53855390392</c:v>
                </c:pt>
                <c:pt idx="347">
                  <c:v>-177.552402009988</c:v>
                </c:pt>
                <c:pt idx="348">
                  <c:v>-177.566029152829</c:v>
                </c:pt>
                <c:pt idx="349">
                  <c:v>-177.579439994106</c:v>
                </c:pt>
                <c:pt idx="350">
                  <c:v>-177.592639064887</c:v>
                </c:pt>
                <c:pt idx="351">
                  <c:v>-177.605630770201</c:v>
                </c:pt>
                <c:pt idx="352">
                  <c:v>-177.618419393395</c:v>
                </c:pt>
                <c:pt idx="353">
                  <c:v>-177.631009100326</c:v>
                </c:pt>
                <c:pt idx="354">
                  <c:v>-177.643403943369</c:v>
                </c:pt>
                <c:pt idx="355">
                  <c:v>-177.655607865266</c:v>
                </c:pt>
                <c:pt idx="356">
                  <c:v>-177.667624702817</c:v>
                </c:pt>
                <c:pt idx="357">
                  <c:v>-177.679458190427</c:v>
                </c:pt>
                <c:pt idx="358">
                  <c:v>-177.691111963506</c:v>
                </c:pt>
                <c:pt idx="359">
                  <c:v>-177.702589561733</c:v>
                </c:pt>
                <c:pt idx="360">
                  <c:v>-177.713894432202</c:v>
                </c:pt>
                <c:pt idx="361">
                  <c:v>-177.725029932428</c:v>
                </c:pt>
                <c:pt idx="362">
                  <c:v>-177.735999333254</c:v>
                </c:pt>
                <c:pt idx="363">
                  <c:v>-177.746805821628</c:v>
                </c:pt>
                <c:pt idx="364">
                  <c:v>-177.757452503289</c:v>
                </c:pt>
                <c:pt idx="365">
                  <c:v>-177.767942405339</c:v>
                </c:pt>
                <c:pt idx="366">
                  <c:v>-177.778278478725</c:v>
                </c:pt>
                <c:pt idx="367">
                  <c:v>-177.788463600621</c:v>
                </c:pt>
                <c:pt idx="368">
                  <c:v>-177.798500576729</c:v>
                </c:pt>
                <c:pt idx="369">
                  <c:v>-177.808392143485</c:v>
                </c:pt>
                <c:pt idx="370">
                  <c:v>-177.81814097019</c:v>
                </c:pt>
                <c:pt idx="371">
                  <c:v>-177.827749661063</c:v>
                </c:pt>
                <c:pt idx="372">
                  <c:v>-177.837220757213</c:v>
                </c:pt>
                <c:pt idx="373">
                  <c:v>-177.846556738545</c:v>
                </c:pt>
                <c:pt idx="374">
                  <c:v>-177.855760025596</c:v>
                </c:pt>
                <c:pt idx="375">
                  <c:v>-177.864832981306</c:v>
                </c:pt>
                <c:pt idx="376">
                  <c:v>-177.873777912721</c:v>
                </c:pt>
                <c:pt idx="377">
                  <c:v>-177.882597072641</c:v>
                </c:pt>
                <c:pt idx="378">
                  <c:v>-177.891292661212</c:v>
                </c:pt>
                <c:pt idx="379">
                  <c:v>-177.899866827451</c:v>
                </c:pt>
                <c:pt idx="380">
                  <c:v>-177.908321670734</c:v>
                </c:pt>
                <c:pt idx="381">
                  <c:v>-177.916659242215</c:v>
                </c:pt>
                <c:pt idx="382">
                  <c:v>-177.924881546214</c:v>
                </c:pt>
                <c:pt idx="383">
                  <c:v>-177.932990541544</c:v>
                </c:pt>
                <c:pt idx="384">
                  <c:v>-177.940988142798</c:v>
                </c:pt>
                <c:pt idx="385">
                  <c:v>-177.948876221592</c:v>
                </c:pt>
                <c:pt idx="386">
                  <c:v>-177.956656607769</c:v>
                </c:pt>
                <c:pt idx="387">
                  <c:v>-177.964331090557</c:v>
                </c:pt>
                <c:pt idx="388">
                  <c:v>-177.971901419692</c:v>
                </c:pt>
                <c:pt idx="389">
                  <c:v>-177.979369306508</c:v>
                </c:pt>
                <c:pt idx="390">
                  <c:v>-177.986736424979</c:v>
                </c:pt>
                <c:pt idx="391">
                  <c:v>-177.994004412742</c:v>
                </c:pt>
                <c:pt idx="392">
                  <c:v>-178.001174872075</c:v>
                </c:pt>
                <c:pt idx="393">
                  <c:v>-178.00824937085</c:v>
                </c:pt>
                <c:pt idx="394">
                  <c:v>-178.015229443453</c:v>
                </c:pt>
                <c:pt idx="395">
                  <c:v>-178.022116591671</c:v>
                </c:pt>
                <c:pt idx="396">
                  <c:v>-178.028912285563</c:v>
                </c:pt>
                <c:pt idx="397">
                  <c:v>-178.035617964285</c:v>
                </c:pt>
                <c:pt idx="398">
                  <c:v>-178.042235036906</c:v>
                </c:pt>
                <c:pt idx="399">
                  <c:v>-178.04876488319</c:v>
                </c:pt>
                <c:pt idx="400">
                  <c:v>-178.055208854352</c:v>
                </c:pt>
                <c:pt idx="401">
                  <c:v>-178.061568273799</c:v>
                </c:pt>
                <c:pt idx="402">
                  <c:v>-178.067844437839</c:v>
                </c:pt>
                <c:pt idx="403">
                  <c:v>-178.074038616372</c:v>
                </c:pt>
                <c:pt idx="404">
                  <c:v>-178.080152053563</c:v>
                </c:pt>
                <c:pt idx="405">
                  <c:v>-178.08618596849</c:v>
                </c:pt>
                <c:pt idx="406">
                  <c:v>-178.092141555773</c:v>
                </c:pt>
                <c:pt idx="407">
                  <c:v>-178.098019986187</c:v>
                </c:pt>
                <c:pt idx="408">
                  <c:v>-178.103822407255</c:v>
                </c:pt>
                <c:pt idx="409">
                  <c:v>-178.109549943822</c:v>
                </c:pt>
                <c:pt idx="410">
                  <c:v>-178.115203698612</c:v>
                </c:pt>
                <c:pt idx="411">
                  <c:v>-178.120784752774</c:v>
                </c:pt>
                <c:pt idx="412">
                  <c:v>-178.126294166406</c:v>
                </c:pt>
                <c:pt idx="413">
                  <c:v>-178.131732979064</c:v>
                </c:pt>
                <c:pt idx="414">
                  <c:v>-178.137102210258</c:v>
                </c:pt>
                <c:pt idx="415">
                  <c:v>-178.142402859937</c:v>
                </c:pt>
                <c:pt idx="416">
                  <c:v>-178.147635908953</c:v>
                </c:pt>
                <c:pt idx="417">
                  <c:v>-178.152802319515</c:v>
                </c:pt>
                <c:pt idx="418">
                  <c:v>-178.157903035636</c:v>
                </c:pt>
                <c:pt idx="419">
                  <c:v>-178.162938983554</c:v>
                </c:pt>
                <c:pt idx="420">
                  <c:v>-178.167911072154</c:v>
                </c:pt>
                <c:pt idx="421">
                  <c:v>-178.172820193372</c:v>
                </c:pt>
                <c:pt idx="422">
                  <c:v>-178.177667222587</c:v>
                </c:pt>
                <c:pt idx="423">
                  <c:v>-178.182453019008</c:v>
                </c:pt>
                <c:pt idx="424">
                  <c:v>-178.187178426041</c:v>
                </c:pt>
                <c:pt idx="425">
                  <c:v>-178.191844271655</c:v>
                </c:pt>
                <c:pt idx="426">
                  <c:v>-178.196451368733</c:v>
                </c:pt>
                <c:pt idx="427">
                  <c:v>-178.201000515412</c:v>
                </c:pt>
                <c:pt idx="428">
                  <c:v>-178.205492495421</c:v>
                </c:pt>
                <c:pt idx="429">
                  <c:v>-178.209928078401</c:v>
                </c:pt>
                <c:pt idx="430">
                  <c:v>-178.214308020222</c:v>
                </c:pt>
                <c:pt idx="431">
                  <c:v>-178.218633063291</c:v>
                </c:pt>
                <c:pt idx="432">
                  <c:v>-178.22290393685</c:v>
                </c:pt>
                <c:pt idx="433">
                  <c:v>-178.227121357265</c:v>
                </c:pt>
                <c:pt idx="434">
                  <c:v>-178.231286028312</c:v>
                </c:pt>
                <c:pt idx="435">
                  <c:v>-178.235398641452</c:v>
                </c:pt>
                <c:pt idx="436">
                  <c:v>-178.239459876099</c:v>
                </c:pt>
                <c:pt idx="437">
                  <c:v>-178.243470399881</c:v>
                </c:pt>
                <c:pt idx="438">
                  <c:v>-178.247430868896</c:v>
                </c:pt>
                <c:pt idx="439">
                  <c:v>-178.251341927961</c:v>
                </c:pt>
                <c:pt idx="440">
                  <c:v>-178.255204210849</c:v>
                </c:pt>
                <c:pt idx="441">
                  <c:v>-178.259018340531</c:v>
                </c:pt>
                <c:pt idx="442">
                  <c:v>-178.262784929401</c:v>
                </c:pt>
                <c:pt idx="443">
                  <c:v>-178.266504579502</c:v>
                </c:pt>
                <c:pt idx="444">
                  <c:v>-178.270177882743</c:v>
                </c:pt>
                <c:pt idx="445">
                  <c:v>-178.27380542111</c:v>
                </c:pt>
                <c:pt idx="446">
                  <c:v>-178.277387766879</c:v>
                </c:pt>
                <c:pt idx="447">
                  <c:v>-178.28092548281</c:v>
                </c:pt>
                <c:pt idx="448">
                  <c:v>-178.284419122351</c:v>
                </c:pt>
                <c:pt idx="449">
                  <c:v>-178.287869229825</c:v>
                </c:pt>
                <c:pt idx="450">
                  <c:v>-178.291276340622</c:v>
                </c:pt>
                <c:pt idx="451">
                  <c:v>-178.294640981376</c:v>
                </c:pt>
                <c:pt idx="452">
                  <c:v>-178.297963670151</c:v>
                </c:pt>
                <c:pt idx="453">
                  <c:v>-178.301244916607</c:v>
                </c:pt>
                <c:pt idx="454">
                  <c:v>-178.304485222175</c:v>
                </c:pt>
                <c:pt idx="455">
                  <c:v>-178.307685080222</c:v>
                </c:pt>
                <c:pt idx="456">
                  <c:v>-178.310844976211</c:v>
                </c:pt>
                <c:pt idx="457">
                  <c:v>-178.313965387858</c:v>
                </c:pt>
                <c:pt idx="458">
                  <c:v>-178.317046785291</c:v>
                </c:pt>
                <c:pt idx="459">
                  <c:v>-178.320089631192</c:v>
                </c:pt>
                <c:pt idx="460">
                  <c:v>-178.323094380955</c:v>
                </c:pt>
                <c:pt idx="461">
                  <c:v>-178.326061482816</c:v>
                </c:pt>
                <c:pt idx="462">
                  <c:v>-178.328991378006</c:v>
                </c:pt>
                <c:pt idx="463">
                  <c:v>-178.331884500879</c:v>
                </c:pt>
                <c:pt idx="464">
                  <c:v>-178.334741279047</c:v>
                </c:pt>
                <c:pt idx="465">
                  <c:v>-178.337562133513</c:v>
                </c:pt>
                <c:pt idx="466">
                  <c:v>-178.340347478797</c:v>
                </c:pt>
                <c:pt idx="467">
                  <c:v>-178.34309772306</c:v>
                </c:pt>
                <c:pt idx="468">
                  <c:v>-178.345813268225</c:v>
                </c:pt>
                <c:pt idx="469">
                  <c:v>-178.348494510099</c:v>
                </c:pt>
                <c:pt idx="470">
                  <c:v>-178.351141838484</c:v>
                </c:pt>
                <c:pt idx="471">
                  <c:v>-178.353755637294</c:v>
                </c:pt>
                <c:pt idx="472">
                  <c:v>-178.356336284667</c:v>
                </c:pt>
                <c:pt idx="473">
                  <c:v>-178.35888415307</c:v>
                </c:pt>
                <c:pt idx="474">
                  <c:v>-178.361399609404</c:v>
                </c:pt>
                <c:pt idx="475">
                  <c:v>-178.363883015116</c:v>
                </c:pt>
                <c:pt idx="476">
                  <c:v>-178.366334726287</c:v>
                </c:pt>
                <c:pt idx="477">
                  <c:v>-178.368755093745</c:v>
                </c:pt>
                <c:pt idx="478">
                  <c:v>-178.371144463151</c:v>
                </c:pt>
                <c:pt idx="479">
                  <c:v>-178.3735031751</c:v>
                </c:pt>
                <c:pt idx="480">
                  <c:v>-178.375831565209</c:v>
                </c:pt>
                <c:pt idx="481">
                  <c:v>-178.378129964213</c:v>
                </c:pt>
                <c:pt idx="482">
                  <c:v>-178.380398698048</c:v>
                </c:pt>
                <c:pt idx="483">
                  <c:v>-178.382638087944</c:v>
                </c:pt>
                <c:pt idx="484">
                  <c:v>-178.384848450502</c:v>
                </c:pt>
                <c:pt idx="485">
                  <c:v>-178.387030097784</c:v>
                </c:pt>
                <c:pt idx="486">
                  <c:v>-178.389183337392</c:v>
                </c:pt>
                <c:pt idx="487">
                  <c:v>-178.391308472543</c:v>
                </c:pt>
                <c:pt idx="488">
                  <c:v>-178.393405802156</c:v>
                </c:pt>
                <c:pt idx="489">
                  <c:v>-178.39547562092</c:v>
                </c:pt>
                <c:pt idx="490">
                  <c:v>-178.39751821937</c:v>
                </c:pt>
                <c:pt idx="491">
                  <c:v>-178.399533883964</c:v>
                </c:pt>
                <c:pt idx="492">
                  <c:v>-178.401522897151</c:v>
                </c:pt>
                <c:pt idx="493">
                  <c:v>-178.403485537442</c:v>
                </c:pt>
                <c:pt idx="494">
                  <c:v>-178.405422079476</c:v>
                </c:pt>
                <c:pt idx="495">
                  <c:v>-178.407332794091</c:v>
                </c:pt>
                <c:pt idx="496">
                  <c:v>-178.409217948388</c:v>
                </c:pt>
                <c:pt idx="497">
                  <c:v>-178.411077805794</c:v>
                </c:pt>
                <c:pt idx="498">
                  <c:v>-178.412912626128</c:v>
                </c:pt>
                <c:pt idx="499">
                  <c:v>-178.414722665657</c:v>
                </c:pt>
                <c:pt idx="500">
                  <c:v>-178.416508177164</c:v>
                </c:pt>
                <c:pt idx="501">
                  <c:v>-178.418269410001</c:v>
                </c:pt>
                <c:pt idx="502">
                  <c:v>-178.420006610151</c:v>
                </c:pt>
                <c:pt idx="503">
                  <c:v>-178.42172002028</c:v>
                </c:pt>
                <c:pt idx="504">
                  <c:v>-178.4234098798</c:v>
                </c:pt>
                <c:pt idx="505">
                  <c:v>-178.425076424917</c:v>
                </c:pt>
                <c:pt idx="506">
                  <c:v>-178.426719888686</c:v>
                </c:pt>
                <c:pt idx="507">
                  <c:v>-178.428340501065</c:v>
                </c:pt>
                <c:pt idx="508">
                  <c:v>-178.429938488965</c:v>
                </c:pt>
                <c:pt idx="509">
                  <c:v>-178.431514076303</c:v>
                </c:pt>
                <c:pt idx="510">
                  <c:v>-178.433067484046</c:v>
                </c:pt>
                <c:pt idx="511">
                  <c:v>-178.434598930265</c:v>
                </c:pt>
                <c:pt idx="512">
                  <c:v>-178.436108630177</c:v>
                </c:pt>
                <c:pt idx="513">
                  <c:v>-178.437596796198</c:v>
                </c:pt>
                <c:pt idx="514">
                  <c:v>-178.439063637982</c:v>
                </c:pt>
                <c:pt idx="515">
                  <c:v>-178.440509362469</c:v>
                </c:pt>
                <c:pt idx="516">
                  <c:v>-178.441934173929</c:v>
                </c:pt>
                <c:pt idx="517">
                  <c:v>-178.443338274006</c:v>
                </c:pt>
                <c:pt idx="518">
                  <c:v>-178.444721861755</c:v>
                </c:pt>
                <c:pt idx="519">
                  <c:v>-178.44608513369</c:v>
                </c:pt>
                <c:pt idx="520">
                  <c:v>-178.44742828382</c:v>
                </c:pt>
                <c:pt idx="521">
                  <c:v>-178.448751503689</c:v>
                </c:pt>
                <c:pt idx="522">
                  <c:v>-178.45005498242</c:v>
                </c:pt>
                <c:pt idx="523">
                  <c:v>-178.451338906745</c:v>
                </c:pt>
                <c:pt idx="524">
                  <c:v>-178.452603461049</c:v>
                </c:pt>
                <c:pt idx="525">
                  <c:v>-178.453848827406</c:v>
                </c:pt>
                <c:pt idx="526">
                  <c:v>-178.455075185613</c:v>
                </c:pt>
                <c:pt idx="527">
                  <c:v>-178.456282713225</c:v>
                </c:pt>
                <c:pt idx="528">
                  <c:v>-178.457471585594</c:v>
                </c:pt>
                <c:pt idx="529">
                  <c:v>-178.458641975898</c:v>
                </c:pt>
                <c:pt idx="530">
                  <c:v>-178.459794055178</c:v>
                </c:pt>
                <c:pt idx="531">
                  <c:v>-178.460927992371</c:v>
                </c:pt>
                <c:pt idx="532">
                  <c:v>-178.462043954341</c:v>
                </c:pt>
                <c:pt idx="533">
                  <c:v>-178.463142105908</c:v>
                </c:pt>
                <c:pt idx="534">
                  <c:v>-178.464222609885</c:v>
                </c:pt>
                <c:pt idx="535">
                  <c:v>-178.465285627106</c:v>
                </c:pt>
                <c:pt idx="536">
                  <c:v>-178.466331316454</c:v>
                </c:pt>
                <c:pt idx="537">
                  <c:v>-178.467359834891</c:v>
                </c:pt>
                <c:pt idx="538">
                  <c:v>-178.468371337492</c:v>
                </c:pt>
                <c:pt idx="539">
                  <c:v>-178.469365977465</c:v>
                </c:pt>
                <c:pt idx="540">
                  <c:v>-178.470343906187</c:v>
                </c:pt>
                <c:pt idx="541">
                  <c:v>-178.471305273225</c:v>
                </c:pt>
                <c:pt idx="542">
                  <c:v>-178.472250226368</c:v>
                </c:pt>
                <c:pt idx="543">
                  <c:v>-178.473178911648</c:v>
                </c:pt>
                <c:pt idx="544">
                  <c:v>-178.474091473372</c:v>
                </c:pt>
                <c:pt idx="545">
                  <c:v>-178.474988054143</c:v>
                </c:pt>
                <c:pt idx="546">
                  <c:v>-178.475868794887</c:v>
                </c:pt>
                <c:pt idx="547">
                  <c:v>-178.476733834877</c:v>
                </c:pt>
                <c:pt idx="548">
                  <c:v>-178.477583311757</c:v>
                </c:pt>
                <c:pt idx="549">
                  <c:v>-178.478417361567</c:v>
                </c:pt>
                <c:pt idx="550">
                  <c:v>-178.479236118765</c:v>
                </c:pt>
                <c:pt idx="551">
                  <c:v>-178.48003971625</c:v>
                </c:pt>
                <c:pt idx="552">
                  <c:v>-178.480828285386</c:v>
                </c:pt>
                <c:pt idx="553">
                  <c:v>-178.48160195602</c:v>
                </c:pt>
                <c:pt idx="554">
                  <c:v>-178.482360856512</c:v>
                </c:pt>
                <c:pt idx="555">
                  <c:v>-178.483105113746</c:v>
                </c:pt>
                <c:pt idx="556">
                  <c:v>-178.483834853159</c:v>
                </c:pt>
                <c:pt idx="557">
                  <c:v>-178.484550198758</c:v>
                </c:pt>
                <c:pt idx="558">
                  <c:v>-178.485251273142</c:v>
                </c:pt>
                <c:pt idx="559">
                  <c:v>-178.485938197521</c:v>
                </c:pt>
                <c:pt idx="560">
                  <c:v>-178.486611091733</c:v>
                </c:pt>
                <c:pt idx="561">
                  <c:v>-178.487270074271</c:v>
                </c:pt>
                <c:pt idx="562">
                  <c:v>-178.487915262293</c:v>
                </c:pt>
                <c:pt idx="563">
                  <c:v>-178.488546771646</c:v>
                </c:pt>
                <c:pt idx="564">
                  <c:v>-178.489164716884</c:v>
                </c:pt>
                <c:pt idx="565">
                  <c:v>-178.489769211282</c:v>
                </c:pt>
                <c:pt idx="566">
                  <c:v>-178.49036036686</c:v>
                </c:pt>
                <c:pt idx="567">
                  <c:v>-178.490938294396</c:v>
                </c:pt>
                <c:pt idx="568">
                  <c:v>-178.491503103444</c:v>
                </c:pt>
                <c:pt idx="569">
                  <c:v>-178.492054902352</c:v>
                </c:pt>
                <c:pt idx="570">
                  <c:v>-178.492593798275</c:v>
                </c:pt>
                <c:pt idx="571">
                  <c:v>-178.493119897199</c:v>
                </c:pt>
                <c:pt idx="572">
                  <c:v>-178.493633303947</c:v>
                </c:pt>
                <c:pt idx="573">
                  <c:v>-178.494134122203</c:v>
                </c:pt>
                <c:pt idx="574">
                  <c:v>-178.494622454523</c:v>
                </c:pt>
                <c:pt idx="575">
                  <c:v>-178.495098402354</c:v>
                </c:pt>
                <c:pt idx="576">
                  <c:v>-178.495562066043</c:v>
                </c:pt>
                <c:pt idx="577">
                  <c:v>-178.496013544858</c:v>
                </c:pt>
                <c:pt idx="578">
                  <c:v>-178.496452937</c:v>
                </c:pt>
                <c:pt idx="579">
                  <c:v>-178.496880339616</c:v>
                </c:pt>
                <c:pt idx="580">
                  <c:v>-178.497295848815</c:v>
                </c:pt>
                <c:pt idx="581">
                  <c:v>-178.497699559681</c:v>
                </c:pt>
                <c:pt idx="582">
                  <c:v>-178.498091566289</c:v>
                </c:pt>
                <c:pt idx="583">
                  <c:v>-178.498471961712</c:v>
                </c:pt>
                <c:pt idx="584">
                  <c:v>-178.498840838042</c:v>
                </c:pt>
                <c:pt idx="585">
                  <c:v>-178.499198286398</c:v>
                </c:pt>
                <c:pt idx="586">
                  <c:v>-178.499544396942</c:v>
                </c:pt>
                <c:pt idx="587">
                  <c:v>-178.499879258886</c:v>
                </c:pt>
                <c:pt idx="588">
                  <c:v>-178.500202960513</c:v>
                </c:pt>
                <c:pt idx="589">
                  <c:v>-178.500515589181</c:v>
                </c:pt>
                <c:pt idx="590">
                  <c:v>-178.500817231339</c:v>
                </c:pt>
                <c:pt idx="591">
                  <c:v>-178.50110797254</c:v>
                </c:pt>
                <c:pt idx="592">
                  <c:v>-178.501387897448</c:v>
                </c:pt>
                <c:pt idx="593">
                  <c:v>-178.501657089854</c:v>
                </c:pt>
                <c:pt idx="594">
                  <c:v>-178.501915632687</c:v>
                </c:pt>
                <c:pt idx="595">
                  <c:v>-178.50216360802</c:v>
                </c:pt>
                <c:pt idx="596">
                  <c:v>-178.502401097088</c:v>
                </c:pt>
                <c:pt idx="597">
                  <c:v>-178.502628180294</c:v>
                </c:pt>
                <c:pt idx="598">
                  <c:v>-178.50284493722</c:v>
                </c:pt>
                <c:pt idx="599">
                  <c:v>-178.50305144664</c:v>
                </c:pt>
                <c:pt idx="600">
                  <c:v>-178.503247786528</c:v>
                </c:pt>
                <c:pt idx="601">
                  <c:v>-178.503434034069</c:v>
                </c:pt>
                <c:pt idx="602">
                  <c:v>-178.503610265668</c:v>
                </c:pt>
                <c:pt idx="603">
                  <c:v>-178.503776556961</c:v>
                </c:pt>
                <c:pt idx="604">
                  <c:v>-178.503932982824</c:v>
                </c:pt>
                <c:pt idx="605">
                  <c:v>-178.504079617384</c:v>
                </c:pt>
                <c:pt idx="606">
                  <c:v>-178.5003723434</c:v>
                </c:pt>
                <c:pt idx="607">
                  <c:v>-178.479398588763</c:v>
                </c:pt>
                <c:pt idx="608">
                  <c:v>-178.44587369846</c:v>
                </c:pt>
                <c:pt idx="609">
                  <c:v>-178.402939640402</c:v>
                </c:pt>
                <c:pt idx="610">
                  <c:v>-178.352770862794</c:v>
                </c:pt>
                <c:pt idx="611">
                  <c:v>-178.296920180229</c:v>
                </c:pt>
                <c:pt idx="612">
                  <c:v>-178.236526161074</c:v>
                </c:pt>
                <c:pt idx="613">
                  <c:v>-178.172442674686</c:v>
                </c:pt>
                <c:pt idx="614">
                  <c:v>-178.105322680271</c:v>
                </c:pt>
                <c:pt idx="615">
                  <c:v>-178.035674066897</c:v>
                </c:pt>
                <c:pt idx="616">
                  <c:v>-177.963897849049</c:v>
                </c:pt>
                <c:pt idx="617">
                  <c:v>-177.890314897277</c:v>
                </c:pt>
                <c:pt idx="618">
                  <c:v>-177.860435739282</c:v>
                </c:pt>
                <c:pt idx="619">
                  <c:v>-177.830323960415</c:v>
                </c:pt>
                <c:pt idx="620">
                  <c:v>-177.799992841198</c:v>
                </c:pt>
                <c:pt idx="621">
                  <c:v>-177.769454680212</c:v>
                </c:pt>
                <c:pt idx="622">
                  <c:v>-177.738720883391</c:v>
                </c:pt>
                <c:pt idx="623">
                  <c:v>-177.70780204375</c:v>
                </c:pt>
                <c:pt idx="624">
                  <c:v>-177.676708012716</c:v>
                </c:pt>
                <c:pt idx="625">
                  <c:v>-177.645447964075</c:v>
                </c:pt>
                <c:pt idx="626">
                  <c:v>-177.614030451414</c:v>
                </c:pt>
                <c:pt idx="627">
                  <c:v>-177.582463459822</c:v>
                </c:pt>
                <c:pt idx="628">
                  <c:v>-177.550754452498</c:v>
                </c:pt>
                <c:pt idx="629">
                  <c:v>-177.518910412848</c:v>
                </c:pt>
                <c:pt idx="630">
                  <c:v>-177.486937882576</c:v>
                </c:pt>
                <c:pt idx="631">
                  <c:v>-177.454842996197</c:v>
                </c:pt>
                <c:pt idx="632">
                  <c:v>-177.422631512368</c:v>
                </c:pt>
                <c:pt idx="633">
                  <c:v>-177.390308842366</c:v>
                </c:pt>
                <c:pt idx="634">
                  <c:v>-177.357880076021</c:v>
                </c:pt>
                <c:pt idx="635">
                  <c:v>-177.325350005348</c:v>
                </c:pt>
                <c:pt idx="636">
                  <c:v>-177.292723146143</c:v>
                </c:pt>
                <c:pt idx="637">
                  <c:v>-177.260003757705</c:v>
                </c:pt>
                <c:pt idx="638">
                  <c:v>-177.227195860912</c:v>
                </c:pt>
                <c:pt idx="639">
                  <c:v>-177.194303254771</c:v>
                </c:pt>
                <c:pt idx="640">
                  <c:v>-177.161329531626</c:v>
                </c:pt>
                <c:pt idx="641">
                  <c:v>-177.128278091115</c:v>
                </c:pt>
                <c:pt idx="642">
                  <c:v>-177.095152153026</c:v>
                </c:pt>
                <c:pt idx="643">
                  <c:v>-177.061954769126</c:v>
                </c:pt>
                <c:pt idx="644">
                  <c:v>-177.028688834072</c:v>
                </c:pt>
                <c:pt idx="645">
                  <c:v>-176.995357095488</c:v>
                </c:pt>
                <c:pt idx="646">
                  <c:v>-176.961962163266</c:v>
                </c:pt>
                <c:pt idx="647">
                  <c:v>-176.928506518178</c:v>
                </c:pt>
                <c:pt idx="648">
                  <c:v>-176.894992519846</c:v>
                </c:pt>
                <c:pt idx="649">
                  <c:v>-176.86142241413</c:v>
                </c:pt>
                <c:pt idx="650">
                  <c:v>-176.82779833998</c:v>
                </c:pt>
                <c:pt idx="651">
                  <c:v>-176.794122335804</c:v>
                </c:pt>
                <c:pt idx="652">
                  <c:v>-176.760396345374</c:v>
                </c:pt>
                <c:pt idx="653">
                  <c:v>-176.726622223337</c:v>
                </c:pt>
                <c:pt idx="654">
                  <c:v>-176.692801740332</c:v>
                </c:pt>
                <c:pt idx="655">
                  <c:v>-176.658936587764</c:v>
                </c:pt>
                <c:pt idx="656">
                  <c:v>-176.625028382257</c:v>
                </c:pt>
                <c:pt idx="657">
                  <c:v>-176.591078669804</c:v>
                </c:pt>
                <c:pt idx="658">
                  <c:v>-176.557088929653</c:v>
                </c:pt>
                <c:pt idx="659">
                  <c:v>-176.523060577929</c:v>
                </c:pt>
                <c:pt idx="660">
                  <c:v>-176.488994971031</c:v>
                </c:pt>
                <c:pt idx="661">
                  <c:v>-176.454893408806</c:v>
                </c:pt>
                <c:pt idx="662">
                  <c:v>-176.420757137527</c:v>
                </c:pt>
                <c:pt idx="663">
                  <c:v>-176.386587352682</c:v>
                </c:pt>
                <c:pt idx="664">
                  <c:v>-176.352385201592</c:v>
                </c:pt>
                <c:pt idx="665">
                  <c:v>-176.318151785864</c:v>
                </c:pt>
                <c:pt idx="666">
                  <c:v>-176.283888163706</c:v>
                </c:pt>
                <c:pt idx="667">
                  <c:v>-176.249595352092</c:v>
                </c:pt>
              </c:numCache>
            </c:numRef>
          </c:yVal>
        </c:ser>
        <c:axId val="21821"/>
        <c:axId val="4372"/>
      </c:scatterChart>
      <c:valAx>
        <c:axId val="10955"/>
        <c:scaling>
          <c:orientation val="minMax"/>
          <c:logBase val="10"/>
          <c:max val="10000000"/>
          <c:min val="1000"/>
        </c:scaling>
        <c:delete val="0"/>
        <c:axPos val="b"/>
        <c:title>
          <c:tx>
            <c:rich>
              <a:bodyPr/>
              <a:lstStyle/>
              <a:p>
                <a:pPr>
                  <a:defRPr/>
                </a:pPr>
                <a:r>
                  <a:rPr b="1" sz="800">
                    <a:solidFill>
                      <a:srgbClr val="000000"/>
                    </a:solidFill>
                    <a:latin typeface="Arial"/>
                    <a:ea typeface="Arial"/>
                  </a:rPr>
                  <a:t>Frequency (Hz)</a:t>
                </a:r>
              </a:p>
            </c:rich>
          </c:tx>
          <c:layout/>
        </c:title>
        <c:majorTickMark val="out"/>
        <c:minorTickMark val="in"/>
        <c:tickLblPos val="nextTo"/>
        <c:spPr>
          <a:ln w="3240">
            <a:solidFill>
              <a:srgbClr val="000000"/>
            </a:solidFill>
            <a:round/>
          </a:ln>
        </c:spPr>
        <c:crossAx val="12314"/>
        <c:crossesAt val="-120"/>
      </c:valAx>
      <c:valAx>
        <c:axId val="12314"/>
        <c:scaling>
          <c:orientation val="minMax"/>
        </c:scaling>
        <c:delete val="0"/>
        <c:axPos val="l"/>
        <c:majorGridlines>
          <c:spPr>
            <a:ln w="3240">
              <a:solidFill>
                <a:srgbClr val="000000"/>
              </a:solidFill>
              <a:round/>
            </a:ln>
          </c:spPr>
        </c:majorGridlines>
        <c:title>
          <c:tx>
            <c:rich>
              <a:bodyPr/>
              <a:lstStyle/>
              <a:p>
                <a:pPr>
                  <a:defRPr/>
                </a:pPr>
                <a:r>
                  <a:rPr b="1" sz="800">
                    <a:solidFill>
                      <a:srgbClr val="000000"/>
                    </a:solidFill>
                    <a:latin typeface="Arial"/>
                    <a:ea typeface="Arial"/>
                  </a:rPr>
                  <a:t>Gain (db)</a:t>
                </a:r>
              </a:p>
            </c:rich>
          </c:tx>
          <c:layout/>
        </c:title>
        <c:majorTickMark val="out"/>
        <c:minorTickMark val="none"/>
        <c:tickLblPos val="nextTo"/>
        <c:spPr>
          <a:ln w="3240">
            <a:solidFill>
              <a:srgbClr val="000000"/>
            </a:solidFill>
            <a:round/>
          </a:ln>
        </c:spPr>
        <c:crossAx val="10955"/>
        <c:crossesAt val="1"/>
      </c:valAx>
      <c:valAx>
        <c:axId val="21821"/>
        <c:scaling>
          <c:orientation val="minMax"/>
          <c:logBase val="10"/>
          <c:max val="10000000"/>
          <c:min val="1000"/>
        </c:scaling>
        <c:delete val="0"/>
        <c:axPos val="b"/>
        <c:title>
          <c:tx>
            <c:rich>
              <a:bodyPr/>
              <a:lstStyle/>
              <a:p>
                <a:pPr>
                  <a:defRPr/>
                </a:pPr>
                <a:r>
                  <a:rPr b="1" sz="800">
                    <a:solidFill>
                      <a:srgbClr val="000000"/>
                    </a:solidFill>
                    <a:latin typeface="Arial"/>
                    <a:ea typeface="Arial"/>
                  </a:rPr>
                  <a:t>Frequency (Hz)</a:t>
                </a:r>
              </a:p>
            </c:rich>
          </c:tx>
          <c:layout/>
        </c:title>
        <c:majorTickMark val="out"/>
        <c:minorTickMark val="in"/>
        <c:tickLblPos val="nextTo"/>
        <c:spPr>
          <a:ln w="3240">
            <a:solidFill>
              <a:srgbClr val="000000"/>
            </a:solidFill>
            <a:round/>
          </a:ln>
        </c:spPr>
        <c:crossAx val="4372"/>
        <c:crossesAt val="-120"/>
      </c:valAx>
      <c:valAx>
        <c:axId val="4372"/>
        <c:scaling>
          <c:orientation val="minMax"/>
        </c:scaling>
        <c:delete val="0"/>
        <c:axPos val="l"/>
        <c:title>
          <c:tx>
            <c:rich>
              <a:bodyPr/>
              <a:lstStyle/>
              <a:p>
                <a:pPr>
                  <a:defRPr/>
                </a:pPr>
                <a:r>
                  <a:rPr b="1" sz="800">
                    <a:solidFill>
                      <a:srgbClr val="000000"/>
                    </a:solidFill>
                    <a:latin typeface="Arial"/>
                    <a:ea typeface="Arial"/>
                  </a:rPr>
                  <a:t>Phase Margin (Deg)</a:t>
                </a:r>
              </a:p>
            </c:rich>
          </c:tx>
          <c:layout/>
        </c:title>
        <c:majorTickMark val="cross"/>
        <c:minorTickMark val="none"/>
        <c:tickLblPos val="nextTo"/>
        <c:spPr>
          <a:ln w="3240">
            <a:solidFill>
              <a:srgbClr val="000000"/>
            </a:solidFill>
            <a:round/>
          </a:ln>
        </c:spPr>
        <c:crossAx val="21821"/>
        <c:crosses val="max"/>
      </c:valAx>
      <c:spPr>
        <a:noFill/>
        <a:ln w="12600">
          <a:solidFill>
            <a:srgbClr val="808080"/>
          </a:solidFill>
          <a:round/>
        </a:ln>
      </c:spPr>
    </c:plotArea>
    <c:legend>
      <c:legendPos val="r"/>
      <c:overlay val="0"/>
      <c:spPr>
        <a:solidFill>
          <a:srgbClr val="ffffff"/>
        </a:solidFill>
        <a:ln w="3240">
          <a:solidFill>
            <a:srgbClr val="000000"/>
          </a:solidFill>
          <a:round/>
        </a:ln>
      </c:spPr>
    </c:legend>
    <c:plotVisOnly val="1"/>
  </c:chart>
  <c:spPr>
    <a:solidFill>
      <a:srgbClr val="ffffff"/>
    </a:solidFill>
    <a:ln w="25560">
      <a:solidFill>
        <a:srgbClr val="000000"/>
      </a:solidFill>
      <a:round/>
    </a:ln>
  </c:spPr>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b="1" sz="850">
                <a:solidFill>
                  <a:srgbClr val="000000"/>
                </a:solidFill>
                <a:latin typeface="Arial"/>
                <a:ea typeface="Arial"/>
              </a:rPr>
              <a:t>FeedBack To Comp
5V Vin</a:t>
            </a:r>
          </a:p>
        </c:rich>
      </c:tx>
      <c:layout/>
    </c:title>
    <c:plotArea>
      <c:layout/>
      <c:scatterChart>
        <c:scatterStyle val="lineMarker"/>
        <c:varyColors val="0"/>
        <c:ser>
          <c:idx val="0"/>
          <c:order val="0"/>
          <c:tx>
            <c:strRef>
              <c:f>"Theoretical gain"</c:f>
              <c:strCache>
                <c:ptCount val="1"/>
                <c:pt idx="0">
                  <c:v>Theoretical gain</c:v>
                </c:pt>
              </c:strCache>
            </c:strRef>
          </c:tx>
          <c:spPr>
            <a:solidFill>
              <a:srgbClr val="ff0000"/>
            </a:solidFill>
            <a:ln w="38160">
              <a:solidFill>
                <a:srgbClr val="ff0000"/>
              </a:solidFill>
              <a:round/>
            </a:ln>
          </c:spPr>
          <c:marker>
            <c:size val="4"/>
          </c:marker>
          <c:xVal>
            <c:numRef>
              <c:f>'Bode Plots Calculations'!$A$9:$A$676</c:f>
              <c:numCache>
                <c:formatCode>General</c:formatCode>
                <c:ptCount val="668"/>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1500</c:v>
                </c:pt>
                <c:pt idx="29">
                  <c:v>2000</c:v>
                </c:pt>
                <c:pt idx="30">
                  <c:v>2500</c:v>
                </c:pt>
                <c:pt idx="31">
                  <c:v>3000</c:v>
                </c:pt>
                <c:pt idx="32">
                  <c:v>3500</c:v>
                </c:pt>
                <c:pt idx="33">
                  <c:v>4000</c:v>
                </c:pt>
                <c:pt idx="34">
                  <c:v>4500</c:v>
                </c:pt>
                <c:pt idx="35">
                  <c:v>5000</c:v>
                </c:pt>
                <c:pt idx="36">
                  <c:v>5500</c:v>
                </c:pt>
                <c:pt idx="37">
                  <c:v>6000</c:v>
                </c:pt>
                <c:pt idx="38">
                  <c:v>6500</c:v>
                </c:pt>
                <c:pt idx="39">
                  <c:v>7000</c:v>
                </c:pt>
                <c:pt idx="40">
                  <c:v>7500</c:v>
                </c:pt>
                <c:pt idx="41">
                  <c:v>8000</c:v>
                </c:pt>
                <c:pt idx="42">
                  <c:v>8500</c:v>
                </c:pt>
                <c:pt idx="43">
                  <c:v>9000</c:v>
                </c:pt>
                <c:pt idx="44">
                  <c:v>9500</c:v>
                </c:pt>
                <c:pt idx="45">
                  <c:v>10000</c:v>
                </c:pt>
                <c:pt idx="46">
                  <c:v>10500</c:v>
                </c:pt>
                <c:pt idx="47">
                  <c:v>11000</c:v>
                </c:pt>
                <c:pt idx="48">
                  <c:v>11500</c:v>
                </c:pt>
                <c:pt idx="49">
                  <c:v>12000</c:v>
                </c:pt>
                <c:pt idx="50">
                  <c:v>12500</c:v>
                </c:pt>
                <c:pt idx="51">
                  <c:v>13000</c:v>
                </c:pt>
                <c:pt idx="52">
                  <c:v>13500</c:v>
                </c:pt>
                <c:pt idx="53">
                  <c:v>14000</c:v>
                </c:pt>
                <c:pt idx="54">
                  <c:v>14500</c:v>
                </c:pt>
                <c:pt idx="55">
                  <c:v>15000</c:v>
                </c:pt>
                <c:pt idx="56">
                  <c:v>15500</c:v>
                </c:pt>
                <c:pt idx="57">
                  <c:v>16000</c:v>
                </c:pt>
                <c:pt idx="58">
                  <c:v>16500</c:v>
                </c:pt>
                <c:pt idx="59">
                  <c:v>17000</c:v>
                </c:pt>
                <c:pt idx="60">
                  <c:v>17500</c:v>
                </c:pt>
                <c:pt idx="61">
                  <c:v>18000</c:v>
                </c:pt>
                <c:pt idx="62">
                  <c:v>18500</c:v>
                </c:pt>
                <c:pt idx="63">
                  <c:v>19000</c:v>
                </c:pt>
                <c:pt idx="64">
                  <c:v>19500</c:v>
                </c:pt>
                <c:pt idx="65">
                  <c:v>20000</c:v>
                </c:pt>
                <c:pt idx="66">
                  <c:v>20500</c:v>
                </c:pt>
                <c:pt idx="67">
                  <c:v>21000</c:v>
                </c:pt>
                <c:pt idx="68">
                  <c:v>21500</c:v>
                </c:pt>
                <c:pt idx="69">
                  <c:v>22000</c:v>
                </c:pt>
                <c:pt idx="70">
                  <c:v>22500</c:v>
                </c:pt>
                <c:pt idx="71">
                  <c:v>23000</c:v>
                </c:pt>
                <c:pt idx="72">
                  <c:v>23500</c:v>
                </c:pt>
                <c:pt idx="73">
                  <c:v>24000</c:v>
                </c:pt>
                <c:pt idx="74">
                  <c:v>24500</c:v>
                </c:pt>
                <c:pt idx="75">
                  <c:v>25000</c:v>
                </c:pt>
                <c:pt idx="76">
                  <c:v>25500</c:v>
                </c:pt>
                <c:pt idx="77">
                  <c:v>26000</c:v>
                </c:pt>
                <c:pt idx="78">
                  <c:v>26500</c:v>
                </c:pt>
                <c:pt idx="79">
                  <c:v>27000</c:v>
                </c:pt>
                <c:pt idx="80">
                  <c:v>27500</c:v>
                </c:pt>
                <c:pt idx="81">
                  <c:v>28000</c:v>
                </c:pt>
                <c:pt idx="82">
                  <c:v>28500</c:v>
                </c:pt>
                <c:pt idx="83">
                  <c:v>29000</c:v>
                </c:pt>
                <c:pt idx="84">
                  <c:v>29500</c:v>
                </c:pt>
                <c:pt idx="85">
                  <c:v>30000</c:v>
                </c:pt>
                <c:pt idx="86">
                  <c:v>30500</c:v>
                </c:pt>
                <c:pt idx="87">
                  <c:v>31000</c:v>
                </c:pt>
                <c:pt idx="88">
                  <c:v>31500</c:v>
                </c:pt>
                <c:pt idx="89">
                  <c:v>32000</c:v>
                </c:pt>
                <c:pt idx="90">
                  <c:v>32500</c:v>
                </c:pt>
                <c:pt idx="91">
                  <c:v>33000</c:v>
                </c:pt>
                <c:pt idx="92">
                  <c:v>33500</c:v>
                </c:pt>
                <c:pt idx="93">
                  <c:v>34000</c:v>
                </c:pt>
                <c:pt idx="94">
                  <c:v>34500</c:v>
                </c:pt>
                <c:pt idx="95">
                  <c:v>35000</c:v>
                </c:pt>
                <c:pt idx="96">
                  <c:v>35500</c:v>
                </c:pt>
                <c:pt idx="97">
                  <c:v>36000</c:v>
                </c:pt>
                <c:pt idx="98">
                  <c:v>36500</c:v>
                </c:pt>
                <c:pt idx="99">
                  <c:v>37000</c:v>
                </c:pt>
                <c:pt idx="100">
                  <c:v>37500</c:v>
                </c:pt>
                <c:pt idx="101">
                  <c:v>38000</c:v>
                </c:pt>
                <c:pt idx="102">
                  <c:v>38500</c:v>
                </c:pt>
                <c:pt idx="103">
                  <c:v>39000</c:v>
                </c:pt>
                <c:pt idx="104">
                  <c:v>39500</c:v>
                </c:pt>
                <c:pt idx="105">
                  <c:v>40000</c:v>
                </c:pt>
                <c:pt idx="106">
                  <c:v>40500</c:v>
                </c:pt>
                <c:pt idx="107">
                  <c:v>41000</c:v>
                </c:pt>
                <c:pt idx="108">
                  <c:v>41500</c:v>
                </c:pt>
                <c:pt idx="109">
                  <c:v>42000</c:v>
                </c:pt>
                <c:pt idx="110">
                  <c:v>42500</c:v>
                </c:pt>
                <c:pt idx="111">
                  <c:v>43000</c:v>
                </c:pt>
                <c:pt idx="112">
                  <c:v>43500</c:v>
                </c:pt>
                <c:pt idx="113">
                  <c:v>44000</c:v>
                </c:pt>
                <c:pt idx="114">
                  <c:v>44500</c:v>
                </c:pt>
                <c:pt idx="115">
                  <c:v>45000</c:v>
                </c:pt>
                <c:pt idx="116">
                  <c:v>45500</c:v>
                </c:pt>
                <c:pt idx="117">
                  <c:v>46000</c:v>
                </c:pt>
                <c:pt idx="118">
                  <c:v>46500</c:v>
                </c:pt>
                <c:pt idx="119">
                  <c:v>47000</c:v>
                </c:pt>
                <c:pt idx="120">
                  <c:v>47500</c:v>
                </c:pt>
                <c:pt idx="121">
                  <c:v>48000</c:v>
                </c:pt>
                <c:pt idx="122">
                  <c:v>48500</c:v>
                </c:pt>
                <c:pt idx="123">
                  <c:v>49000</c:v>
                </c:pt>
                <c:pt idx="124">
                  <c:v>49500</c:v>
                </c:pt>
                <c:pt idx="125">
                  <c:v>50000</c:v>
                </c:pt>
                <c:pt idx="126">
                  <c:v>50500</c:v>
                </c:pt>
                <c:pt idx="127">
                  <c:v>51000</c:v>
                </c:pt>
                <c:pt idx="128">
                  <c:v>51500</c:v>
                </c:pt>
                <c:pt idx="129">
                  <c:v>52000</c:v>
                </c:pt>
                <c:pt idx="130">
                  <c:v>52500</c:v>
                </c:pt>
                <c:pt idx="131">
                  <c:v>53000</c:v>
                </c:pt>
                <c:pt idx="132">
                  <c:v>53500</c:v>
                </c:pt>
                <c:pt idx="133">
                  <c:v>54000</c:v>
                </c:pt>
                <c:pt idx="134">
                  <c:v>54500</c:v>
                </c:pt>
                <c:pt idx="135">
                  <c:v>55000</c:v>
                </c:pt>
                <c:pt idx="136">
                  <c:v>55500</c:v>
                </c:pt>
                <c:pt idx="137">
                  <c:v>56000</c:v>
                </c:pt>
                <c:pt idx="138">
                  <c:v>56500</c:v>
                </c:pt>
                <c:pt idx="139">
                  <c:v>57000</c:v>
                </c:pt>
                <c:pt idx="140">
                  <c:v>57500</c:v>
                </c:pt>
                <c:pt idx="141">
                  <c:v>58000</c:v>
                </c:pt>
                <c:pt idx="142">
                  <c:v>58500</c:v>
                </c:pt>
                <c:pt idx="143">
                  <c:v>59000</c:v>
                </c:pt>
                <c:pt idx="144">
                  <c:v>59500</c:v>
                </c:pt>
                <c:pt idx="145">
                  <c:v>60000</c:v>
                </c:pt>
                <c:pt idx="146">
                  <c:v>60500</c:v>
                </c:pt>
                <c:pt idx="147">
                  <c:v>61000</c:v>
                </c:pt>
                <c:pt idx="148">
                  <c:v>61500</c:v>
                </c:pt>
                <c:pt idx="149">
                  <c:v>62000</c:v>
                </c:pt>
                <c:pt idx="150">
                  <c:v>62500</c:v>
                </c:pt>
                <c:pt idx="151">
                  <c:v>63000</c:v>
                </c:pt>
                <c:pt idx="152">
                  <c:v>63500</c:v>
                </c:pt>
                <c:pt idx="153">
                  <c:v>64000</c:v>
                </c:pt>
                <c:pt idx="154">
                  <c:v>64500</c:v>
                </c:pt>
                <c:pt idx="155">
                  <c:v>65000</c:v>
                </c:pt>
                <c:pt idx="156">
                  <c:v>65500</c:v>
                </c:pt>
                <c:pt idx="157">
                  <c:v>66000</c:v>
                </c:pt>
                <c:pt idx="158">
                  <c:v>66500</c:v>
                </c:pt>
                <c:pt idx="159">
                  <c:v>67000</c:v>
                </c:pt>
                <c:pt idx="160">
                  <c:v>67500</c:v>
                </c:pt>
                <c:pt idx="161">
                  <c:v>68000</c:v>
                </c:pt>
                <c:pt idx="162">
                  <c:v>68500</c:v>
                </c:pt>
                <c:pt idx="163">
                  <c:v>69000</c:v>
                </c:pt>
                <c:pt idx="164">
                  <c:v>69500</c:v>
                </c:pt>
                <c:pt idx="165">
                  <c:v>70000</c:v>
                </c:pt>
                <c:pt idx="166">
                  <c:v>70500</c:v>
                </c:pt>
                <c:pt idx="167">
                  <c:v>71000</c:v>
                </c:pt>
                <c:pt idx="168">
                  <c:v>71500</c:v>
                </c:pt>
                <c:pt idx="169">
                  <c:v>72000</c:v>
                </c:pt>
                <c:pt idx="170">
                  <c:v>72500</c:v>
                </c:pt>
                <c:pt idx="171">
                  <c:v>73000</c:v>
                </c:pt>
                <c:pt idx="172">
                  <c:v>73500</c:v>
                </c:pt>
                <c:pt idx="173">
                  <c:v>74000</c:v>
                </c:pt>
                <c:pt idx="174">
                  <c:v>74500</c:v>
                </c:pt>
                <c:pt idx="175">
                  <c:v>75000</c:v>
                </c:pt>
                <c:pt idx="176">
                  <c:v>75500</c:v>
                </c:pt>
                <c:pt idx="177">
                  <c:v>76000</c:v>
                </c:pt>
                <c:pt idx="178">
                  <c:v>76500</c:v>
                </c:pt>
                <c:pt idx="179">
                  <c:v>77000</c:v>
                </c:pt>
                <c:pt idx="180">
                  <c:v>77500</c:v>
                </c:pt>
                <c:pt idx="181">
                  <c:v>78000</c:v>
                </c:pt>
                <c:pt idx="182">
                  <c:v>78500</c:v>
                </c:pt>
                <c:pt idx="183">
                  <c:v>79000</c:v>
                </c:pt>
                <c:pt idx="184">
                  <c:v>79500</c:v>
                </c:pt>
                <c:pt idx="185">
                  <c:v>80000</c:v>
                </c:pt>
                <c:pt idx="186">
                  <c:v>80500</c:v>
                </c:pt>
                <c:pt idx="187">
                  <c:v>81000</c:v>
                </c:pt>
                <c:pt idx="188">
                  <c:v>81500</c:v>
                </c:pt>
                <c:pt idx="189">
                  <c:v>82000</c:v>
                </c:pt>
                <c:pt idx="190">
                  <c:v>82500</c:v>
                </c:pt>
                <c:pt idx="191">
                  <c:v>83000</c:v>
                </c:pt>
                <c:pt idx="192">
                  <c:v>83500</c:v>
                </c:pt>
                <c:pt idx="193">
                  <c:v>84000</c:v>
                </c:pt>
                <c:pt idx="194">
                  <c:v>84500</c:v>
                </c:pt>
                <c:pt idx="195">
                  <c:v>85000</c:v>
                </c:pt>
                <c:pt idx="196">
                  <c:v>85500</c:v>
                </c:pt>
                <c:pt idx="197">
                  <c:v>86000</c:v>
                </c:pt>
                <c:pt idx="198">
                  <c:v>86500</c:v>
                </c:pt>
                <c:pt idx="199">
                  <c:v>87000</c:v>
                </c:pt>
                <c:pt idx="200">
                  <c:v>87500</c:v>
                </c:pt>
                <c:pt idx="201">
                  <c:v>88000</c:v>
                </c:pt>
                <c:pt idx="202">
                  <c:v>88500</c:v>
                </c:pt>
                <c:pt idx="203">
                  <c:v>89000</c:v>
                </c:pt>
                <c:pt idx="204">
                  <c:v>89500</c:v>
                </c:pt>
                <c:pt idx="205">
                  <c:v>90000</c:v>
                </c:pt>
                <c:pt idx="206">
                  <c:v>90500</c:v>
                </c:pt>
                <c:pt idx="207">
                  <c:v>91000</c:v>
                </c:pt>
                <c:pt idx="208">
                  <c:v>91500</c:v>
                </c:pt>
                <c:pt idx="209">
                  <c:v>92000</c:v>
                </c:pt>
                <c:pt idx="210">
                  <c:v>92500</c:v>
                </c:pt>
                <c:pt idx="211">
                  <c:v>93000</c:v>
                </c:pt>
                <c:pt idx="212">
                  <c:v>93500</c:v>
                </c:pt>
                <c:pt idx="213">
                  <c:v>94000</c:v>
                </c:pt>
                <c:pt idx="214">
                  <c:v>94500</c:v>
                </c:pt>
                <c:pt idx="215">
                  <c:v>95000</c:v>
                </c:pt>
                <c:pt idx="216">
                  <c:v>95500</c:v>
                </c:pt>
                <c:pt idx="217">
                  <c:v>96000</c:v>
                </c:pt>
                <c:pt idx="218">
                  <c:v>96500</c:v>
                </c:pt>
                <c:pt idx="219">
                  <c:v>97000</c:v>
                </c:pt>
                <c:pt idx="220">
                  <c:v>97500</c:v>
                </c:pt>
                <c:pt idx="221">
                  <c:v>98000</c:v>
                </c:pt>
                <c:pt idx="222">
                  <c:v>98500</c:v>
                </c:pt>
                <c:pt idx="223">
                  <c:v>99000</c:v>
                </c:pt>
                <c:pt idx="224">
                  <c:v>99500</c:v>
                </c:pt>
                <c:pt idx="225">
                  <c:v>100000</c:v>
                </c:pt>
                <c:pt idx="226">
                  <c:v>105000</c:v>
                </c:pt>
                <c:pt idx="227">
                  <c:v>110000</c:v>
                </c:pt>
                <c:pt idx="228">
                  <c:v>115000</c:v>
                </c:pt>
                <c:pt idx="229">
                  <c:v>120000</c:v>
                </c:pt>
                <c:pt idx="230">
                  <c:v>125000</c:v>
                </c:pt>
                <c:pt idx="231">
                  <c:v>130000</c:v>
                </c:pt>
                <c:pt idx="232">
                  <c:v>135000</c:v>
                </c:pt>
                <c:pt idx="233">
                  <c:v>140000</c:v>
                </c:pt>
                <c:pt idx="234">
                  <c:v>145000</c:v>
                </c:pt>
                <c:pt idx="235">
                  <c:v>150000</c:v>
                </c:pt>
                <c:pt idx="236">
                  <c:v>155000</c:v>
                </c:pt>
                <c:pt idx="237">
                  <c:v>160000</c:v>
                </c:pt>
                <c:pt idx="238">
                  <c:v>165000</c:v>
                </c:pt>
                <c:pt idx="239">
                  <c:v>170000</c:v>
                </c:pt>
                <c:pt idx="240">
                  <c:v>175000</c:v>
                </c:pt>
                <c:pt idx="241">
                  <c:v>180000</c:v>
                </c:pt>
                <c:pt idx="242">
                  <c:v>185000</c:v>
                </c:pt>
                <c:pt idx="243">
                  <c:v>190000</c:v>
                </c:pt>
                <c:pt idx="244">
                  <c:v>195000</c:v>
                </c:pt>
                <c:pt idx="245">
                  <c:v>200000</c:v>
                </c:pt>
                <c:pt idx="246">
                  <c:v>205000</c:v>
                </c:pt>
                <c:pt idx="247">
                  <c:v>210000</c:v>
                </c:pt>
                <c:pt idx="248">
                  <c:v>215000</c:v>
                </c:pt>
                <c:pt idx="249">
                  <c:v>220000</c:v>
                </c:pt>
                <c:pt idx="250">
                  <c:v>225000</c:v>
                </c:pt>
                <c:pt idx="251">
                  <c:v>230000</c:v>
                </c:pt>
                <c:pt idx="252">
                  <c:v>235000</c:v>
                </c:pt>
                <c:pt idx="253">
                  <c:v>240000</c:v>
                </c:pt>
                <c:pt idx="254">
                  <c:v>245000</c:v>
                </c:pt>
                <c:pt idx="255">
                  <c:v>250000</c:v>
                </c:pt>
                <c:pt idx="256">
                  <c:v>255000</c:v>
                </c:pt>
                <c:pt idx="257">
                  <c:v>260000</c:v>
                </c:pt>
                <c:pt idx="258">
                  <c:v>265000</c:v>
                </c:pt>
                <c:pt idx="259">
                  <c:v>270000</c:v>
                </c:pt>
                <c:pt idx="260">
                  <c:v>275000</c:v>
                </c:pt>
                <c:pt idx="261">
                  <c:v>280000</c:v>
                </c:pt>
                <c:pt idx="262">
                  <c:v>285000</c:v>
                </c:pt>
                <c:pt idx="263">
                  <c:v>290000</c:v>
                </c:pt>
                <c:pt idx="264">
                  <c:v>295000</c:v>
                </c:pt>
                <c:pt idx="265">
                  <c:v>300000</c:v>
                </c:pt>
                <c:pt idx="266">
                  <c:v>305000</c:v>
                </c:pt>
                <c:pt idx="267">
                  <c:v>310000</c:v>
                </c:pt>
                <c:pt idx="268">
                  <c:v>315000</c:v>
                </c:pt>
                <c:pt idx="269">
                  <c:v>320000</c:v>
                </c:pt>
                <c:pt idx="270">
                  <c:v>325000</c:v>
                </c:pt>
                <c:pt idx="271">
                  <c:v>330000</c:v>
                </c:pt>
                <c:pt idx="272">
                  <c:v>335000</c:v>
                </c:pt>
                <c:pt idx="273">
                  <c:v>340000</c:v>
                </c:pt>
                <c:pt idx="274">
                  <c:v>345000</c:v>
                </c:pt>
                <c:pt idx="275">
                  <c:v>350000</c:v>
                </c:pt>
                <c:pt idx="276">
                  <c:v>355000</c:v>
                </c:pt>
                <c:pt idx="277">
                  <c:v>360000</c:v>
                </c:pt>
                <c:pt idx="278">
                  <c:v>365000</c:v>
                </c:pt>
                <c:pt idx="279">
                  <c:v>370000</c:v>
                </c:pt>
                <c:pt idx="280">
                  <c:v>375000</c:v>
                </c:pt>
                <c:pt idx="281">
                  <c:v>380000</c:v>
                </c:pt>
                <c:pt idx="282">
                  <c:v>385000</c:v>
                </c:pt>
                <c:pt idx="283">
                  <c:v>390000</c:v>
                </c:pt>
                <c:pt idx="284">
                  <c:v>395000</c:v>
                </c:pt>
                <c:pt idx="285">
                  <c:v>400000</c:v>
                </c:pt>
                <c:pt idx="286">
                  <c:v>405000</c:v>
                </c:pt>
                <c:pt idx="287">
                  <c:v>410000</c:v>
                </c:pt>
                <c:pt idx="288">
                  <c:v>415000</c:v>
                </c:pt>
                <c:pt idx="289">
                  <c:v>420000</c:v>
                </c:pt>
                <c:pt idx="290">
                  <c:v>425000</c:v>
                </c:pt>
                <c:pt idx="291">
                  <c:v>430000</c:v>
                </c:pt>
                <c:pt idx="292">
                  <c:v>435000</c:v>
                </c:pt>
                <c:pt idx="293">
                  <c:v>440000</c:v>
                </c:pt>
                <c:pt idx="294">
                  <c:v>445000</c:v>
                </c:pt>
                <c:pt idx="295">
                  <c:v>450000</c:v>
                </c:pt>
                <c:pt idx="296">
                  <c:v>455000</c:v>
                </c:pt>
                <c:pt idx="297">
                  <c:v>460000</c:v>
                </c:pt>
                <c:pt idx="298">
                  <c:v>465000</c:v>
                </c:pt>
                <c:pt idx="299">
                  <c:v>470000</c:v>
                </c:pt>
                <c:pt idx="300">
                  <c:v>475000</c:v>
                </c:pt>
                <c:pt idx="301">
                  <c:v>480000</c:v>
                </c:pt>
                <c:pt idx="302">
                  <c:v>485000</c:v>
                </c:pt>
                <c:pt idx="303">
                  <c:v>490000</c:v>
                </c:pt>
                <c:pt idx="304">
                  <c:v>495000</c:v>
                </c:pt>
                <c:pt idx="305">
                  <c:v>500000</c:v>
                </c:pt>
                <c:pt idx="306">
                  <c:v>505000</c:v>
                </c:pt>
                <c:pt idx="307">
                  <c:v>510000</c:v>
                </c:pt>
                <c:pt idx="308">
                  <c:v>515000</c:v>
                </c:pt>
                <c:pt idx="309">
                  <c:v>520000</c:v>
                </c:pt>
                <c:pt idx="310">
                  <c:v>525000</c:v>
                </c:pt>
                <c:pt idx="311">
                  <c:v>530000</c:v>
                </c:pt>
                <c:pt idx="312">
                  <c:v>535000</c:v>
                </c:pt>
                <c:pt idx="313">
                  <c:v>540000</c:v>
                </c:pt>
                <c:pt idx="314">
                  <c:v>545000</c:v>
                </c:pt>
                <c:pt idx="315">
                  <c:v>550000</c:v>
                </c:pt>
                <c:pt idx="316">
                  <c:v>555000</c:v>
                </c:pt>
                <c:pt idx="317">
                  <c:v>560000</c:v>
                </c:pt>
                <c:pt idx="318">
                  <c:v>565000</c:v>
                </c:pt>
                <c:pt idx="319">
                  <c:v>570000</c:v>
                </c:pt>
                <c:pt idx="320">
                  <c:v>575000</c:v>
                </c:pt>
                <c:pt idx="321">
                  <c:v>580000</c:v>
                </c:pt>
                <c:pt idx="322">
                  <c:v>585000</c:v>
                </c:pt>
                <c:pt idx="323">
                  <c:v>590000</c:v>
                </c:pt>
                <c:pt idx="324">
                  <c:v>595000</c:v>
                </c:pt>
                <c:pt idx="325">
                  <c:v>600000</c:v>
                </c:pt>
                <c:pt idx="326">
                  <c:v>605000</c:v>
                </c:pt>
                <c:pt idx="327">
                  <c:v>610000</c:v>
                </c:pt>
                <c:pt idx="328">
                  <c:v>615000</c:v>
                </c:pt>
                <c:pt idx="329">
                  <c:v>620000</c:v>
                </c:pt>
                <c:pt idx="330">
                  <c:v>625000</c:v>
                </c:pt>
                <c:pt idx="331">
                  <c:v>630000</c:v>
                </c:pt>
                <c:pt idx="332">
                  <c:v>635000</c:v>
                </c:pt>
                <c:pt idx="333">
                  <c:v>640000</c:v>
                </c:pt>
                <c:pt idx="334">
                  <c:v>645000</c:v>
                </c:pt>
                <c:pt idx="335">
                  <c:v>650000</c:v>
                </c:pt>
                <c:pt idx="336">
                  <c:v>655000</c:v>
                </c:pt>
                <c:pt idx="337">
                  <c:v>660000</c:v>
                </c:pt>
                <c:pt idx="338">
                  <c:v>665000</c:v>
                </c:pt>
                <c:pt idx="339">
                  <c:v>670000</c:v>
                </c:pt>
                <c:pt idx="340">
                  <c:v>675000</c:v>
                </c:pt>
                <c:pt idx="341">
                  <c:v>680000</c:v>
                </c:pt>
                <c:pt idx="342">
                  <c:v>685000</c:v>
                </c:pt>
                <c:pt idx="343">
                  <c:v>690000</c:v>
                </c:pt>
                <c:pt idx="344">
                  <c:v>695000</c:v>
                </c:pt>
                <c:pt idx="345">
                  <c:v>700000</c:v>
                </c:pt>
                <c:pt idx="346">
                  <c:v>705000</c:v>
                </c:pt>
                <c:pt idx="347">
                  <c:v>710000</c:v>
                </c:pt>
                <c:pt idx="348">
                  <c:v>715000</c:v>
                </c:pt>
                <c:pt idx="349">
                  <c:v>720000</c:v>
                </c:pt>
                <c:pt idx="350">
                  <c:v>725000</c:v>
                </c:pt>
                <c:pt idx="351">
                  <c:v>730000</c:v>
                </c:pt>
                <c:pt idx="352">
                  <c:v>735000</c:v>
                </c:pt>
                <c:pt idx="353">
                  <c:v>740000</c:v>
                </c:pt>
                <c:pt idx="354">
                  <c:v>745000</c:v>
                </c:pt>
                <c:pt idx="355">
                  <c:v>750000</c:v>
                </c:pt>
                <c:pt idx="356">
                  <c:v>755000</c:v>
                </c:pt>
                <c:pt idx="357">
                  <c:v>760000</c:v>
                </c:pt>
                <c:pt idx="358">
                  <c:v>765000</c:v>
                </c:pt>
                <c:pt idx="359">
                  <c:v>770000</c:v>
                </c:pt>
                <c:pt idx="360">
                  <c:v>775000</c:v>
                </c:pt>
                <c:pt idx="361">
                  <c:v>780000</c:v>
                </c:pt>
                <c:pt idx="362">
                  <c:v>785000</c:v>
                </c:pt>
                <c:pt idx="363">
                  <c:v>790000</c:v>
                </c:pt>
                <c:pt idx="364">
                  <c:v>795000</c:v>
                </c:pt>
                <c:pt idx="365">
                  <c:v>800000</c:v>
                </c:pt>
                <c:pt idx="366">
                  <c:v>805000</c:v>
                </c:pt>
                <c:pt idx="367">
                  <c:v>810000</c:v>
                </c:pt>
                <c:pt idx="368">
                  <c:v>815000</c:v>
                </c:pt>
                <c:pt idx="369">
                  <c:v>820000</c:v>
                </c:pt>
                <c:pt idx="370">
                  <c:v>825000</c:v>
                </c:pt>
                <c:pt idx="371">
                  <c:v>830000</c:v>
                </c:pt>
                <c:pt idx="372">
                  <c:v>835000</c:v>
                </c:pt>
                <c:pt idx="373">
                  <c:v>840000</c:v>
                </c:pt>
                <c:pt idx="374">
                  <c:v>845000</c:v>
                </c:pt>
                <c:pt idx="375">
                  <c:v>850000</c:v>
                </c:pt>
                <c:pt idx="376">
                  <c:v>855000</c:v>
                </c:pt>
                <c:pt idx="377">
                  <c:v>860000</c:v>
                </c:pt>
                <c:pt idx="378">
                  <c:v>865000</c:v>
                </c:pt>
                <c:pt idx="379">
                  <c:v>870000</c:v>
                </c:pt>
                <c:pt idx="380">
                  <c:v>875000</c:v>
                </c:pt>
                <c:pt idx="381">
                  <c:v>880000</c:v>
                </c:pt>
                <c:pt idx="382">
                  <c:v>885000</c:v>
                </c:pt>
                <c:pt idx="383">
                  <c:v>890000</c:v>
                </c:pt>
                <c:pt idx="384">
                  <c:v>895000</c:v>
                </c:pt>
                <c:pt idx="385">
                  <c:v>900000</c:v>
                </c:pt>
                <c:pt idx="386">
                  <c:v>905000</c:v>
                </c:pt>
                <c:pt idx="387">
                  <c:v>910000</c:v>
                </c:pt>
                <c:pt idx="388">
                  <c:v>915000</c:v>
                </c:pt>
                <c:pt idx="389">
                  <c:v>920000</c:v>
                </c:pt>
                <c:pt idx="390">
                  <c:v>925000</c:v>
                </c:pt>
                <c:pt idx="391">
                  <c:v>930000</c:v>
                </c:pt>
                <c:pt idx="392">
                  <c:v>935000</c:v>
                </c:pt>
                <c:pt idx="393">
                  <c:v>940000</c:v>
                </c:pt>
                <c:pt idx="394">
                  <c:v>945000</c:v>
                </c:pt>
                <c:pt idx="395">
                  <c:v>950000</c:v>
                </c:pt>
                <c:pt idx="396">
                  <c:v>955000</c:v>
                </c:pt>
                <c:pt idx="397">
                  <c:v>960000</c:v>
                </c:pt>
                <c:pt idx="398">
                  <c:v>965000</c:v>
                </c:pt>
                <c:pt idx="399">
                  <c:v>970000</c:v>
                </c:pt>
                <c:pt idx="400">
                  <c:v>975000</c:v>
                </c:pt>
                <c:pt idx="401">
                  <c:v>980000</c:v>
                </c:pt>
                <c:pt idx="402">
                  <c:v>985000</c:v>
                </c:pt>
                <c:pt idx="403">
                  <c:v>990000</c:v>
                </c:pt>
                <c:pt idx="404">
                  <c:v>995000</c:v>
                </c:pt>
                <c:pt idx="405">
                  <c:v>1000000</c:v>
                </c:pt>
                <c:pt idx="406">
                  <c:v>1005000</c:v>
                </c:pt>
                <c:pt idx="407">
                  <c:v>1010000</c:v>
                </c:pt>
                <c:pt idx="408">
                  <c:v>1015000</c:v>
                </c:pt>
                <c:pt idx="409">
                  <c:v>1020000</c:v>
                </c:pt>
                <c:pt idx="410">
                  <c:v>1025000</c:v>
                </c:pt>
                <c:pt idx="411">
                  <c:v>1030000</c:v>
                </c:pt>
                <c:pt idx="412">
                  <c:v>1035000</c:v>
                </c:pt>
                <c:pt idx="413">
                  <c:v>1040000</c:v>
                </c:pt>
                <c:pt idx="414">
                  <c:v>1045000</c:v>
                </c:pt>
                <c:pt idx="415">
                  <c:v>1050000</c:v>
                </c:pt>
                <c:pt idx="416">
                  <c:v>1055000</c:v>
                </c:pt>
                <c:pt idx="417">
                  <c:v>1060000</c:v>
                </c:pt>
                <c:pt idx="418">
                  <c:v>1065000</c:v>
                </c:pt>
                <c:pt idx="419">
                  <c:v>1070000</c:v>
                </c:pt>
                <c:pt idx="420">
                  <c:v>1075000</c:v>
                </c:pt>
                <c:pt idx="421">
                  <c:v>1080000</c:v>
                </c:pt>
                <c:pt idx="422">
                  <c:v>1085000</c:v>
                </c:pt>
                <c:pt idx="423">
                  <c:v>1090000</c:v>
                </c:pt>
                <c:pt idx="424">
                  <c:v>1095000</c:v>
                </c:pt>
                <c:pt idx="425">
                  <c:v>1100000</c:v>
                </c:pt>
                <c:pt idx="426">
                  <c:v>1105000</c:v>
                </c:pt>
                <c:pt idx="427">
                  <c:v>1110000</c:v>
                </c:pt>
                <c:pt idx="428">
                  <c:v>1115000</c:v>
                </c:pt>
                <c:pt idx="429">
                  <c:v>1120000</c:v>
                </c:pt>
                <c:pt idx="430">
                  <c:v>1125000</c:v>
                </c:pt>
                <c:pt idx="431">
                  <c:v>1130000</c:v>
                </c:pt>
                <c:pt idx="432">
                  <c:v>1135000</c:v>
                </c:pt>
                <c:pt idx="433">
                  <c:v>1140000</c:v>
                </c:pt>
                <c:pt idx="434">
                  <c:v>1145000</c:v>
                </c:pt>
                <c:pt idx="435">
                  <c:v>1150000</c:v>
                </c:pt>
                <c:pt idx="436">
                  <c:v>1155000</c:v>
                </c:pt>
                <c:pt idx="437">
                  <c:v>1160000</c:v>
                </c:pt>
                <c:pt idx="438">
                  <c:v>1165000</c:v>
                </c:pt>
                <c:pt idx="439">
                  <c:v>1170000</c:v>
                </c:pt>
                <c:pt idx="440">
                  <c:v>1175000</c:v>
                </c:pt>
                <c:pt idx="441">
                  <c:v>1180000</c:v>
                </c:pt>
                <c:pt idx="442">
                  <c:v>1185000</c:v>
                </c:pt>
                <c:pt idx="443">
                  <c:v>1190000</c:v>
                </c:pt>
                <c:pt idx="444">
                  <c:v>1195000</c:v>
                </c:pt>
                <c:pt idx="445">
                  <c:v>1200000</c:v>
                </c:pt>
                <c:pt idx="446">
                  <c:v>1205000</c:v>
                </c:pt>
                <c:pt idx="447">
                  <c:v>1210000</c:v>
                </c:pt>
                <c:pt idx="448">
                  <c:v>1215000</c:v>
                </c:pt>
                <c:pt idx="449">
                  <c:v>1220000</c:v>
                </c:pt>
                <c:pt idx="450">
                  <c:v>1225000</c:v>
                </c:pt>
                <c:pt idx="451">
                  <c:v>1230000</c:v>
                </c:pt>
                <c:pt idx="452">
                  <c:v>1235000</c:v>
                </c:pt>
                <c:pt idx="453">
                  <c:v>1240000</c:v>
                </c:pt>
                <c:pt idx="454">
                  <c:v>1245000</c:v>
                </c:pt>
                <c:pt idx="455">
                  <c:v>1250000</c:v>
                </c:pt>
                <c:pt idx="456">
                  <c:v>1255000</c:v>
                </c:pt>
                <c:pt idx="457">
                  <c:v>1260000</c:v>
                </c:pt>
                <c:pt idx="458">
                  <c:v>1265000</c:v>
                </c:pt>
                <c:pt idx="459">
                  <c:v>1270000</c:v>
                </c:pt>
                <c:pt idx="460">
                  <c:v>1275000</c:v>
                </c:pt>
                <c:pt idx="461">
                  <c:v>1280000</c:v>
                </c:pt>
                <c:pt idx="462">
                  <c:v>1285000</c:v>
                </c:pt>
                <c:pt idx="463">
                  <c:v>1290000</c:v>
                </c:pt>
                <c:pt idx="464">
                  <c:v>1295000</c:v>
                </c:pt>
                <c:pt idx="465">
                  <c:v>1300000</c:v>
                </c:pt>
                <c:pt idx="466">
                  <c:v>1305000</c:v>
                </c:pt>
                <c:pt idx="467">
                  <c:v>1310000</c:v>
                </c:pt>
                <c:pt idx="468">
                  <c:v>1315000</c:v>
                </c:pt>
                <c:pt idx="469">
                  <c:v>1320000</c:v>
                </c:pt>
                <c:pt idx="470">
                  <c:v>1325000</c:v>
                </c:pt>
                <c:pt idx="471">
                  <c:v>1330000</c:v>
                </c:pt>
                <c:pt idx="472">
                  <c:v>1335000</c:v>
                </c:pt>
                <c:pt idx="473">
                  <c:v>1340000</c:v>
                </c:pt>
                <c:pt idx="474">
                  <c:v>1345000</c:v>
                </c:pt>
                <c:pt idx="475">
                  <c:v>1350000</c:v>
                </c:pt>
                <c:pt idx="476">
                  <c:v>1355000</c:v>
                </c:pt>
                <c:pt idx="477">
                  <c:v>1360000</c:v>
                </c:pt>
                <c:pt idx="478">
                  <c:v>1365000</c:v>
                </c:pt>
                <c:pt idx="479">
                  <c:v>1370000</c:v>
                </c:pt>
                <c:pt idx="480">
                  <c:v>1375000</c:v>
                </c:pt>
                <c:pt idx="481">
                  <c:v>1380000</c:v>
                </c:pt>
                <c:pt idx="482">
                  <c:v>1385000</c:v>
                </c:pt>
                <c:pt idx="483">
                  <c:v>1390000</c:v>
                </c:pt>
                <c:pt idx="484">
                  <c:v>1395000</c:v>
                </c:pt>
                <c:pt idx="485">
                  <c:v>1400000</c:v>
                </c:pt>
                <c:pt idx="486">
                  <c:v>1405000</c:v>
                </c:pt>
                <c:pt idx="487">
                  <c:v>1410000</c:v>
                </c:pt>
                <c:pt idx="488">
                  <c:v>1415000</c:v>
                </c:pt>
                <c:pt idx="489">
                  <c:v>1420000</c:v>
                </c:pt>
                <c:pt idx="490">
                  <c:v>1425000</c:v>
                </c:pt>
                <c:pt idx="491">
                  <c:v>1430000</c:v>
                </c:pt>
                <c:pt idx="492">
                  <c:v>1435000</c:v>
                </c:pt>
                <c:pt idx="493">
                  <c:v>1440000</c:v>
                </c:pt>
                <c:pt idx="494">
                  <c:v>1445000</c:v>
                </c:pt>
                <c:pt idx="495">
                  <c:v>1450000</c:v>
                </c:pt>
                <c:pt idx="496">
                  <c:v>1455000</c:v>
                </c:pt>
                <c:pt idx="497">
                  <c:v>1460000</c:v>
                </c:pt>
                <c:pt idx="498">
                  <c:v>1465000</c:v>
                </c:pt>
                <c:pt idx="499">
                  <c:v>1470000</c:v>
                </c:pt>
                <c:pt idx="500">
                  <c:v>1475000</c:v>
                </c:pt>
                <c:pt idx="501">
                  <c:v>1480000</c:v>
                </c:pt>
                <c:pt idx="502">
                  <c:v>1485000</c:v>
                </c:pt>
                <c:pt idx="503">
                  <c:v>1490000</c:v>
                </c:pt>
                <c:pt idx="504">
                  <c:v>1495000</c:v>
                </c:pt>
                <c:pt idx="505">
                  <c:v>1500000</c:v>
                </c:pt>
                <c:pt idx="506">
                  <c:v>1505000</c:v>
                </c:pt>
                <c:pt idx="507">
                  <c:v>1510000</c:v>
                </c:pt>
                <c:pt idx="508">
                  <c:v>1515000</c:v>
                </c:pt>
                <c:pt idx="509">
                  <c:v>1520000</c:v>
                </c:pt>
                <c:pt idx="510">
                  <c:v>1525000</c:v>
                </c:pt>
                <c:pt idx="511">
                  <c:v>1530000</c:v>
                </c:pt>
                <c:pt idx="512">
                  <c:v>1535000</c:v>
                </c:pt>
                <c:pt idx="513">
                  <c:v>1540000</c:v>
                </c:pt>
                <c:pt idx="514">
                  <c:v>1545000</c:v>
                </c:pt>
                <c:pt idx="515">
                  <c:v>1550000</c:v>
                </c:pt>
                <c:pt idx="516">
                  <c:v>1555000</c:v>
                </c:pt>
                <c:pt idx="517">
                  <c:v>1560000</c:v>
                </c:pt>
                <c:pt idx="518">
                  <c:v>1565000</c:v>
                </c:pt>
                <c:pt idx="519">
                  <c:v>1570000</c:v>
                </c:pt>
                <c:pt idx="520">
                  <c:v>1575000</c:v>
                </c:pt>
                <c:pt idx="521">
                  <c:v>1580000</c:v>
                </c:pt>
                <c:pt idx="522">
                  <c:v>1585000</c:v>
                </c:pt>
                <c:pt idx="523">
                  <c:v>1590000</c:v>
                </c:pt>
                <c:pt idx="524">
                  <c:v>1595000</c:v>
                </c:pt>
                <c:pt idx="525">
                  <c:v>1600000</c:v>
                </c:pt>
                <c:pt idx="526">
                  <c:v>1605000</c:v>
                </c:pt>
                <c:pt idx="527">
                  <c:v>1610000</c:v>
                </c:pt>
                <c:pt idx="528">
                  <c:v>1615000</c:v>
                </c:pt>
                <c:pt idx="529">
                  <c:v>1620000</c:v>
                </c:pt>
                <c:pt idx="530">
                  <c:v>1625000</c:v>
                </c:pt>
                <c:pt idx="531">
                  <c:v>1630000</c:v>
                </c:pt>
                <c:pt idx="532">
                  <c:v>1635000</c:v>
                </c:pt>
                <c:pt idx="533">
                  <c:v>1640000</c:v>
                </c:pt>
                <c:pt idx="534">
                  <c:v>1645000</c:v>
                </c:pt>
                <c:pt idx="535">
                  <c:v>1650000</c:v>
                </c:pt>
                <c:pt idx="536">
                  <c:v>1655000</c:v>
                </c:pt>
                <c:pt idx="537">
                  <c:v>1660000</c:v>
                </c:pt>
                <c:pt idx="538">
                  <c:v>1665000</c:v>
                </c:pt>
                <c:pt idx="539">
                  <c:v>1670000</c:v>
                </c:pt>
                <c:pt idx="540">
                  <c:v>1675000</c:v>
                </c:pt>
                <c:pt idx="541">
                  <c:v>1680000</c:v>
                </c:pt>
                <c:pt idx="542">
                  <c:v>1685000</c:v>
                </c:pt>
                <c:pt idx="543">
                  <c:v>1690000</c:v>
                </c:pt>
                <c:pt idx="544">
                  <c:v>1695000</c:v>
                </c:pt>
                <c:pt idx="545">
                  <c:v>1700000</c:v>
                </c:pt>
                <c:pt idx="546">
                  <c:v>1705000</c:v>
                </c:pt>
                <c:pt idx="547">
                  <c:v>1710000</c:v>
                </c:pt>
                <c:pt idx="548">
                  <c:v>1715000</c:v>
                </c:pt>
                <c:pt idx="549">
                  <c:v>1720000</c:v>
                </c:pt>
                <c:pt idx="550">
                  <c:v>1725000</c:v>
                </c:pt>
                <c:pt idx="551">
                  <c:v>1730000</c:v>
                </c:pt>
                <c:pt idx="552">
                  <c:v>1735000</c:v>
                </c:pt>
                <c:pt idx="553">
                  <c:v>1740000</c:v>
                </c:pt>
                <c:pt idx="554">
                  <c:v>1745000</c:v>
                </c:pt>
                <c:pt idx="555">
                  <c:v>1750000</c:v>
                </c:pt>
                <c:pt idx="556">
                  <c:v>1755000</c:v>
                </c:pt>
                <c:pt idx="557">
                  <c:v>1760000</c:v>
                </c:pt>
                <c:pt idx="558">
                  <c:v>1765000</c:v>
                </c:pt>
                <c:pt idx="559">
                  <c:v>1770000</c:v>
                </c:pt>
                <c:pt idx="560">
                  <c:v>1775000</c:v>
                </c:pt>
                <c:pt idx="561">
                  <c:v>1780000</c:v>
                </c:pt>
                <c:pt idx="562">
                  <c:v>1785000</c:v>
                </c:pt>
                <c:pt idx="563">
                  <c:v>1790000</c:v>
                </c:pt>
                <c:pt idx="564">
                  <c:v>1795000</c:v>
                </c:pt>
                <c:pt idx="565">
                  <c:v>1800000</c:v>
                </c:pt>
                <c:pt idx="566">
                  <c:v>1805000</c:v>
                </c:pt>
                <c:pt idx="567">
                  <c:v>1810000</c:v>
                </c:pt>
                <c:pt idx="568">
                  <c:v>1815000</c:v>
                </c:pt>
                <c:pt idx="569">
                  <c:v>1820000</c:v>
                </c:pt>
                <c:pt idx="570">
                  <c:v>1825000</c:v>
                </c:pt>
                <c:pt idx="571">
                  <c:v>1830000</c:v>
                </c:pt>
                <c:pt idx="572">
                  <c:v>1835000</c:v>
                </c:pt>
                <c:pt idx="573">
                  <c:v>1840000</c:v>
                </c:pt>
                <c:pt idx="574">
                  <c:v>1845000</c:v>
                </c:pt>
                <c:pt idx="575">
                  <c:v>1850000</c:v>
                </c:pt>
                <c:pt idx="576">
                  <c:v>1855000</c:v>
                </c:pt>
                <c:pt idx="577">
                  <c:v>1860000</c:v>
                </c:pt>
                <c:pt idx="578">
                  <c:v>1865000</c:v>
                </c:pt>
                <c:pt idx="579">
                  <c:v>1870000</c:v>
                </c:pt>
                <c:pt idx="580">
                  <c:v>1875000</c:v>
                </c:pt>
                <c:pt idx="581">
                  <c:v>1880000</c:v>
                </c:pt>
                <c:pt idx="582">
                  <c:v>1885000</c:v>
                </c:pt>
                <c:pt idx="583">
                  <c:v>1890000</c:v>
                </c:pt>
                <c:pt idx="584">
                  <c:v>1895000</c:v>
                </c:pt>
                <c:pt idx="585">
                  <c:v>1900000</c:v>
                </c:pt>
                <c:pt idx="586">
                  <c:v>1905000</c:v>
                </c:pt>
                <c:pt idx="587">
                  <c:v>1910000</c:v>
                </c:pt>
                <c:pt idx="588">
                  <c:v>1915000</c:v>
                </c:pt>
                <c:pt idx="589">
                  <c:v>1920000</c:v>
                </c:pt>
                <c:pt idx="590">
                  <c:v>1925000</c:v>
                </c:pt>
                <c:pt idx="591">
                  <c:v>1930000</c:v>
                </c:pt>
                <c:pt idx="592">
                  <c:v>1935000</c:v>
                </c:pt>
                <c:pt idx="593">
                  <c:v>1940000</c:v>
                </c:pt>
                <c:pt idx="594">
                  <c:v>1945000</c:v>
                </c:pt>
                <c:pt idx="595">
                  <c:v>1950000</c:v>
                </c:pt>
                <c:pt idx="596">
                  <c:v>1955000</c:v>
                </c:pt>
                <c:pt idx="597">
                  <c:v>1960000</c:v>
                </c:pt>
                <c:pt idx="598">
                  <c:v>1965000</c:v>
                </c:pt>
                <c:pt idx="599">
                  <c:v>1970000</c:v>
                </c:pt>
                <c:pt idx="600">
                  <c:v>1975000</c:v>
                </c:pt>
                <c:pt idx="601">
                  <c:v>1980000</c:v>
                </c:pt>
                <c:pt idx="602">
                  <c:v>1985000</c:v>
                </c:pt>
                <c:pt idx="603">
                  <c:v>1990000</c:v>
                </c:pt>
                <c:pt idx="604">
                  <c:v>1995000</c:v>
                </c:pt>
                <c:pt idx="605">
                  <c:v>2000000</c:v>
                </c:pt>
                <c:pt idx="606">
                  <c:v>2250000</c:v>
                </c:pt>
                <c:pt idx="607">
                  <c:v>2500000</c:v>
                </c:pt>
                <c:pt idx="608">
                  <c:v>2750000</c:v>
                </c:pt>
                <c:pt idx="609">
                  <c:v>3000000</c:v>
                </c:pt>
                <c:pt idx="610">
                  <c:v>3250000</c:v>
                </c:pt>
                <c:pt idx="611">
                  <c:v>3500000</c:v>
                </c:pt>
                <c:pt idx="612">
                  <c:v>3750000</c:v>
                </c:pt>
                <c:pt idx="613">
                  <c:v>4000000</c:v>
                </c:pt>
                <c:pt idx="614">
                  <c:v>4250000</c:v>
                </c:pt>
                <c:pt idx="615">
                  <c:v>4500000</c:v>
                </c:pt>
                <c:pt idx="616">
                  <c:v>4750000</c:v>
                </c:pt>
                <c:pt idx="617">
                  <c:v>5000000</c:v>
                </c:pt>
                <c:pt idx="618">
                  <c:v>5100000</c:v>
                </c:pt>
                <c:pt idx="619">
                  <c:v>5200000</c:v>
                </c:pt>
                <c:pt idx="620">
                  <c:v>5300000</c:v>
                </c:pt>
                <c:pt idx="621">
                  <c:v>5400000</c:v>
                </c:pt>
                <c:pt idx="622">
                  <c:v>5500000</c:v>
                </c:pt>
                <c:pt idx="623">
                  <c:v>5600000</c:v>
                </c:pt>
                <c:pt idx="624">
                  <c:v>5700000</c:v>
                </c:pt>
                <c:pt idx="625">
                  <c:v>5800000</c:v>
                </c:pt>
                <c:pt idx="626">
                  <c:v>5900000</c:v>
                </c:pt>
                <c:pt idx="627">
                  <c:v>6000000</c:v>
                </c:pt>
                <c:pt idx="628">
                  <c:v>6100000</c:v>
                </c:pt>
                <c:pt idx="629">
                  <c:v>6200000</c:v>
                </c:pt>
                <c:pt idx="630">
                  <c:v>6300000</c:v>
                </c:pt>
                <c:pt idx="631">
                  <c:v>6400000</c:v>
                </c:pt>
                <c:pt idx="632">
                  <c:v>6500000</c:v>
                </c:pt>
                <c:pt idx="633">
                  <c:v>6600000</c:v>
                </c:pt>
                <c:pt idx="634">
                  <c:v>6700000</c:v>
                </c:pt>
                <c:pt idx="635">
                  <c:v>6800000</c:v>
                </c:pt>
                <c:pt idx="636">
                  <c:v>6900000</c:v>
                </c:pt>
                <c:pt idx="637">
                  <c:v>7000000</c:v>
                </c:pt>
                <c:pt idx="638">
                  <c:v>7100000</c:v>
                </c:pt>
                <c:pt idx="639">
                  <c:v>7200000</c:v>
                </c:pt>
                <c:pt idx="640">
                  <c:v>7300000</c:v>
                </c:pt>
                <c:pt idx="641">
                  <c:v>7400000</c:v>
                </c:pt>
                <c:pt idx="642">
                  <c:v>7500000</c:v>
                </c:pt>
                <c:pt idx="643">
                  <c:v>7600000</c:v>
                </c:pt>
                <c:pt idx="644">
                  <c:v>7700000</c:v>
                </c:pt>
                <c:pt idx="645">
                  <c:v>7800000</c:v>
                </c:pt>
                <c:pt idx="646">
                  <c:v>7900000</c:v>
                </c:pt>
                <c:pt idx="647">
                  <c:v>8000000</c:v>
                </c:pt>
                <c:pt idx="648">
                  <c:v>8100000</c:v>
                </c:pt>
                <c:pt idx="649">
                  <c:v>8200000</c:v>
                </c:pt>
                <c:pt idx="650">
                  <c:v>8300000</c:v>
                </c:pt>
                <c:pt idx="651">
                  <c:v>8400000</c:v>
                </c:pt>
                <c:pt idx="652">
                  <c:v>8500000</c:v>
                </c:pt>
                <c:pt idx="653">
                  <c:v>8600000</c:v>
                </c:pt>
                <c:pt idx="654">
                  <c:v>8700000</c:v>
                </c:pt>
                <c:pt idx="655">
                  <c:v>8800000</c:v>
                </c:pt>
                <c:pt idx="656">
                  <c:v>8900000</c:v>
                </c:pt>
                <c:pt idx="657">
                  <c:v>9000000</c:v>
                </c:pt>
                <c:pt idx="658">
                  <c:v>9100000</c:v>
                </c:pt>
                <c:pt idx="659">
                  <c:v>9200000</c:v>
                </c:pt>
                <c:pt idx="660">
                  <c:v>9300000</c:v>
                </c:pt>
                <c:pt idx="661">
                  <c:v>9400000</c:v>
                </c:pt>
                <c:pt idx="662">
                  <c:v>9500000</c:v>
                </c:pt>
                <c:pt idx="663">
                  <c:v>9600000</c:v>
                </c:pt>
                <c:pt idx="664">
                  <c:v>9700000</c:v>
                </c:pt>
                <c:pt idx="665">
                  <c:v>9800000</c:v>
                </c:pt>
                <c:pt idx="666">
                  <c:v>9900000</c:v>
                </c:pt>
                <c:pt idx="667">
                  <c:v>10000000</c:v>
                </c:pt>
              </c:numCache>
            </c:numRef>
          </c:xVal>
          <c:yVal>
            <c:numRef>
              <c:f>'Bode Plots Calculations'!$BB$9:$BB$676</c:f>
              <c:numCache>
                <c:formatCode>General</c:formatCode>
                <c:ptCount val="668"/>
                <c:pt idx="0">
                  <c:v>49.9885109709781</c:v>
                </c:pt>
                <c:pt idx="1">
                  <c:v>49.9565877491028</c:v>
                </c:pt>
                <c:pt idx="2">
                  <c:v>49.9042180952175</c:v>
                </c:pt>
                <c:pt idx="3">
                  <c:v>49.8325984800375</c:v>
                </c:pt>
                <c:pt idx="4">
                  <c:v>49.7432973161032</c:v>
                </c:pt>
                <c:pt idx="5">
                  <c:v>49.6381643166162</c:v>
                </c:pt>
                <c:pt idx="6">
                  <c:v>49.5192331361178</c:v>
                </c:pt>
                <c:pt idx="7">
                  <c:v>49.3886264279422</c:v>
                </c:pt>
                <c:pt idx="8">
                  <c:v>49.2484705312586</c:v>
                </c:pt>
                <c:pt idx="9">
                  <c:v>49.1008244828155</c:v>
                </c:pt>
                <c:pt idx="10">
                  <c:v>47.5510569026281</c:v>
                </c:pt>
                <c:pt idx="11">
                  <c:v>46.3504907837888</c:v>
                </c:pt>
                <c:pt idx="12">
                  <c:v>45.5648875446629</c:v>
                </c:pt>
                <c:pt idx="13">
                  <c:v>45.0602776414559</c:v>
                </c:pt>
                <c:pt idx="14">
                  <c:v>44.728579959498</c:v>
                </c:pt>
                <c:pt idx="15">
                  <c:v>44.5031623653577</c:v>
                </c:pt>
                <c:pt idx="16">
                  <c:v>44.34475388871</c:v>
                </c:pt>
                <c:pt idx="17">
                  <c:v>44.2299731965577</c:v>
                </c:pt>
                <c:pt idx="18">
                  <c:v>44.1445216858352</c:v>
                </c:pt>
                <c:pt idx="19">
                  <c:v>43.8497744396818</c:v>
                </c:pt>
                <c:pt idx="20">
                  <c:v>43.7898872604706</c:v>
                </c:pt>
                <c:pt idx="21">
                  <c:v>43.7668547635053</c:v>
                </c:pt>
                <c:pt idx="22">
                  <c:v>43.7542022258505</c:v>
                </c:pt>
                <c:pt idx="23">
                  <c:v>43.7452617174972</c:v>
                </c:pt>
                <c:pt idx="24">
                  <c:v>43.7377299402646</c:v>
                </c:pt>
                <c:pt idx="25">
                  <c:v>43.7306418434209</c:v>
                </c:pt>
                <c:pt idx="26">
                  <c:v>43.7235366673066</c:v>
                </c:pt>
                <c:pt idx="27">
                  <c:v>43.7161728810606</c:v>
                </c:pt>
                <c:pt idx="28">
                  <c:v>43.6722375776929</c:v>
                </c:pt>
                <c:pt idx="29">
                  <c:v>43.6139865934792</c:v>
                </c:pt>
                <c:pt idx="30">
                  <c:v>43.5410253617349</c:v>
                </c:pt>
                <c:pt idx="31">
                  <c:v>43.453946711279</c:v>
                </c:pt>
                <c:pt idx="32">
                  <c:v>43.3536476019911</c:v>
                </c:pt>
                <c:pt idx="33">
                  <c:v>43.2411718766364</c:v>
                </c:pt>
                <c:pt idx="34">
                  <c:v>43.1176439860569</c:v>
                </c:pt>
                <c:pt idx="35">
                  <c:v>42.984226989544</c:v>
                </c:pt>
                <c:pt idx="36">
                  <c:v>42.8420906058129</c:v>
                </c:pt>
                <c:pt idx="37">
                  <c:v>42.692385702622</c:v>
                </c:pt>
                <c:pt idx="38">
                  <c:v>42.5362241333398</c:v>
                </c:pt>
                <c:pt idx="39">
                  <c:v>42.3746633983133</c:v>
                </c:pt>
                <c:pt idx="40">
                  <c:v>42.208695666296</c:v>
                </c:pt>
                <c:pt idx="41">
                  <c:v>42.0392406350997</c:v>
                </c:pt>
                <c:pt idx="42">
                  <c:v>41.867141659465</c:v>
                </c:pt>
                <c:pt idx="43">
                  <c:v>41.6931645585355</c:v>
                </c:pt>
                <c:pt idx="44">
                  <c:v>41.5179985359628</c:v>
                </c:pt>
                <c:pt idx="45">
                  <c:v>41.3422586935857</c:v>
                </c:pt>
                <c:pt idx="46">
                  <c:v>41.1664896840533</c:v>
                </c:pt>
                <c:pt idx="47">
                  <c:v>40.9911701192181</c:v>
                </c:pt>
                <c:pt idx="48">
                  <c:v>40.8167174224922</c:v>
                </c:pt>
                <c:pt idx="49">
                  <c:v>40.6434928798752</c:v>
                </c:pt>
                <c:pt idx="50">
                  <c:v>40.4718067033103</c:v>
                </c:pt>
                <c:pt idx="51">
                  <c:v>40.3019229702313</c:v>
                </c:pt>
                <c:pt idx="52">
                  <c:v>40.1340643445205</c:v>
                </c:pt>
                <c:pt idx="53">
                  <c:v>39.968416517176</c:v>
                </c:pt>
                <c:pt idx="54">
                  <c:v>39.805132330708</c:v>
                </c:pt>
                <c:pt idx="55">
                  <c:v>39.6443355707355</c:v>
                </c:pt>
                <c:pt idx="56">
                  <c:v>39.486124422526</c:v>
                </c:pt>
                <c:pt idx="57">
                  <c:v>39.3305746003086</c:v>
                </c:pt>
                <c:pt idx="58">
                  <c:v>39.1777421640189</c:v>
                </c:pt>
                <c:pt idx="59">
                  <c:v>39.0276660424276</c:v>
                </c:pt>
                <c:pt idx="60">
                  <c:v>38.8803702840221</c:v>
                </c:pt>
                <c:pt idx="61">
                  <c:v>38.7358660580375</c:v>
                </c:pt>
                <c:pt idx="62">
                  <c:v>38.5941534280788</c:v>
                </c:pt>
                <c:pt idx="63">
                  <c:v>38.4552229201388</c:v>
                </c:pt>
                <c:pt idx="64">
                  <c:v>38.3190569057469</c:v>
                </c:pt>
                <c:pt idx="65">
                  <c:v>38.1856308196349</c:v>
                </c:pt>
                <c:pt idx="66">
                  <c:v>38.0549142298236</c:v>
                </c:pt>
                <c:pt idx="67">
                  <c:v>37.9268717765034</c:v>
                </c:pt>
                <c:pt idx="68">
                  <c:v>37.8014639945562</c:v>
                </c:pt>
                <c:pt idx="69">
                  <c:v>37.6786480331078</c:v>
                </c:pt>
                <c:pt idx="70">
                  <c:v>37.5583782841152</c:v>
                </c:pt>
                <c:pt idx="71">
                  <c:v>37.4406069307092</c:v>
                </c:pt>
                <c:pt idx="72">
                  <c:v>37.3252844248336</c:v>
                </c:pt>
                <c:pt idx="73">
                  <c:v>37.2123599026491</c:v>
                </c:pt>
                <c:pt idx="74">
                  <c:v>37.1017815452</c:v>
                </c:pt>
                <c:pt idx="75">
                  <c:v>36.9934968909696</c:v>
                </c:pt>
                <c:pt idx="76">
                  <c:v>36.8874531061738</c:v>
                </c:pt>
                <c:pt idx="77">
                  <c:v>36.7835972179478</c:v>
                </c:pt>
                <c:pt idx="78">
                  <c:v>36.6818763149651</c:v>
                </c:pt>
                <c:pt idx="79">
                  <c:v>36.5822377194857</c:v>
                </c:pt>
                <c:pt idx="80">
                  <c:v>36.4846291343467</c:v>
                </c:pt>
                <c:pt idx="81">
                  <c:v>36.3889987679849</c:v>
                </c:pt>
                <c:pt idx="82">
                  <c:v>36.2952954402089</c:v>
                </c:pt>
                <c:pt idx="83">
                  <c:v>36.2034686711068</c:v>
                </c:pt>
                <c:pt idx="84">
                  <c:v>36.1134687551876</c:v>
                </c:pt>
                <c:pt idx="85">
                  <c:v>36.0252468226021</c:v>
                </c:pt>
                <c:pt idx="86">
                  <c:v>35.9387548890616</c:v>
                </c:pt>
                <c:pt idx="87">
                  <c:v>35.8539458958826</c:v>
                </c:pt>
                <c:pt idx="88">
                  <c:v>35.7707737414074</c:v>
                </c:pt>
                <c:pt idx="89">
                  <c:v>35.6891933049054</c:v>
                </c:pt>
                <c:pt idx="90">
                  <c:v>35.6091604639226</c:v>
                </c:pt>
                <c:pt idx="91">
                  <c:v>35.5306321059328</c:v>
                </c:pt>
                <c:pt idx="92">
                  <c:v>35.4535661350416</c:v>
                </c:pt>
                <c:pt idx="93">
                  <c:v>35.3779214744026</c:v>
                </c:pt>
                <c:pt idx="94">
                  <c:v>35.3036580649282</c:v>
                </c:pt>
                <c:pt idx="95">
                  <c:v>35.2307368608071</c:v>
                </c:pt>
                <c:pt idx="96">
                  <c:v>35.1591198222782</c:v>
                </c:pt>
                <c:pt idx="97">
                  <c:v>35.088769906059</c:v>
                </c:pt>
                <c:pt idx="98">
                  <c:v>35.0196510537775</c:v>
                </c:pt>
                <c:pt idx="99">
                  <c:v>34.9517281787142</c:v>
                </c:pt>
                <c:pt idx="100">
                  <c:v>34.8849671511269</c:v>
                </c:pt>
                <c:pt idx="101">
                  <c:v>34.8193347823951</c:v>
                </c:pt>
                <c:pt idx="102">
                  <c:v>34.7547988081927</c:v>
                </c:pt>
                <c:pt idx="103">
                  <c:v>34.6913278708757</c:v>
                </c:pt>
                <c:pt idx="104">
                  <c:v>34.6288915012438</c:v>
                </c:pt>
                <c:pt idx="105">
                  <c:v>34.5674600998195</c:v>
                </c:pt>
                <c:pt idx="106">
                  <c:v>34.5070049177679</c:v>
                </c:pt>
                <c:pt idx="107">
                  <c:v>34.4474980375675</c:v>
                </c:pt>
                <c:pt idx="108">
                  <c:v>34.388912353525</c:v>
                </c:pt>
                <c:pt idx="109">
                  <c:v>34.3312215522193</c:v>
                </c:pt>
                <c:pt idx="110">
                  <c:v>34.2744000929453</c:v>
                </c:pt>
                <c:pt idx="111">
                  <c:v>34.2184231882207</c:v>
                </c:pt>
                <c:pt idx="112">
                  <c:v>34.1632667844103</c:v>
                </c:pt>
                <c:pt idx="113">
                  <c:v>34.1089075425137</c:v>
                </c:pt>
                <c:pt idx="114">
                  <c:v>34.0553228191581</c:v>
                </c:pt>
                <c:pt idx="115">
                  <c:v>34.0024906478281</c:v>
                </c:pt>
                <c:pt idx="116">
                  <c:v>33.9503897203639</c:v>
                </c:pt>
                <c:pt idx="117">
                  <c:v>33.8989993687509</c:v>
                </c:pt>
                <c:pt idx="118">
                  <c:v>33.8482995472209</c:v>
                </c:pt>
                <c:pt idx="119">
                  <c:v>33.7982708146835</c:v>
                </c:pt>
                <c:pt idx="120">
                  <c:v>33.7488943174987</c:v>
                </c:pt>
                <c:pt idx="121">
                  <c:v>33.7001517726031</c:v>
                </c:pt>
                <c:pt idx="122">
                  <c:v>33.6520254509978</c:v>
                </c:pt>
                <c:pt idx="123">
                  <c:v>33.6044981616035</c:v>
                </c:pt>
                <c:pt idx="124">
                  <c:v>33.5575532354877</c:v>
                </c:pt>
                <c:pt idx="125">
                  <c:v>33.5111745104656</c:v>
                </c:pt>
                <c:pt idx="126">
                  <c:v>33.4653463160761</c:v>
                </c:pt>
                <c:pt idx="127">
                  <c:v>33.4200534589333</c:v>
                </c:pt>
                <c:pt idx="128">
                  <c:v>33.3752812084504</c:v>
                </c:pt>
                <c:pt idx="129">
                  <c:v>33.3310152829351</c:v>
                </c:pt>
                <c:pt idx="130">
                  <c:v>33.2872418360524</c:v>
                </c:pt>
                <c:pt idx="131">
                  <c:v>33.2439474436513</c:v>
                </c:pt>
                <c:pt idx="132">
                  <c:v>33.2011190909497</c:v>
                </c:pt>
                <c:pt idx="133">
                  <c:v>33.1587441600741</c:v>
                </c:pt>
                <c:pt idx="134">
                  <c:v>33.1168104179463</c:v>
                </c:pt>
                <c:pt idx="135">
                  <c:v>33.0753060045133</c:v>
                </c:pt>
                <c:pt idx="136">
                  <c:v>33.0342194213119</c:v>
                </c:pt>
                <c:pt idx="137">
                  <c:v>32.9935395203634</c:v>
                </c:pt>
                <c:pt idx="138">
                  <c:v>32.9532554933901</c:v>
                </c:pt>
                <c:pt idx="139">
                  <c:v>32.9133568613474</c:v>
                </c:pt>
                <c:pt idx="140">
                  <c:v>32.8738334642644</c:v>
                </c:pt>
                <c:pt idx="141">
                  <c:v>32.8346754513859</c:v>
                </c:pt>
                <c:pt idx="142">
                  <c:v>32.7958732716076</c:v>
                </c:pt>
                <c:pt idx="143">
                  <c:v>32.7574176641997</c:v>
                </c:pt>
                <c:pt idx="144">
                  <c:v>32.7192996498085</c:v>
                </c:pt>
                <c:pt idx="145">
                  <c:v>32.6815105217316</c:v>
                </c:pt>
                <c:pt idx="146">
                  <c:v>32.6440418374581</c:v>
                </c:pt>
                <c:pt idx="147">
                  <c:v>32.606885410467</c:v>
                </c:pt>
                <c:pt idx="148">
                  <c:v>32.5700333022772</c:v>
                </c:pt>
                <c:pt idx="149">
                  <c:v>32.5334778147413</c:v>
                </c:pt>
                <c:pt idx="150">
                  <c:v>32.4972114825777</c:v>
                </c:pt>
                <c:pt idx="151">
                  <c:v>32.4612270661333</c:v>
                </c:pt>
                <c:pt idx="152">
                  <c:v>32.4255175443702</c:v>
                </c:pt>
                <c:pt idx="153">
                  <c:v>32.3900761080708</c:v>
                </c:pt>
                <c:pt idx="154">
                  <c:v>32.3548961532539</c:v>
                </c:pt>
                <c:pt idx="155">
                  <c:v>32.3199712747966</c:v>
                </c:pt>
                <c:pt idx="156">
                  <c:v>32.285295260255</c:v>
                </c:pt>
                <c:pt idx="157">
                  <c:v>32.2508620838787</c:v>
                </c:pt>
                <c:pt idx="158">
                  <c:v>32.216665900812</c:v>
                </c:pt>
                <c:pt idx="159">
                  <c:v>32.1827010414778</c:v>
                </c:pt>
                <c:pt idx="160">
                  <c:v>32.1489620061375</c:v>
                </c:pt>
                <c:pt idx="161">
                  <c:v>32.1154434596217</c:v>
                </c:pt>
                <c:pt idx="162">
                  <c:v>32.0821402262267</c:v>
                </c:pt>
                <c:pt idx="163">
                  <c:v>32.0490472847715</c:v>
                </c:pt>
                <c:pt idx="164">
                  <c:v>32.016159763811</c:v>
                </c:pt>
                <c:pt idx="165">
                  <c:v>31.983472936999</c:v>
                </c:pt>
                <c:pt idx="166">
                  <c:v>31.9509822185981</c:v>
                </c:pt>
                <c:pt idx="167">
                  <c:v>31.9186831591309</c:v>
                </c:pt>
                <c:pt idx="168">
                  <c:v>31.886571441168</c:v>
                </c:pt>
                <c:pt idx="169">
                  <c:v>31.8546428752494</c:v>
                </c:pt>
                <c:pt idx="170">
                  <c:v>31.8228933959338</c:v>
                </c:pt>
                <c:pt idx="171">
                  <c:v>31.791319057973</c:v>
                </c:pt>
                <c:pt idx="172">
                  <c:v>31.7599160326065</c:v>
                </c:pt>
                <c:pt idx="173">
                  <c:v>31.7286806039732</c:v>
                </c:pt>
                <c:pt idx="174">
                  <c:v>31.6976091656358</c:v>
                </c:pt>
                <c:pt idx="175">
                  <c:v>31.6666982172151</c:v>
                </c:pt>
                <c:pt idx="176">
                  <c:v>31.6359443611299</c:v>
                </c:pt>
                <c:pt idx="177">
                  <c:v>31.6053442994394</c:v>
                </c:pt>
                <c:pt idx="178">
                  <c:v>31.5748948307859</c:v>
                </c:pt>
                <c:pt idx="179">
                  <c:v>31.5445928474323</c:v>
                </c:pt>
                <c:pt idx="180">
                  <c:v>31.5144353323934</c:v>
                </c:pt>
                <c:pt idx="181">
                  <c:v>31.4844193566575</c:v>
                </c:pt>
                <c:pt idx="182">
                  <c:v>31.4545420764949</c:v>
                </c:pt>
                <c:pt idx="183">
                  <c:v>31.4248007308506</c:v>
                </c:pt>
                <c:pt idx="184">
                  <c:v>31.3951926388195</c:v>
                </c:pt>
                <c:pt idx="185">
                  <c:v>31.3657151971995</c:v>
                </c:pt>
                <c:pt idx="186">
                  <c:v>31.336365878123</c:v>
                </c:pt>
                <c:pt idx="187">
                  <c:v>31.3071422267602</c:v>
                </c:pt>
                <c:pt idx="188">
                  <c:v>31.2780418590963</c:v>
                </c:pt>
                <c:pt idx="189">
                  <c:v>31.2490624597769</c:v>
                </c:pt>
                <c:pt idx="190">
                  <c:v>31.220201780021</c:v>
                </c:pt>
                <c:pt idx="191">
                  <c:v>31.1914576355989</c:v>
                </c:pt>
                <c:pt idx="192">
                  <c:v>31.1628279048734</c:v>
                </c:pt>
                <c:pt idx="193">
                  <c:v>31.134310526902</c:v>
                </c:pt>
                <c:pt idx="194">
                  <c:v>31.1059034995976</c:v>
                </c:pt>
                <c:pt idx="195">
                  <c:v>31.0776048779467</c:v>
                </c:pt>
                <c:pt idx="196">
                  <c:v>31.0494127722834</c:v>
                </c:pt>
                <c:pt idx="197">
                  <c:v>31.0213253466159</c:v>
                </c:pt>
                <c:pt idx="198">
                  <c:v>30.9933408170056</c:v>
                </c:pt>
                <c:pt idx="199">
                  <c:v>30.9654574499965</c:v>
                </c:pt>
                <c:pt idx="200">
                  <c:v>30.9376735610923</c:v>
                </c:pt>
                <c:pt idx="201">
                  <c:v>30.9099875132819</c:v>
                </c:pt>
                <c:pt idx="202">
                  <c:v>30.8823977156088</c:v>
                </c:pt>
                <c:pt idx="203">
                  <c:v>30.8549026217864</c:v>
                </c:pt>
                <c:pt idx="204">
                  <c:v>30.8275007288545</c:v>
                </c:pt>
                <c:pt idx="205">
                  <c:v>30.800190575878</c:v>
                </c:pt>
                <c:pt idx="206">
                  <c:v>30.7729707426852</c:v>
                </c:pt>
                <c:pt idx="207">
                  <c:v>30.7458398486451</c:v>
                </c:pt>
                <c:pt idx="208">
                  <c:v>30.7187965514824</c:v>
                </c:pt>
                <c:pt idx="209">
                  <c:v>30.6918395461283</c:v>
                </c:pt>
                <c:pt idx="210">
                  <c:v>30.6649675636073</c:v>
                </c:pt>
                <c:pt idx="211">
                  <c:v>30.6381793699571</c:v>
                </c:pt>
                <c:pt idx="212">
                  <c:v>30.6114737651824</c:v>
                </c:pt>
                <c:pt idx="213">
                  <c:v>30.5848495822403</c:v>
                </c:pt>
                <c:pt idx="214">
                  <c:v>30.5583056860567</c:v>
                </c:pt>
                <c:pt idx="215">
                  <c:v>30.5318409725727</c:v>
                </c:pt>
                <c:pt idx="216">
                  <c:v>30.5054543678201</c:v>
                </c:pt>
                <c:pt idx="217">
                  <c:v>30.479144827025</c:v>
                </c:pt>
                <c:pt idx="218">
                  <c:v>30.4529113337387</c:v>
                </c:pt>
                <c:pt idx="219">
                  <c:v>30.4267528989951</c:v>
                </c:pt>
                <c:pt idx="220">
                  <c:v>30.4006685604936</c:v>
                </c:pt>
                <c:pt idx="221">
                  <c:v>30.3746573818065</c:v>
                </c:pt>
                <c:pt idx="222">
                  <c:v>30.3487184516111</c:v>
                </c:pt>
                <c:pt idx="223">
                  <c:v>30.3228508829444</c:v>
                </c:pt>
                <c:pt idx="224">
                  <c:v>30.2970538124807</c:v>
                </c:pt>
                <c:pt idx="225">
                  <c:v>30.2713263998312</c:v>
                </c:pt>
                <c:pt idx="226">
                  <c:v>30.0177136664234</c:v>
                </c:pt>
                <c:pt idx="227">
                  <c:v>29.7702888674075</c:v>
                </c:pt>
                <c:pt idx="228">
                  <c:v>29.5285005779466</c:v>
                </c:pt>
                <c:pt idx="229">
                  <c:v>29.29191794863</c:v>
                </c:pt>
                <c:pt idx="230">
                  <c:v>29.0601997312233</c:v>
                </c:pt>
                <c:pt idx="231">
                  <c:v>28.8330713474329</c:v>
                </c:pt>
                <c:pt idx="232">
                  <c:v>28.6103078928698</c:v>
                </c:pt>
                <c:pt idx="233">
                  <c:v>28.3917215316332</c:v>
                </c:pt>
                <c:pt idx="234">
                  <c:v>28.1771521456275</c:v>
                </c:pt>
                <c:pt idx="235">
                  <c:v>27.9664604005749</c:v>
                </c:pt>
                <c:pt idx="236">
                  <c:v>27.7595226086325</c:v>
                </c:pt>
                <c:pt idx="237">
                  <c:v>27.5562269276282</c:v>
                </c:pt>
                <c:pt idx="238">
                  <c:v>27.3564705549528</c:v>
                </c:pt>
                <c:pt idx="239">
                  <c:v>27.160157661434</c:v>
                </c:pt>
                <c:pt idx="240">
                  <c:v>26.9671978752542</c:v>
                </c:pt>
                <c:pt idx="241">
                  <c:v>26.7775051741136</c:v>
                </c:pt>
                <c:pt idx="242">
                  <c:v>26.5909970797162</c:v>
                </c:pt>
                <c:pt idx="243">
                  <c:v>26.4075940754416</c:v>
                </c:pt>
                <c:pt idx="244">
                  <c:v>26.2272191881011</c:v>
                </c:pt>
                <c:pt idx="245">
                  <c:v>26.0497976896744</c:v>
                </c:pt>
                <c:pt idx="246">
                  <c:v>25.8752568861685</c:v>
                </c:pt>
                <c:pt idx="247">
                  <c:v>25.7035259691715</c:v>
                </c:pt>
                <c:pt idx="248">
                  <c:v>25.5345359119966</c:v>
                </c:pt>
                <c:pt idx="249">
                  <c:v>25.3682193970541</c:v>
                </c:pt>
                <c:pt idx="250">
                  <c:v>25.2045107646427</c:v>
                </c:pt>
                <c:pt idx="251">
                  <c:v>25.0433459760103</c:v>
                </c:pt>
                <c:pt idx="252">
                  <c:v>24.8846625855186</c:v>
                </c:pt>
                <c:pt idx="253">
                  <c:v>24.7283997182272</c:v>
                </c:pt>
                <c:pt idx="254">
                  <c:v>24.5744980503101</c:v>
                </c:pt>
                <c:pt idx="255">
                  <c:v>24.4228997905275</c:v>
                </c:pt>
                <c:pt idx="256">
                  <c:v>24.2735486615727</c:v>
                </c:pt>
                <c:pt idx="257">
                  <c:v>24.1263898805474</c:v>
                </c:pt>
                <c:pt idx="258">
                  <c:v>23.9813701381295</c:v>
                </c:pt>
                <c:pt idx="259">
                  <c:v>23.838437576222</c:v>
                </c:pt>
                <c:pt idx="260">
                  <c:v>23.697541764026</c:v>
                </c:pt>
                <c:pt idx="261">
                  <c:v>23.5586336725839</c:v>
                </c:pt>
                <c:pt idx="262">
                  <c:v>23.4216656479106</c:v>
                </c:pt>
                <c:pt idx="263">
                  <c:v>23.2865913828699</c:v>
                </c:pt>
                <c:pt idx="264">
                  <c:v>23.1533658879781</c:v>
                </c:pt>
                <c:pt idx="265">
                  <c:v>23.0219454613243</c:v>
                </c:pt>
                <c:pt idx="266">
                  <c:v>22.892287657798</c:v>
                </c:pt>
                <c:pt idx="267">
                  <c:v>22.7643512578065</c:v>
                </c:pt>
                <c:pt idx="268">
                  <c:v>22.6380962356544</c:v>
                </c:pt>
                <c:pt idx="269">
                  <c:v>22.5134837277454</c:v>
                </c:pt>
                <c:pt idx="270">
                  <c:v>22.390476000749</c:v>
                </c:pt>
                <c:pt idx="271">
                  <c:v>22.269036419863</c:v>
                </c:pt>
                <c:pt idx="272">
                  <c:v>22.149129417284</c:v>
                </c:pt>
                <c:pt idx="273">
                  <c:v>22.0307204609886</c:v>
                </c:pt>
                <c:pt idx="274">
                  <c:v>21.9137760239089</c:v>
                </c:pt>
                <c:pt idx="275">
                  <c:v>21.7982635535771</c:v>
                </c:pt>
                <c:pt idx="276">
                  <c:v>21.6841514423015</c:v>
                </c:pt>
                <c:pt idx="277">
                  <c:v>21.571408997924</c:v>
                </c:pt>
                <c:pt idx="278">
                  <c:v>21.4600064152018</c:v>
                </c:pt>
                <c:pt idx="279">
                  <c:v>21.3499147478469</c:v>
                </c:pt>
                <c:pt idx="280">
                  <c:v>21.241105881247</c:v>
                </c:pt>
                <c:pt idx="281">
                  <c:v>21.1335525058892</c:v>
                </c:pt>
                <c:pt idx="282">
                  <c:v>21.0272280914978</c:v>
                </c:pt>
                <c:pt idx="283">
                  <c:v>20.9221068618947</c:v>
                </c:pt>
                <c:pt idx="284">
                  <c:v>20.8181637705851</c:v>
                </c:pt>
                <c:pt idx="285">
                  <c:v>20.7153744770692</c:v>
                </c:pt>
                <c:pt idx="286">
                  <c:v>20.6137153238745</c:v>
                </c:pt>
                <c:pt idx="287">
                  <c:v>20.513163314304</c:v>
                </c:pt>
                <c:pt idx="288">
                  <c:v>20.4136960908892</c:v>
                </c:pt>
                <c:pt idx="289">
                  <c:v>20.3152919145388</c:v>
                </c:pt>
                <c:pt idx="290">
                  <c:v>20.2179296443693</c:v>
                </c:pt>
                <c:pt idx="291">
                  <c:v>20.1215887182049</c:v>
                </c:pt>
                <c:pt idx="292">
                  <c:v>20.0262491337295</c:v>
                </c:pt>
                <c:pt idx="293">
                  <c:v>19.9318914302781</c:v>
                </c:pt>
                <c:pt idx="294">
                  <c:v>19.838496671248</c:v>
                </c:pt>
                <c:pt idx="295">
                  <c:v>19.7460464271159</c:v>
                </c:pt>
                <c:pt idx="296">
                  <c:v>19.6545227590412</c:v>
                </c:pt>
                <c:pt idx="297">
                  <c:v>19.5639082030396</c:v>
                </c:pt>
                <c:pt idx="298">
                  <c:v>19.4741857547099</c:v>
                </c:pt>
                <c:pt idx="299">
                  <c:v>19.3853388544955</c:v>
                </c:pt>
                <c:pt idx="300">
                  <c:v>19.2973513734638</c:v>
                </c:pt>
                <c:pt idx="301">
                  <c:v>19.2102075995871</c:v>
                </c:pt>
                <c:pt idx="302">
                  <c:v>19.1238922245078</c:v>
                </c:pt>
                <c:pt idx="303">
                  <c:v>19.0383903307707</c:v>
                </c:pt>
                <c:pt idx="304">
                  <c:v>18.9536873795074</c:v>
                </c:pt>
                <c:pt idx="305">
                  <c:v>18.869769198556</c:v>
                </c:pt>
                <c:pt idx="306">
                  <c:v>18.7866219710019</c:v>
                </c:pt>
                <c:pt idx="307">
                  <c:v>18.7042322241227</c:v>
                </c:pt>
                <c:pt idx="308">
                  <c:v>18.6225868187246</c:v>
                </c:pt>
                <c:pt idx="309">
                  <c:v>18.5416729388548</c:v>
                </c:pt>
                <c:pt idx="310">
                  <c:v>18.4614780818769</c:v>
                </c:pt>
                <c:pt idx="311">
                  <c:v>18.3819900488949</c:v>
                </c:pt>
                <c:pt idx="312">
                  <c:v>18.3031969355143</c:v>
                </c:pt>
                <c:pt idx="313">
                  <c:v>18.2250871229268</c:v>
                </c:pt>
                <c:pt idx="314">
                  <c:v>18.1476492693066</c:v>
                </c:pt>
                <c:pt idx="315">
                  <c:v>18.070872301507</c:v>
                </c:pt>
                <c:pt idx="316">
                  <c:v>17.994745407046</c:v>
                </c:pt>
                <c:pt idx="317">
                  <c:v>17.9192580263697</c:v>
                </c:pt>
                <c:pt idx="318">
                  <c:v>17.8443998453838</c:v>
                </c:pt>
                <c:pt idx="319">
                  <c:v>17.7701607882416</c:v>
                </c:pt>
                <c:pt idx="320">
                  <c:v>17.6965310103813</c:v>
                </c:pt>
                <c:pt idx="321">
                  <c:v>17.6235008918006</c:v>
                </c:pt>
                <c:pt idx="322">
                  <c:v>17.5510610305613</c:v>
                </c:pt>
                <c:pt idx="323">
                  <c:v>17.479202236515</c:v>
                </c:pt>
                <c:pt idx="324">
                  <c:v>17.4079155252409</c:v>
                </c:pt>
                <c:pt idx="325">
                  <c:v>17.3371921121888</c:v>
                </c:pt>
                <c:pt idx="326">
                  <c:v>17.2670234070186</c:v>
                </c:pt>
                <c:pt idx="327">
                  <c:v>17.1974010081297</c:v>
                </c:pt>
                <c:pt idx="328">
                  <c:v>17.1283166973722</c:v>
                </c:pt>
                <c:pt idx="329">
                  <c:v>17.059762434935</c:v>
                </c:pt>
                <c:pt idx="330">
                  <c:v>16.9917303544018</c:v>
                </c:pt>
                <c:pt idx="331">
                  <c:v>16.9242127579708</c:v>
                </c:pt>
                <c:pt idx="332">
                  <c:v>16.8572021118304</c:v>
                </c:pt>
                <c:pt idx="333">
                  <c:v>16.790691041687</c:v>
                </c:pt>
                <c:pt idx="334">
                  <c:v>16.7246723284372</c:v>
                </c:pt>
                <c:pt idx="335">
                  <c:v>16.6591389039805</c:v>
                </c:pt>
                <c:pt idx="336">
                  <c:v>16.5940838471673</c:v>
                </c:pt>
                <c:pt idx="337">
                  <c:v>16.5295003798763</c:v>
                </c:pt>
                <c:pt idx="338">
                  <c:v>16.4653818632178</c:v>
                </c:pt>
                <c:pt idx="339">
                  <c:v>16.4017217938569</c:v>
                </c:pt>
                <c:pt idx="340">
                  <c:v>16.3385138004543</c:v>
                </c:pt>
                <c:pt idx="341">
                  <c:v>16.2757516402176</c:v>
                </c:pt>
                <c:pt idx="342">
                  <c:v>16.2134291955626</c:v>
                </c:pt>
                <c:pt idx="343">
                  <c:v>16.1515404708774</c:v>
                </c:pt>
                <c:pt idx="344">
                  <c:v>16.0900795893874</c:v>
                </c:pt>
                <c:pt idx="345">
                  <c:v>16.0290407901177</c:v>
                </c:pt>
                <c:pt idx="346">
                  <c:v>15.9684184249486</c:v>
                </c:pt>
                <c:pt idx="347">
                  <c:v>15.9082069557612</c:v>
                </c:pt>
                <c:pt idx="348">
                  <c:v>15.8484009516705</c:v>
                </c:pt>
                <c:pt idx="349">
                  <c:v>15.7889950863417</c:v>
                </c:pt>
                <c:pt idx="350">
                  <c:v>15.7299841353887</c:v>
                </c:pt>
                <c:pt idx="351">
                  <c:v>15.6713629738495</c:v>
                </c:pt>
                <c:pt idx="352">
                  <c:v>15.6131265737383</c:v>
                </c:pt>
                <c:pt idx="353">
                  <c:v>15.5552700016697</c:v>
                </c:pt>
                <c:pt idx="354">
                  <c:v>15.4977884165534</c:v>
                </c:pt>
                <c:pt idx="355">
                  <c:v>15.4406770673575</c:v>
                </c:pt>
                <c:pt idx="356">
                  <c:v>15.3839312909366</c:v>
                </c:pt>
                <c:pt idx="357">
                  <c:v>15.3275465099242</c:v>
                </c:pt>
                <c:pt idx="358">
                  <c:v>15.2715182306855</c:v>
                </c:pt>
                <c:pt idx="359">
                  <c:v>15.2158420413304</c:v>
                </c:pt>
                <c:pt idx="360">
                  <c:v>15.1605136097826</c:v>
                </c:pt>
                <c:pt idx="361">
                  <c:v>15.1055286819054</c:v>
                </c:pt>
                <c:pt idx="362">
                  <c:v>15.0508830796795</c:v>
                </c:pt>
                <c:pt idx="363">
                  <c:v>14.996572699434</c:v>
                </c:pt>
                <c:pt idx="364">
                  <c:v>14.9425935101261</c:v>
                </c:pt>
                <c:pt idx="365">
                  <c:v>14.8889415516699</c:v>
                </c:pt>
                <c:pt idx="366">
                  <c:v>14.8356129333122</c:v>
                </c:pt>
                <c:pt idx="367">
                  <c:v>14.7826038320525</c:v>
                </c:pt>
                <c:pt idx="368">
                  <c:v>14.7299104911081</c:v>
                </c:pt>
                <c:pt idx="369">
                  <c:v>14.6775292184206</c:v>
                </c:pt>
                <c:pt idx="370">
                  <c:v>14.625456385204</c:v>
                </c:pt>
                <c:pt idx="371">
                  <c:v>14.573688424532</c:v>
                </c:pt>
                <c:pt idx="372">
                  <c:v>14.5222218299643</c:v>
                </c:pt>
                <c:pt idx="373">
                  <c:v>14.4710531542095</c:v>
                </c:pt>
                <c:pt idx="374">
                  <c:v>14.4201790078249</c:v>
                </c:pt>
                <c:pt idx="375">
                  <c:v>14.3695960579499</c:v>
                </c:pt>
                <c:pt idx="376">
                  <c:v>14.3193010270745</c:v>
                </c:pt>
                <c:pt idx="377">
                  <c:v>14.2692906918401</c:v>
                </c:pt>
                <c:pt idx="378">
                  <c:v>14.2195618818714</c:v>
                </c:pt>
                <c:pt idx="379">
                  <c:v>14.1701114786402</c:v>
                </c:pt>
                <c:pt idx="380">
                  <c:v>14.120936414358</c:v>
                </c:pt>
                <c:pt idx="381">
                  <c:v>14.0720336708983</c:v>
                </c:pt>
                <c:pt idx="382">
                  <c:v>14.0234002787461</c:v>
                </c:pt>
                <c:pt idx="383">
                  <c:v>13.9750333159751</c:v>
                </c:pt>
                <c:pt idx="384">
                  <c:v>13.9269299072512</c:v>
                </c:pt>
                <c:pt idx="385">
                  <c:v>13.8790872228613</c:v>
                </c:pt>
                <c:pt idx="386">
                  <c:v>13.8315024777674</c:v>
                </c:pt>
                <c:pt idx="387">
                  <c:v>13.7841729306835</c:v>
                </c:pt>
                <c:pt idx="388">
                  <c:v>13.7370958831774</c:v>
                </c:pt>
                <c:pt idx="389">
                  <c:v>13.6902686787942</c:v>
                </c:pt>
                <c:pt idx="390">
                  <c:v>13.6436887022017</c:v>
                </c:pt>
                <c:pt idx="391">
                  <c:v>13.5973533783575</c:v>
                </c:pt>
                <c:pt idx="392">
                  <c:v>13.5512601716965</c:v>
                </c:pt>
                <c:pt idx="393">
                  <c:v>13.5054065853388</c:v>
                </c:pt>
                <c:pt idx="394">
                  <c:v>13.4597901603168</c:v>
                </c:pt>
                <c:pt idx="395">
                  <c:v>13.414408474821</c:v>
                </c:pt>
                <c:pt idx="396">
                  <c:v>13.369259143465</c:v>
                </c:pt>
                <c:pt idx="397">
                  <c:v>13.3243398165677</c:v>
                </c:pt>
                <c:pt idx="398">
                  <c:v>13.2796481794528</c:v>
                </c:pt>
                <c:pt idx="399">
                  <c:v>13.2351819517658</c:v>
                </c:pt>
                <c:pt idx="400">
                  <c:v>13.1909388868064</c:v>
                </c:pt>
                <c:pt idx="401">
                  <c:v>13.146916770878</c:v>
                </c:pt>
                <c:pt idx="402">
                  <c:v>13.1031134226516</c:v>
                </c:pt>
                <c:pt idx="403">
                  <c:v>13.0595266925453</c:v>
                </c:pt>
                <c:pt idx="404">
                  <c:v>13.0161544621183</c:v>
                </c:pt>
                <c:pt idx="405">
                  <c:v>12.9729946434793</c:v>
                </c:pt>
                <c:pt idx="406">
                  <c:v>12.9300451787081</c:v>
                </c:pt>
                <c:pt idx="407">
                  <c:v>12.8873040392916</c:v>
                </c:pt>
                <c:pt idx="408">
                  <c:v>12.8447692255719</c:v>
                </c:pt>
                <c:pt idx="409">
                  <c:v>12.8024387662078</c:v>
                </c:pt>
                <c:pt idx="410">
                  <c:v>12.7603107176484</c:v>
                </c:pt>
                <c:pt idx="411">
                  <c:v>12.7183831636186</c:v>
                </c:pt>
                <c:pt idx="412">
                  <c:v>12.6766542146168</c:v>
                </c:pt>
                <c:pt idx="413">
                  <c:v>12.6351220074234</c:v>
                </c:pt>
                <c:pt idx="414">
                  <c:v>12.5937847046206</c:v>
                </c:pt>
                <c:pt idx="415">
                  <c:v>12.5526404941232</c:v>
                </c:pt>
                <c:pt idx="416">
                  <c:v>12.5116875887199</c:v>
                </c:pt>
                <c:pt idx="417">
                  <c:v>12.4709242256243</c:v>
                </c:pt>
                <c:pt idx="418">
                  <c:v>12.4303486660367</c:v>
                </c:pt>
                <c:pt idx="419">
                  <c:v>12.3899591947146</c:v>
                </c:pt>
                <c:pt idx="420">
                  <c:v>12.3497541195539</c:v>
                </c:pt>
                <c:pt idx="421">
                  <c:v>12.3097317711778</c:v>
                </c:pt>
                <c:pt idx="422">
                  <c:v>12.2698905025362</c:v>
                </c:pt>
                <c:pt idx="423">
                  <c:v>12.2302286885125</c:v>
                </c:pt>
                <c:pt idx="424">
                  <c:v>12.1907447255401</c:v>
                </c:pt>
                <c:pt idx="425">
                  <c:v>12.1514370312258</c:v>
                </c:pt>
                <c:pt idx="426">
                  <c:v>12.1123040439829</c:v>
                </c:pt>
                <c:pt idx="427">
                  <c:v>12.0733442226707</c:v>
                </c:pt>
                <c:pt idx="428">
                  <c:v>12.0345560462425</c:v>
                </c:pt>
                <c:pt idx="429">
                  <c:v>11.9959380134012</c:v>
                </c:pt>
                <c:pt idx="430">
                  <c:v>11.9574886422614</c:v>
                </c:pt>
                <c:pt idx="431">
                  <c:v>11.9192064700194</c:v>
                </c:pt>
                <c:pt idx="432">
                  <c:v>11.8810900526295</c:v>
                </c:pt>
                <c:pt idx="433">
                  <c:v>11.8431379644878</c:v>
                </c:pt>
                <c:pt idx="434">
                  <c:v>11.8053487981221</c:v>
                </c:pt>
                <c:pt idx="435">
                  <c:v>11.7677211638877</c:v>
                </c:pt>
                <c:pt idx="436">
                  <c:v>11.730253689671</c:v>
                </c:pt>
                <c:pt idx="437">
                  <c:v>11.6929450205976</c:v>
                </c:pt>
                <c:pt idx="438">
                  <c:v>11.6557938187474</c:v>
                </c:pt>
                <c:pt idx="439">
                  <c:v>11.6187987628749</c:v>
                </c:pt>
                <c:pt idx="440">
                  <c:v>11.5819585481357</c:v>
                </c:pt>
                <c:pt idx="441">
                  <c:v>11.5452718858185</c:v>
                </c:pt>
                <c:pt idx="442">
                  <c:v>11.5087375030818</c:v>
                </c:pt>
                <c:pt idx="443">
                  <c:v>11.4723541426968</c:v>
                </c:pt>
                <c:pt idx="444">
                  <c:v>11.436120562795</c:v>
                </c:pt>
                <c:pt idx="445">
                  <c:v>11.4000355366209</c:v>
                </c:pt>
                <c:pt idx="446">
                  <c:v>11.3640978522896</c:v>
                </c:pt>
                <c:pt idx="447">
                  <c:v>11.3283063125492</c:v>
                </c:pt>
                <c:pt idx="448">
                  <c:v>11.292659734548</c:v>
                </c:pt>
                <c:pt idx="449">
                  <c:v>11.2571569496061</c:v>
                </c:pt>
                <c:pt idx="450">
                  <c:v>11.2217968029918</c:v>
                </c:pt>
                <c:pt idx="451">
                  <c:v>11.1865781537017</c:v>
                </c:pt>
                <c:pt idx="452">
                  <c:v>11.1514998742459</c:v>
                </c:pt>
                <c:pt idx="453">
                  <c:v>11.1165608504368</c:v>
                </c:pt>
                <c:pt idx="454">
                  <c:v>11.0817599811821</c:v>
                </c:pt>
                <c:pt idx="455">
                  <c:v>11.0470961782819</c:v>
                </c:pt>
                <c:pt idx="456">
                  <c:v>11.0125683662298</c:v>
                </c:pt>
                <c:pt idx="457">
                  <c:v>10.9781754820171</c:v>
                </c:pt>
                <c:pt idx="458">
                  <c:v>10.9439164749418</c:v>
                </c:pt>
                <c:pt idx="459">
                  <c:v>10.9097903064202</c:v>
                </c:pt>
                <c:pt idx="460">
                  <c:v>10.8757959498027</c:v>
                </c:pt>
                <c:pt idx="461">
                  <c:v>10.8419323901931</c:v>
                </c:pt>
                <c:pt idx="462">
                  <c:v>10.8081986242706</c:v>
                </c:pt>
                <c:pt idx="463">
                  <c:v>10.7745936601159</c:v>
                </c:pt>
                <c:pt idx="464">
                  <c:v>10.7411165170402</c:v>
                </c:pt>
                <c:pt idx="465">
                  <c:v>10.7077662254174</c:v>
                </c:pt>
                <c:pt idx="466">
                  <c:v>10.6745418265191</c:v>
                </c:pt>
                <c:pt idx="467">
                  <c:v>10.6414423723534</c:v>
                </c:pt>
                <c:pt idx="468">
                  <c:v>10.6084669255059</c:v>
                </c:pt>
                <c:pt idx="469">
                  <c:v>10.5756145589841</c:v>
                </c:pt>
                <c:pt idx="470">
                  <c:v>10.5428843560641</c:v>
                </c:pt>
                <c:pt idx="471">
                  <c:v>10.510275410141</c:v>
                </c:pt>
                <c:pt idx="472">
                  <c:v>10.4777868245806</c:v>
                </c:pt>
                <c:pt idx="473">
                  <c:v>10.4454177125755</c:v>
                </c:pt>
                <c:pt idx="474">
                  <c:v>10.4131671970023</c:v>
                </c:pt>
                <c:pt idx="475">
                  <c:v>10.3810344102821</c:v>
                </c:pt>
                <c:pt idx="476">
                  <c:v>10.3490184942435</c:v>
                </c:pt>
                <c:pt idx="477">
                  <c:v>10.3171185999877</c:v>
                </c:pt>
                <c:pt idx="478">
                  <c:v>10.285333887756</c:v>
                </c:pt>
                <c:pt idx="479">
                  <c:v>10.2536635268005</c:v>
                </c:pt>
                <c:pt idx="480">
                  <c:v>10.2221066952554</c:v>
                </c:pt>
                <c:pt idx="481">
                  <c:v>10.1906625800124</c:v>
                </c:pt>
                <c:pt idx="482">
                  <c:v>10.159330376597</c:v>
                </c:pt>
                <c:pt idx="483">
                  <c:v>10.1281092890474</c:v>
                </c:pt>
                <c:pt idx="484">
                  <c:v>10.0969985297956</c:v>
                </c:pt>
                <c:pt idx="485">
                  <c:v>10.0659973195504</c:v>
                </c:pt>
                <c:pt idx="486">
                  <c:v>10.0351048871825</c:v>
                </c:pt>
                <c:pt idx="487">
                  <c:v>10.0043204696114</c:v>
                </c:pt>
                <c:pt idx="488">
                  <c:v>9.97364331169465</c:v>
                </c:pt>
                <c:pt idx="489">
                  <c:v>9.94307266611839</c:v>
                </c:pt>
                <c:pt idx="490">
                  <c:v>9.9126077932903</c:v>
                </c:pt>
                <c:pt idx="491">
                  <c:v>9.88224796123412</c:v>
                </c:pt>
                <c:pt idx="492">
                  <c:v>9.85199244548595</c:v>
                </c:pt>
                <c:pt idx="493">
                  <c:v>9.82184052899236</c:v>
                </c:pt>
                <c:pt idx="494">
                  <c:v>9.79179150201018</c:v>
                </c:pt>
                <c:pt idx="495">
                  <c:v>9.76184466200798</c:v>
                </c:pt>
                <c:pt idx="496">
                  <c:v>9.7319993135692</c:v>
                </c:pt>
                <c:pt idx="497">
                  <c:v>9.70225476829688</c:v>
                </c:pt>
                <c:pt idx="498">
                  <c:v>9.67261034471997</c:v>
                </c:pt>
                <c:pt idx="499">
                  <c:v>9.64306536820122</c:v>
                </c:pt>
                <c:pt idx="500">
                  <c:v>9.61361917084654</c:v>
                </c:pt>
                <c:pt idx="501">
                  <c:v>9.58427109141589</c:v>
                </c:pt>
                <c:pt idx="502">
                  <c:v>9.55502047523563</c:v>
                </c:pt>
                <c:pt idx="503">
                  <c:v>9.52586667411223</c:v>
                </c:pt>
                <c:pt idx="504">
                  <c:v>9.49680904624752</c:v>
                </c:pt>
                <c:pt idx="505">
                  <c:v>9.46784695615517</c:v>
                </c:pt>
                <c:pt idx="506">
                  <c:v>9.43897977457865</c:v>
                </c:pt>
                <c:pt idx="507">
                  <c:v>9.41020687841039</c:v>
                </c:pt>
                <c:pt idx="508">
                  <c:v>9.38152765061234</c:v>
                </c:pt>
                <c:pt idx="509">
                  <c:v>9.35294148013776</c:v>
                </c:pt>
                <c:pt idx="510">
                  <c:v>9.32444776185425</c:v>
                </c:pt>
                <c:pt idx="511">
                  <c:v>9.29604589646804</c:v>
                </c:pt>
                <c:pt idx="512">
                  <c:v>9.26773529044946</c:v>
                </c:pt>
                <c:pt idx="513">
                  <c:v>9.23951535595956</c:v>
                </c:pt>
                <c:pt idx="514">
                  <c:v>9.21138551077797</c:v>
                </c:pt>
                <c:pt idx="515">
                  <c:v>9.18334517823182</c:v>
                </c:pt>
                <c:pt idx="516">
                  <c:v>9.15539378712579</c:v>
                </c:pt>
                <c:pt idx="517">
                  <c:v>9.12753077167329</c:v>
                </c:pt>
                <c:pt idx="518">
                  <c:v>9.09975557142865</c:v>
                </c:pt>
                <c:pt idx="519">
                  <c:v>9.07206763122048</c:v>
                </c:pt>
                <c:pt idx="520">
                  <c:v>9.04446640108588</c:v>
                </c:pt>
                <c:pt idx="521">
                  <c:v>9.01695133620584</c:v>
                </c:pt>
                <c:pt idx="522">
                  <c:v>8.98952189684155</c:v>
                </c:pt>
                <c:pt idx="523">
                  <c:v>8.96217754827171</c:v>
                </c:pt>
                <c:pt idx="524">
                  <c:v>8.93491776073077</c:v>
                </c:pt>
                <c:pt idx="525">
                  <c:v>8.90774200934817</c:v>
                </c:pt>
                <c:pt idx="526">
                  <c:v>8.88064977408845</c:v>
                </c:pt>
                <c:pt idx="527">
                  <c:v>8.85364053969231</c:v>
                </c:pt>
                <c:pt idx="528">
                  <c:v>8.8267137956185</c:v>
                </c:pt>
                <c:pt idx="529">
                  <c:v>8.79986903598668</c:v>
                </c:pt>
                <c:pt idx="530">
                  <c:v>8.77310575952108</c:v>
                </c:pt>
                <c:pt idx="531">
                  <c:v>8.74642346949499</c:v>
                </c:pt>
                <c:pt idx="532">
                  <c:v>8.71982167367611</c:v>
                </c:pt>
                <c:pt idx="533">
                  <c:v>8.69329988427274</c:v>
                </c:pt>
                <c:pt idx="534">
                  <c:v>8.66685761788069</c:v>
                </c:pt>
                <c:pt idx="535">
                  <c:v>8.64049439543109</c:v>
                </c:pt>
                <c:pt idx="536">
                  <c:v>8.61420974213885</c:v>
                </c:pt>
                <c:pt idx="537">
                  <c:v>8.58800318745195</c:v>
                </c:pt>
                <c:pt idx="538">
                  <c:v>8.56187426500151</c:v>
                </c:pt>
                <c:pt idx="539">
                  <c:v>8.53582251255247</c:v>
                </c:pt>
                <c:pt idx="540">
                  <c:v>8.50984747195514</c:v>
                </c:pt>
                <c:pt idx="541">
                  <c:v>8.48394868909732</c:v>
                </c:pt>
                <c:pt idx="542">
                  <c:v>8.45812571385723</c:v>
                </c:pt>
                <c:pt idx="543">
                  <c:v>8.43237810005703</c:v>
                </c:pt>
                <c:pt idx="544">
                  <c:v>8.40670540541709</c:v>
                </c:pt>
                <c:pt idx="545">
                  <c:v>8.38110719151084</c:v>
                </c:pt>
                <c:pt idx="546">
                  <c:v>8.35558302372032</c:v>
                </c:pt>
                <c:pt idx="547">
                  <c:v>8.3301324711924</c:v>
                </c:pt>
                <c:pt idx="548">
                  <c:v>8.30475510679551</c:v>
                </c:pt>
                <c:pt idx="549">
                  <c:v>8.27945050707712</c:v>
                </c:pt>
                <c:pt idx="550">
                  <c:v>8.25421825222173</c:v>
                </c:pt>
                <c:pt idx="551">
                  <c:v>8.22905792600951</c:v>
                </c:pt>
                <c:pt idx="552">
                  <c:v>8.20396911577546</c:v>
                </c:pt>
                <c:pt idx="553">
                  <c:v>8.17895141236925</c:v>
                </c:pt>
                <c:pt idx="554">
                  <c:v>8.15400441011552</c:v>
                </c:pt>
                <c:pt idx="555">
                  <c:v>8.12912770677477</c:v>
                </c:pt>
                <c:pt idx="556">
                  <c:v>8.10432090350485</c:v>
                </c:pt>
                <c:pt idx="557">
                  <c:v>8.07958360482291</c:v>
                </c:pt>
                <c:pt idx="558">
                  <c:v>8.0549154185679</c:v>
                </c:pt>
                <c:pt idx="559">
                  <c:v>8.03031595586365</c:v>
                </c:pt>
                <c:pt idx="560">
                  <c:v>8.00578483108236</c:v>
                </c:pt>
                <c:pt idx="561">
                  <c:v>7.98132166180867</c:v>
                </c:pt>
                <c:pt idx="562">
                  <c:v>7.95692606880419</c:v>
                </c:pt>
                <c:pt idx="563">
                  <c:v>7.93259767597254</c:v>
                </c:pt>
                <c:pt idx="564">
                  <c:v>7.90833611032483</c:v>
                </c:pt>
                <c:pt idx="565">
                  <c:v>7.88414100194567</c:v>
                </c:pt>
                <c:pt idx="566">
                  <c:v>7.86001198395956</c:v>
                </c:pt>
                <c:pt idx="567">
                  <c:v>7.83594869249782</c:v>
                </c:pt>
                <c:pt idx="568">
                  <c:v>7.81195076666592</c:v>
                </c:pt>
                <c:pt idx="569">
                  <c:v>7.78801784851126</c:v>
                </c:pt>
                <c:pt idx="570">
                  <c:v>7.76414958299138</c:v>
                </c:pt>
                <c:pt idx="571">
                  <c:v>7.7403456179426</c:v>
                </c:pt>
                <c:pt idx="572">
                  <c:v>7.7166056040491</c:v>
                </c:pt>
                <c:pt idx="573">
                  <c:v>7.69292919481239</c:v>
                </c:pt>
                <c:pt idx="574">
                  <c:v>7.66931604652116</c:v>
                </c:pt>
                <c:pt idx="575">
                  <c:v>7.64576581822161</c:v>
                </c:pt>
                <c:pt idx="576">
                  <c:v>7.62227817168808</c:v>
                </c:pt>
                <c:pt idx="577">
                  <c:v>7.59885277139417</c:v>
                </c:pt>
                <c:pt idx="578">
                  <c:v>7.57548928448411</c:v>
                </c:pt>
                <c:pt idx="579">
                  <c:v>7.55218738074464</c:v>
                </c:pt>
                <c:pt idx="580">
                  <c:v>7.52894673257718</c:v>
                </c:pt>
                <c:pt idx="581">
                  <c:v>7.50576701497038</c:v>
                </c:pt>
                <c:pt idx="582">
                  <c:v>7.48264790547302</c:v>
                </c:pt>
                <c:pt idx="583">
                  <c:v>7.45958908416731</c:v>
                </c:pt>
                <c:pt idx="584">
                  <c:v>7.43659023364247</c:v>
                </c:pt>
                <c:pt idx="585">
                  <c:v>7.41365103896868</c:v>
                </c:pt>
                <c:pt idx="586">
                  <c:v>7.39077118767141</c:v>
                </c:pt>
                <c:pt idx="587">
                  <c:v>7.36795036970597</c:v>
                </c:pt>
                <c:pt idx="588">
                  <c:v>7.34518827743254</c:v>
                </c:pt>
                <c:pt idx="589">
                  <c:v>7.32248460559138</c:v>
                </c:pt>
                <c:pt idx="590">
                  <c:v>7.29983905127841</c:v>
                </c:pt>
                <c:pt idx="591">
                  <c:v>7.27725131392115</c:v>
                </c:pt>
                <c:pt idx="592">
                  <c:v>7.25472109525489</c:v>
                </c:pt>
                <c:pt idx="593">
                  <c:v>7.2322480992992</c:v>
                </c:pt>
                <c:pt idx="594">
                  <c:v>7.20983203233472</c:v>
                </c:pt>
                <c:pt idx="595">
                  <c:v>7.1874726028803</c:v>
                </c:pt>
                <c:pt idx="596">
                  <c:v>7.1651695216703</c:v>
                </c:pt>
                <c:pt idx="597">
                  <c:v>7.14292250163237</c:v>
                </c:pt>
                <c:pt idx="598">
                  <c:v>7.12073125786526</c:v>
                </c:pt>
                <c:pt idx="599">
                  <c:v>7.09859550761717</c:v>
                </c:pt>
                <c:pt idx="600">
                  <c:v>7.07651497026417</c:v>
                </c:pt>
                <c:pt idx="601">
                  <c:v>7.054489367289</c:v>
                </c:pt>
                <c:pt idx="602">
                  <c:v>7.03251842226005</c:v>
                </c:pt>
                <c:pt idx="603">
                  <c:v>7.01060186081069</c:v>
                </c:pt>
                <c:pt idx="604">
                  <c:v>6.98873941061878</c:v>
                </c:pt>
                <c:pt idx="605">
                  <c:v>6.9669308013865</c:v>
                </c:pt>
                <c:pt idx="606">
                  <c:v>5.93970937071231</c:v>
                </c:pt>
                <c:pt idx="607">
                  <c:v>5.01897936422189</c:v>
                </c:pt>
                <c:pt idx="608">
                  <c:v>4.18436755241304</c:v>
                </c:pt>
                <c:pt idx="609">
                  <c:v>3.42080149508509</c:v>
                </c:pt>
                <c:pt idx="610">
                  <c:v>2.71681883549887</c:v>
                </c:pt>
                <c:pt idx="611">
                  <c:v>2.06350061664884</c:v>
                </c:pt>
                <c:pt idx="612">
                  <c:v>1.45377134514896</c:v>
                </c:pt>
                <c:pt idx="613">
                  <c:v>0.881924275119771</c:v>
                </c:pt>
                <c:pt idx="614">
                  <c:v>0.343290231821323</c:v>
                </c:pt>
                <c:pt idx="615">
                  <c:v>-0.165999124677671</c:v>
                </c:pt>
                <c:pt idx="616">
                  <c:v>-0.649184162730214</c:v>
                </c:pt>
                <c:pt idx="617">
                  <c:v>-1.10900588712852</c:v>
                </c:pt>
                <c:pt idx="618">
                  <c:v>-1.28692064113976</c:v>
                </c:pt>
                <c:pt idx="619">
                  <c:v>-1.46160928314042</c:v>
                </c:pt>
                <c:pt idx="620">
                  <c:v>-1.63319830349439</c:v>
                </c:pt>
                <c:pt idx="621">
                  <c:v>-1.80180707552373</c:v>
                </c:pt>
                <c:pt idx="622">
                  <c:v>-1.96754837663208</c:v>
                </c:pt>
                <c:pt idx="623">
                  <c:v>-2.13052886257965</c:v>
                </c:pt>
                <c:pt idx="624">
                  <c:v>-2.29084949987418</c:v>
                </c:pt>
                <c:pt idx="625">
                  <c:v>-2.44860596063958</c:v>
                </c:pt>
                <c:pt idx="626">
                  <c:v>-2.60388898380299</c:v>
                </c:pt>
                <c:pt idx="627">
                  <c:v>-2.75678470599027</c:v>
                </c:pt>
                <c:pt idx="628">
                  <c:v>-2.9073749651285</c:v>
                </c:pt>
                <c:pt idx="629">
                  <c:v>-3.0557375794136</c:v>
                </c:pt>
                <c:pt idx="630">
                  <c:v>-3.20194660400361</c:v>
                </c:pt>
                <c:pt idx="631">
                  <c:v>-3.34607256753921</c:v>
                </c:pt>
                <c:pt idx="632">
                  <c:v>-3.48818269036455</c:v>
                </c:pt>
                <c:pt idx="633">
                  <c:v>-3.62834108612236</c:v>
                </c:pt>
                <c:pt idx="634">
                  <c:v>-3.76660894822089</c:v>
                </c:pt>
                <c:pt idx="635">
                  <c:v>-3.90304472251557</c:v>
                </c:pt>
                <c:pt idx="636">
                  <c:v>-4.03770426741098</c:v>
                </c:pt>
                <c:pt idx="637">
                  <c:v>-4.17064100246768</c:v>
                </c:pt>
                <c:pt idx="638">
                  <c:v>-4.3019060464908</c:v>
                </c:pt>
                <c:pt idx="639">
                  <c:v>-4.43154834598187</c:v>
                </c:pt>
                <c:pt idx="640">
                  <c:v>-4.55961479475037</c:v>
                </c:pt>
                <c:pt idx="641">
                  <c:v>-4.68615034540572</c:v>
                </c:pt>
                <c:pt idx="642">
                  <c:v>-4.81119811338267</c:v>
                </c:pt>
                <c:pt idx="643">
                  <c:v>-4.934799474093</c:v>
                </c:pt>
                <c:pt idx="644">
                  <c:v>-5.05699415374159</c:v>
                </c:pt>
                <c:pt idx="645">
                  <c:v>-5.17782031429707</c:v>
                </c:pt>
                <c:pt idx="646">
                  <c:v>-5.29731463306317</c:v>
                </c:pt>
                <c:pt idx="647">
                  <c:v>-5.41551237725772</c:v>
                </c:pt>
                <c:pt idx="648">
                  <c:v>-5.53244747397103</c:v>
                </c:pt>
                <c:pt idx="649">
                  <c:v>-5.64815257584342</c:v>
                </c:pt>
                <c:pt idx="650">
                  <c:v>-5.76265912277269</c:v>
                </c:pt>
                <c:pt idx="651">
                  <c:v>-5.87599739993678</c:v>
                </c:pt>
                <c:pt idx="652">
                  <c:v>-5.98819659239257</c:v>
                </c:pt>
                <c:pt idx="653">
                  <c:v>-6.09928483649108</c:v>
                </c:pt>
                <c:pt idx="654">
                  <c:v>-6.2092892683295</c:v>
                </c:pt>
                <c:pt idx="655">
                  <c:v>-6.31823606944298</c:v>
                </c:pt>
                <c:pt idx="656">
                  <c:v>-6.42615050992315</c:v>
                </c:pt>
                <c:pt idx="657">
                  <c:v>-6.53305698913553</c:v>
                </c:pt>
                <c:pt idx="658">
                  <c:v>-6.63897907419493</c:v>
                </c:pt>
                <c:pt idx="659">
                  <c:v>-6.74393953634562</c:v>
                </c:pt>
                <c:pt idx="660">
                  <c:v>-6.84796038538193</c:v>
                </c:pt>
                <c:pt idx="661">
                  <c:v>-6.95106290223492</c:v>
                </c:pt>
                <c:pt idx="662">
                  <c:v>-7.05326766984135</c:v>
                </c:pt>
                <c:pt idx="663">
                  <c:v>-7.15459460240272</c:v>
                </c:pt>
                <c:pt idx="664">
                  <c:v>-7.25506297313431</c:v>
                </c:pt>
                <c:pt idx="665">
                  <c:v>-7.35469144059697</c:v>
                </c:pt>
                <c:pt idx="666">
                  <c:v>-7.45349807369787</c:v>
                </c:pt>
                <c:pt idx="667">
                  <c:v>-7.55150037544044</c:v>
                </c:pt>
              </c:numCache>
            </c:numRef>
          </c:yVal>
        </c:ser>
        <c:ser>
          <c:idx val="1"/>
          <c:order val="1"/>
          <c:tx>
            <c:strRef>
              <c:f>"Measured Gain"</c:f>
              <c:strCache>
                <c:ptCount val="1"/>
                <c:pt idx="0">
                  <c:v>Measured Gain</c:v>
                </c:pt>
              </c:strCache>
            </c:strRef>
          </c:tx>
          <c:spPr>
            <a:solidFill>
              <a:srgbClr val="000080"/>
            </a:solidFill>
            <a:ln w="12600">
              <a:solidFill>
                <a:srgbClr val="000080"/>
              </a:solidFill>
              <a:round/>
            </a:ln>
          </c:spPr>
          <c:marker>
            <c:size val="4"/>
          </c:marker>
          <c:xVal>
            <c:numRef>
              <c:f>'Bode Plots Calculations'!$BT$10:$BT$409</c:f>
              <c:numCache>
                <c:formatCode>General</c:formatCode>
                <c:ptCount val="400"/>
                <c:pt idx="0">
                  <c:v>100</c:v>
                </c:pt>
                <c:pt idx="1">
                  <c:v>102.329</c:v>
                </c:pt>
                <c:pt idx="2">
                  <c:v>104.713</c:v>
                </c:pt>
                <c:pt idx="3">
                  <c:v>107.152</c:v>
                </c:pt>
                <c:pt idx="4">
                  <c:v>109.648</c:v>
                </c:pt>
                <c:pt idx="5">
                  <c:v>112.202</c:v>
                </c:pt>
                <c:pt idx="6">
                  <c:v>114.815</c:v>
                </c:pt>
                <c:pt idx="7">
                  <c:v>117.49</c:v>
                </c:pt>
                <c:pt idx="8">
                  <c:v>120.226</c:v>
                </c:pt>
                <c:pt idx="9">
                  <c:v>123.027</c:v>
                </c:pt>
                <c:pt idx="10">
                  <c:v>125.893</c:v>
                </c:pt>
                <c:pt idx="11">
                  <c:v>128.825</c:v>
                </c:pt>
                <c:pt idx="12">
                  <c:v>131.826</c:v>
                </c:pt>
                <c:pt idx="13">
                  <c:v>134.896</c:v>
                </c:pt>
                <c:pt idx="14">
                  <c:v>138.038</c:v>
                </c:pt>
                <c:pt idx="15">
                  <c:v>141.254</c:v>
                </c:pt>
                <c:pt idx="16">
                  <c:v>144.544</c:v>
                </c:pt>
                <c:pt idx="17">
                  <c:v>147.911</c:v>
                </c:pt>
                <c:pt idx="18">
                  <c:v>151.356</c:v>
                </c:pt>
                <c:pt idx="19">
                  <c:v>154.882</c:v>
                </c:pt>
                <c:pt idx="20">
                  <c:v>158.489</c:v>
                </c:pt>
                <c:pt idx="21">
                  <c:v>162.181</c:v>
                </c:pt>
                <c:pt idx="22">
                  <c:v>165.959</c:v>
                </c:pt>
                <c:pt idx="23">
                  <c:v>169.824</c:v>
                </c:pt>
                <c:pt idx="24">
                  <c:v>173.78</c:v>
                </c:pt>
                <c:pt idx="25">
                  <c:v>177.828</c:v>
                </c:pt>
                <c:pt idx="26">
                  <c:v>181.97</c:v>
                </c:pt>
                <c:pt idx="27">
                  <c:v>186.209</c:v>
                </c:pt>
                <c:pt idx="28">
                  <c:v>190.546</c:v>
                </c:pt>
                <c:pt idx="29">
                  <c:v>194.984</c:v>
                </c:pt>
                <c:pt idx="30">
                  <c:v>199.526</c:v>
                </c:pt>
                <c:pt idx="31">
                  <c:v>204.174</c:v>
                </c:pt>
                <c:pt idx="32">
                  <c:v>208.93</c:v>
                </c:pt>
                <c:pt idx="33">
                  <c:v>213.796</c:v>
                </c:pt>
                <c:pt idx="34">
                  <c:v>218.776</c:v>
                </c:pt>
                <c:pt idx="35">
                  <c:v>223.872</c:v>
                </c:pt>
                <c:pt idx="36">
                  <c:v>229.087</c:v>
                </c:pt>
                <c:pt idx="37">
                  <c:v>234.423</c:v>
                </c:pt>
                <c:pt idx="38">
                  <c:v>239.883</c:v>
                </c:pt>
                <c:pt idx="39">
                  <c:v>245.471</c:v>
                </c:pt>
                <c:pt idx="40">
                  <c:v>251.189</c:v>
                </c:pt>
                <c:pt idx="41">
                  <c:v>257.04</c:v>
                </c:pt>
                <c:pt idx="42">
                  <c:v>263.027</c:v>
                </c:pt>
                <c:pt idx="43">
                  <c:v>269.153</c:v>
                </c:pt>
                <c:pt idx="44">
                  <c:v>275.423</c:v>
                </c:pt>
                <c:pt idx="45">
                  <c:v>281.838</c:v>
                </c:pt>
                <c:pt idx="46">
                  <c:v>288.403</c:v>
                </c:pt>
                <c:pt idx="47">
                  <c:v>295.121</c:v>
                </c:pt>
                <c:pt idx="48">
                  <c:v>301.995</c:v>
                </c:pt>
                <c:pt idx="49">
                  <c:v>309.03</c:v>
                </c:pt>
                <c:pt idx="50">
                  <c:v>316.228</c:v>
                </c:pt>
                <c:pt idx="51">
                  <c:v>323.594</c:v>
                </c:pt>
                <c:pt idx="52">
                  <c:v>331.131</c:v>
                </c:pt>
                <c:pt idx="53">
                  <c:v>338.844</c:v>
                </c:pt>
                <c:pt idx="54">
                  <c:v>346.737</c:v>
                </c:pt>
                <c:pt idx="55">
                  <c:v>354.813</c:v>
                </c:pt>
                <c:pt idx="56">
                  <c:v>363.078</c:v>
                </c:pt>
                <c:pt idx="57">
                  <c:v>371.535</c:v>
                </c:pt>
                <c:pt idx="58">
                  <c:v>380.189</c:v>
                </c:pt>
                <c:pt idx="59">
                  <c:v>389.045</c:v>
                </c:pt>
                <c:pt idx="60">
                  <c:v>398.107</c:v>
                </c:pt>
                <c:pt idx="61">
                  <c:v>407.38</c:v>
                </c:pt>
                <c:pt idx="62">
                  <c:v>416.869</c:v>
                </c:pt>
                <c:pt idx="63">
                  <c:v>426.58</c:v>
                </c:pt>
                <c:pt idx="64">
                  <c:v>436.516</c:v>
                </c:pt>
                <c:pt idx="65">
                  <c:v>446.684</c:v>
                </c:pt>
                <c:pt idx="66">
                  <c:v>457.088</c:v>
                </c:pt>
                <c:pt idx="67">
                  <c:v>467.735</c:v>
                </c:pt>
                <c:pt idx="68">
                  <c:v>478.63</c:v>
                </c:pt>
                <c:pt idx="69">
                  <c:v>489.779</c:v>
                </c:pt>
                <c:pt idx="70">
                  <c:v>501.187</c:v>
                </c:pt>
                <c:pt idx="71">
                  <c:v>512.861</c:v>
                </c:pt>
                <c:pt idx="72">
                  <c:v>524.807</c:v>
                </c:pt>
                <c:pt idx="73">
                  <c:v>537.032</c:v>
                </c:pt>
                <c:pt idx="74">
                  <c:v>549.541</c:v>
                </c:pt>
                <c:pt idx="75">
                  <c:v>562.341</c:v>
                </c:pt>
                <c:pt idx="76">
                  <c:v>575.44</c:v>
                </c:pt>
                <c:pt idx="77">
                  <c:v>588.844</c:v>
                </c:pt>
                <c:pt idx="78">
                  <c:v>602.56</c:v>
                </c:pt>
                <c:pt idx="79">
                  <c:v>616.595</c:v>
                </c:pt>
                <c:pt idx="80">
                  <c:v>630.957</c:v>
                </c:pt>
                <c:pt idx="81">
                  <c:v>645.654</c:v>
                </c:pt>
                <c:pt idx="82">
                  <c:v>660.693</c:v>
                </c:pt>
                <c:pt idx="83">
                  <c:v>676.083</c:v>
                </c:pt>
                <c:pt idx="84">
                  <c:v>691.831</c:v>
                </c:pt>
                <c:pt idx="85">
                  <c:v>707.946</c:v>
                </c:pt>
                <c:pt idx="86">
                  <c:v>724.436</c:v>
                </c:pt>
                <c:pt idx="87">
                  <c:v>741.31</c:v>
                </c:pt>
                <c:pt idx="88">
                  <c:v>758.578</c:v>
                </c:pt>
                <c:pt idx="89">
                  <c:v>776.247</c:v>
                </c:pt>
                <c:pt idx="90">
                  <c:v>794.328</c:v>
                </c:pt>
                <c:pt idx="91">
                  <c:v>812.831</c:v>
                </c:pt>
                <c:pt idx="92">
                  <c:v>831.764</c:v>
                </c:pt>
                <c:pt idx="93">
                  <c:v>851.138</c:v>
                </c:pt>
                <c:pt idx="94">
                  <c:v>870.964</c:v>
                </c:pt>
                <c:pt idx="95">
                  <c:v>891.251</c:v>
                </c:pt>
                <c:pt idx="96">
                  <c:v>912.011</c:v>
                </c:pt>
                <c:pt idx="97">
                  <c:v>933.254</c:v>
                </c:pt>
                <c:pt idx="98">
                  <c:v>954.993</c:v>
                </c:pt>
                <c:pt idx="99">
                  <c:v>977.237</c:v>
                </c:pt>
                <c:pt idx="100">
                  <c:v>1000</c:v>
                </c:pt>
                <c:pt idx="101">
                  <c:v>1023.293</c:v>
                </c:pt>
                <c:pt idx="102">
                  <c:v>1047.129</c:v>
                </c:pt>
                <c:pt idx="103">
                  <c:v>1071.519</c:v>
                </c:pt>
                <c:pt idx="104">
                  <c:v>1096.478</c:v>
                </c:pt>
                <c:pt idx="105">
                  <c:v>1122.018</c:v>
                </c:pt>
                <c:pt idx="106">
                  <c:v>1148.154</c:v>
                </c:pt>
                <c:pt idx="107">
                  <c:v>1174.898</c:v>
                </c:pt>
                <c:pt idx="108">
                  <c:v>1202.264</c:v>
                </c:pt>
                <c:pt idx="109">
                  <c:v>1230.269</c:v>
                </c:pt>
                <c:pt idx="110">
                  <c:v>1258.925</c:v>
                </c:pt>
                <c:pt idx="111">
                  <c:v>1288.25</c:v>
                </c:pt>
                <c:pt idx="112">
                  <c:v>1318.257</c:v>
                </c:pt>
                <c:pt idx="113">
                  <c:v>1348.963</c:v>
                </c:pt>
                <c:pt idx="114">
                  <c:v>1380.384</c:v>
                </c:pt>
                <c:pt idx="115">
                  <c:v>1412.538</c:v>
                </c:pt>
                <c:pt idx="116">
                  <c:v>1445.44</c:v>
                </c:pt>
                <c:pt idx="117">
                  <c:v>1479.108</c:v>
                </c:pt>
                <c:pt idx="118">
                  <c:v>1513.561</c:v>
                </c:pt>
                <c:pt idx="119">
                  <c:v>1548.817</c:v>
                </c:pt>
                <c:pt idx="120">
                  <c:v>1584.893</c:v>
                </c:pt>
                <c:pt idx="121">
                  <c:v>1621.81</c:v>
                </c:pt>
                <c:pt idx="122">
                  <c:v>1659.587</c:v>
                </c:pt>
                <c:pt idx="123">
                  <c:v>1698.244</c:v>
                </c:pt>
                <c:pt idx="124">
                  <c:v>1737.801</c:v>
                </c:pt>
                <c:pt idx="125">
                  <c:v>1778.279</c:v>
                </c:pt>
                <c:pt idx="126">
                  <c:v>1819.701</c:v>
                </c:pt>
                <c:pt idx="127">
                  <c:v>1862.087</c:v>
                </c:pt>
                <c:pt idx="128">
                  <c:v>1905.461</c:v>
                </c:pt>
                <c:pt idx="129">
                  <c:v>1949.845</c:v>
                </c:pt>
                <c:pt idx="130">
                  <c:v>1995.262</c:v>
                </c:pt>
                <c:pt idx="131">
                  <c:v>2041.738</c:v>
                </c:pt>
                <c:pt idx="132">
                  <c:v>2089.296</c:v>
                </c:pt>
                <c:pt idx="133">
                  <c:v>2137.962</c:v>
                </c:pt>
                <c:pt idx="134">
                  <c:v>2187.762</c:v>
                </c:pt>
                <c:pt idx="135">
                  <c:v>2238.721</c:v>
                </c:pt>
                <c:pt idx="136">
                  <c:v>2290.868</c:v>
                </c:pt>
                <c:pt idx="137">
                  <c:v>2344.229</c:v>
                </c:pt>
                <c:pt idx="138">
                  <c:v>2398.833</c:v>
                </c:pt>
                <c:pt idx="139">
                  <c:v>2454.709</c:v>
                </c:pt>
                <c:pt idx="140">
                  <c:v>2511.886</c:v>
                </c:pt>
                <c:pt idx="141">
                  <c:v>2570.396</c:v>
                </c:pt>
                <c:pt idx="142">
                  <c:v>2630.268</c:v>
                </c:pt>
                <c:pt idx="143">
                  <c:v>2691.535</c:v>
                </c:pt>
                <c:pt idx="144">
                  <c:v>2754.229</c:v>
                </c:pt>
                <c:pt idx="145">
                  <c:v>2818.383</c:v>
                </c:pt>
                <c:pt idx="146">
                  <c:v>2884.032</c:v>
                </c:pt>
                <c:pt idx="147">
                  <c:v>2951.209</c:v>
                </c:pt>
                <c:pt idx="148">
                  <c:v>3019.952</c:v>
                </c:pt>
                <c:pt idx="149">
                  <c:v>3090.295</c:v>
                </c:pt>
                <c:pt idx="150">
                  <c:v>3162.278</c:v>
                </c:pt>
                <c:pt idx="151">
                  <c:v>3235.937</c:v>
                </c:pt>
                <c:pt idx="152">
                  <c:v>3311.311</c:v>
                </c:pt>
                <c:pt idx="153">
                  <c:v>3388.442</c:v>
                </c:pt>
                <c:pt idx="154">
                  <c:v>3467.369</c:v>
                </c:pt>
                <c:pt idx="155">
                  <c:v>3548.134</c:v>
                </c:pt>
                <c:pt idx="156">
                  <c:v>3630.781</c:v>
                </c:pt>
                <c:pt idx="157">
                  <c:v>3715.352</c:v>
                </c:pt>
                <c:pt idx="158">
                  <c:v>3801.894</c:v>
                </c:pt>
                <c:pt idx="159">
                  <c:v>3890.451</c:v>
                </c:pt>
                <c:pt idx="160">
                  <c:v>3981.072</c:v>
                </c:pt>
                <c:pt idx="161">
                  <c:v>4073.803</c:v>
                </c:pt>
                <c:pt idx="162">
                  <c:v>4168.694</c:v>
                </c:pt>
                <c:pt idx="163">
                  <c:v>4265.795</c:v>
                </c:pt>
                <c:pt idx="164">
                  <c:v>4365.158</c:v>
                </c:pt>
                <c:pt idx="165">
                  <c:v>4466.836</c:v>
                </c:pt>
                <c:pt idx="166">
                  <c:v>4570.882</c:v>
                </c:pt>
                <c:pt idx="167">
                  <c:v>4677.351</c:v>
                </c:pt>
                <c:pt idx="168">
                  <c:v>4786.301</c:v>
                </c:pt>
                <c:pt idx="169">
                  <c:v>4897.788</c:v>
                </c:pt>
                <c:pt idx="170">
                  <c:v>5011.872</c:v>
                </c:pt>
                <c:pt idx="171">
                  <c:v>5128.614</c:v>
                </c:pt>
                <c:pt idx="172">
                  <c:v>5248.075</c:v>
                </c:pt>
                <c:pt idx="173">
                  <c:v>5370.318</c:v>
                </c:pt>
                <c:pt idx="174">
                  <c:v>5495.409</c:v>
                </c:pt>
                <c:pt idx="175">
                  <c:v>5623.413</c:v>
                </c:pt>
                <c:pt idx="176">
                  <c:v>5754.399</c:v>
                </c:pt>
                <c:pt idx="177">
                  <c:v>5888.437</c:v>
                </c:pt>
                <c:pt idx="178">
                  <c:v>6025.596</c:v>
                </c:pt>
                <c:pt idx="179">
                  <c:v>6165.95</c:v>
                </c:pt>
                <c:pt idx="180">
                  <c:v>6309.573</c:v>
                </c:pt>
                <c:pt idx="181">
                  <c:v>6456.542</c:v>
                </c:pt>
                <c:pt idx="182">
                  <c:v>6606.934</c:v>
                </c:pt>
                <c:pt idx="183">
                  <c:v>6760.83</c:v>
                </c:pt>
                <c:pt idx="184">
                  <c:v>6918.31</c:v>
                </c:pt>
                <c:pt idx="185">
                  <c:v>7079.458</c:v>
                </c:pt>
                <c:pt idx="186">
                  <c:v>7244.36</c:v>
                </c:pt>
                <c:pt idx="187">
                  <c:v>7413.102</c:v>
                </c:pt>
                <c:pt idx="188">
                  <c:v>7585.776</c:v>
                </c:pt>
                <c:pt idx="189">
                  <c:v>7762.471</c:v>
                </c:pt>
                <c:pt idx="190">
                  <c:v>7943.282</c:v>
                </c:pt>
                <c:pt idx="191">
                  <c:v>8128.305</c:v>
                </c:pt>
                <c:pt idx="192">
                  <c:v>8317.638</c:v>
                </c:pt>
                <c:pt idx="193">
                  <c:v>8511.38</c:v>
                </c:pt>
                <c:pt idx="194">
                  <c:v>8709.636</c:v>
                </c:pt>
                <c:pt idx="195">
                  <c:v>8912.509</c:v>
                </c:pt>
                <c:pt idx="196">
                  <c:v>9120.108</c:v>
                </c:pt>
                <c:pt idx="197">
                  <c:v>9332.543</c:v>
                </c:pt>
                <c:pt idx="198">
                  <c:v>9549.926</c:v>
                </c:pt>
                <c:pt idx="199">
                  <c:v>9772.372</c:v>
                </c:pt>
                <c:pt idx="200">
                  <c:v>10000</c:v>
                </c:pt>
                <c:pt idx="201">
                  <c:v>10232.93</c:v>
                </c:pt>
                <c:pt idx="202">
                  <c:v>10471.285</c:v>
                </c:pt>
                <c:pt idx="203">
                  <c:v>10715.193</c:v>
                </c:pt>
                <c:pt idx="204">
                  <c:v>10964.782</c:v>
                </c:pt>
                <c:pt idx="205">
                  <c:v>11220.185</c:v>
                </c:pt>
                <c:pt idx="206">
                  <c:v>11481.536</c:v>
                </c:pt>
                <c:pt idx="207">
                  <c:v>11748.976</c:v>
                </c:pt>
                <c:pt idx="208">
                  <c:v>12022.644</c:v>
                </c:pt>
                <c:pt idx="209">
                  <c:v>12302.688</c:v>
                </c:pt>
                <c:pt idx="210">
                  <c:v>12589.254</c:v>
                </c:pt>
                <c:pt idx="211">
                  <c:v>12882.496</c:v>
                </c:pt>
                <c:pt idx="212">
                  <c:v>13182.567</c:v>
                </c:pt>
                <c:pt idx="213">
                  <c:v>13489.629</c:v>
                </c:pt>
                <c:pt idx="214">
                  <c:v>13803.843</c:v>
                </c:pt>
                <c:pt idx="215">
                  <c:v>14125.375</c:v>
                </c:pt>
                <c:pt idx="216">
                  <c:v>14454.398</c:v>
                </c:pt>
                <c:pt idx="217">
                  <c:v>14791.084</c:v>
                </c:pt>
                <c:pt idx="218">
                  <c:v>15135.612</c:v>
                </c:pt>
                <c:pt idx="219">
                  <c:v>15488.166</c:v>
                </c:pt>
                <c:pt idx="220">
                  <c:v>15848.932</c:v>
                </c:pt>
                <c:pt idx="221">
                  <c:v>16218.101</c:v>
                </c:pt>
                <c:pt idx="222">
                  <c:v>16595.869</c:v>
                </c:pt>
                <c:pt idx="223">
                  <c:v>16982.437</c:v>
                </c:pt>
                <c:pt idx="224">
                  <c:v>17378.008</c:v>
                </c:pt>
                <c:pt idx="225">
                  <c:v>17782.794</c:v>
                </c:pt>
                <c:pt idx="226">
                  <c:v>18197.009</c:v>
                </c:pt>
                <c:pt idx="227">
                  <c:v>18620.871</c:v>
                </c:pt>
                <c:pt idx="228">
                  <c:v>19054.607</c:v>
                </c:pt>
                <c:pt idx="229">
                  <c:v>19498.446</c:v>
                </c:pt>
                <c:pt idx="230">
                  <c:v>19952.623</c:v>
                </c:pt>
                <c:pt idx="231">
                  <c:v>20417.379</c:v>
                </c:pt>
                <c:pt idx="232">
                  <c:v>20892.961</c:v>
                </c:pt>
                <c:pt idx="233">
                  <c:v>21379.621</c:v>
                </c:pt>
                <c:pt idx="234">
                  <c:v>21877.616</c:v>
                </c:pt>
                <c:pt idx="235">
                  <c:v>22387.211</c:v>
                </c:pt>
                <c:pt idx="236">
                  <c:v>22908.677</c:v>
                </c:pt>
                <c:pt idx="237">
                  <c:v>23442.288</c:v>
                </c:pt>
                <c:pt idx="238">
                  <c:v>23988.329</c:v>
                </c:pt>
                <c:pt idx="239">
                  <c:v>24547.089</c:v>
                </c:pt>
                <c:pt idx="240">
                  <c:v>25118.864</c:v>
                </c:pt>
                <c:pt idx="241">
                  <c:v>25703.958</c:v>
                </c:pt>
                <c:pt idx="242">
                  <c:v>26302.68</c:v>
                </c:pt>
                <c:pt idx="243">
                  <c:v>26915.348</c:v>
                </c:pt>
                <c:pt idx="244">
                  <c:v>27542.287</c:v>
                </c:pt>
                <c:pt idx="245">
                  <c:v>28183.829</c:v>
                </c:pt>
                <c:pt idx="246">
                  <c:v>28840.315</c:v>
                </c:pt>
                <c:pt idx="247">
                  <c:v>29512.092</c:v>
                </c:pt>
                <c:pt idx="248">
                  <c:v>30199.517</c:v>
                </c:pt>
                <c:pt idx="249">
                  <c:v>30902.954</c:v>
                </c:pt>
                <c:pt idx="250">
                  <c:v>31622.777</c:v>
                </c:pt>
                <c:pt idx="251">
                  <c:v>32359.366</c:v>
                </c:pt>
                <c:pt idx="252">
                  <c:v>33113.112</c:v>
                </c:pt>
                <c:pt idx="253">
                  <c:v>33884.416</c:v>
                </c:pt>
                <c:pt idx="254">
                  <c:v>34673.685</c:v>
                </c:pt>
                <c:pt idx="255">
                  <c:v>35481.339</c:v>
                </c:pt>
                <c:pt idx="256">
                  <c:v>36307.805</c:v>
                </c:pt>
                <c:pt idx="257">
                  <c:v>37153.523</c:v>
                </c:pt>
                <c:pt idx="258">
                  <c:v>38018.94</c:v>
                </c:pt>
                <c:pt idx="259">
                  <c:v>38904.514</c:v>
                </c:pt>
                <c:pt idx="260">
                  <c:v>39810.717</c:v>
                </c:pt>
                <c:pt idx="261">
                  <c:v>40738.028</c:v>
                </c:pt>
                <c:pt idx="262">
                  <c:v>41686.938</c:v>
                </c:pt>
                <c:pt idx="263">
                  <c:v>42657.952</c:v>
                </c:pt>
                <c:pt idx="264">
                  <c:v>43651.583</c:v>
                </c:pt>
                <c:pt idx="265">
                  <c:v>44668.359</c:v>
                </c:pt>
                <c:pt idx="266">
                  <c:v>45708.819</c:v>
                </c:pt>
                <c:pt idx="267">
                  <c:v>46773.514</c:v>
                </c:pt>
                <c:pt idx="268">
                  <c:v>47863.009</c:v>
                </c:pt>
                <c:pt idx="269">
                  <c:v>48977.882</c:v>
                </c:pt>
                <c:pt idx="270">
                  <c:v>50118.723</c:v>
                </c:pt>
                <c:pt idx="271">
                  <c:v>51286.138</c:v>
                </c:pt>
                <c:pt idx="272">
                  <c:v>52480.746</c:v>
                </c:pt>
                <c:pt idx="273">
                  <c:v>53703.18</c:v>
                </c:pt>
                <c:pt idx="274">
                  <c:v>54954.087</c:v>
                </c:pt>
                <c:pt idx="275">
                  <c:v>56234.133</c:v>
                </c:pt>
                <c:pt idx="276">
                  <c:v>57543.994</c:v>
                </c:pt>
                <c:pt idx="277">
                  <c:v>58884.366</c:v>
                </c:pt>
                <c:pt idx="278">
                  <c:v>60255.959</c:v>
                </c:pt>
                <c:pt idx="279">
                  <c:v>61659.5</c:v>
                </c:pt>
                <c:pt idx="280">
                  <c:v>63095.734</c:v>
                </c:pt>
                <c:pt idx="281">
                  <c:v>64565.423</c:v>
                </c:pt>
                <c:pt idx="282">
                  <c:v>66069.345</c:v>
                </c:pt>
                <c:pt idx="283">
                  <c:v>67608.298</c:v>
                </c:pt>
                <c:pt idx="284">
                  <c:v>69183.097</c:v>
                </c:pt>
                <c:pt idx="285">
                  <c:v>70794.578</c:v>
                </c:pt>
                <c:pt idx="286">
                  <c:v>72443.596</c:v>
                </c:pt>
                <c:pt idx="287">
                  <c:v>74131.024</c:v>
                </c:pt>
                <c:pt idx="288">
                  <c:v>75857.758</c:v>
                </c:pt>
                <c:pt idx="289">
                  <c:v>77624.712</c:v>
                </c:pt>
                <c:pt idx="290">
                  <c:v>79432.823</c:v>
                </c:pt>
                <c:pt idx="291">
                  <c:v>81283.052</c:v>
                </c:pt>
                <c:pt idx="292">
                  <c:v>83176.377</c:v>
                </c:pt>
                <c:pt idx="293">
                  <c:v>85113.804</c:v>
                </c:pt>
                <c:pt idx="294">
                  <c:v>87096.359</c:v>
                </c:pt>
                <c:pt idx="295">
                  <c:v>89125.094</c:v>
                </c:pt>
                <c:pt idx="296">
                  <c:v>91201.084</c:v>
                </c:pt>
                <c:pt idx="297">
                  <c:v>93325.43</c:v>
                </c:pt>
                <c:pt idx="298">
                  <c:v>95499.259</c:v>
                </c:pt>
                <c:pt idx="299">
                  <c:v>97723.722</c:v>
                </c:pt>
                <c:pt idx="300">
                  <c:v>100000</c:v>
                </c:pt>
                <c:pt idx="301">
                  <c:v>102329.299</c:v>
                </c:pt>
                <c:pt idx="302">
                  <c:v>104712.855</c:v>
                </c:pt>
                <c:pt idx="303">
                  <c:v>107151.931</c:v>
                </c:pt>
                <c:pt idx="304">
                  <c:v>109647.82</c:v>
                </c:pt>
                <c:pt idx="305">
                  <c:v>112201.845</c:v>
                </c:pt>
                <c:pt idx="306">
                  <c:v>114815.362</c:v>
                </c:pt>
                <c:pt idx="307">
                  <c:v>117489.755</c:v>
                </c:pt>
                <c:pt idx="308">
                  <c:v>120226.443</c:v>
                </c:pt>
                <c:pt idx="309">
                  <c:v>123026.877</c:v>
                </c:pt>
                <c:pt idx="310">
                  <c:v>125892.541</c:v>
                </c:pt>
                <c:pt idx="311">
                  <c:v>128824.955</c:v>
                </c:pt>
                <c:pt idx="312">
                  <c:v>131825.674</c:v>
                </c:pt>
                <c:pt idx="313">
                  <c:v>134896.288</c:v>
                </c:pt>
                <c:pt idx="314">
                  <c:v>138038.426</c:v>
                </c:pt>
                <c:pt idx="315">
                  <c:v>141253.754</c:v>
                </c:pt>
                <c:pt idx="316">
                  <c:v>144543.977</c:v>
                </c:pt>
                <c:pt idx="317">
                  <c:v>147910.839</c:v>
                </c:pt>
                <c:pt idx="318">
                  <c:v>151356.125</c:v>
                </c:pt>
                <c:pt idx="319">
                  <c:v>154881.662</c:v>
                </c:pt>
                <c:pt idx="320">
                  <c:v>158489.319</c:v>
                </c:pt>
                <c:pt idx="321">
                  <c:v>162181.01</c:v>
                </c:pt>
                <c:pt idx="322">
                  <c:v>165958.691</c:v>
                </c:pt>
                <c:pt idx="323">
                  <c:v>169824.365</c:v>
                </c:pt>
                <c:pt idx="324">
                  <c:v>173780.083</c:v>
                </c:pt>
                <c:pt idx="325">
                  <c:v>177827.941</c:v>
                </c:pt>
                <c:pt idx="326">
                  <c:v>181970.086</c:v>
                </c:pt>
                <c:pt idx="327">
                  <c:v>186208.714</c:v>
                </c:pt>
                <c:pt idx="328">
                  <c:v>190546.072</c:v>
                </c:pt>
                <c:pt idx="329">
                  <c:v>194984.46</c:v>
                </c:pt>
                <c:pt idx="330">
                  <c:v>199526.231</c:v>
                </c:pt>
                <c:pt idx="331">
                  <c:v>204173.794</c:v>
                </c:pt>
                <c:pt idx="332">
                  <c:v>208929.613</c:v>
                </c:pt>
                <c:pt idx="333">
                  <c:v>213796.209</c:v>
                </c:pt>
                <c:pt idx="334">
                  <c:v>218776.162</c:v>
                </c:pt>
                <c:pt idx="335">
                  <c:v>223872.114</c:v>
                </c:pt>
                <c:pt idx="336">
                  <c:v>229086.765</c:v>
                </c:pt>
                <c:pt idx="337">
                  <c:v>234422.882</c:v>
                </c:pt>
                <c:pt idx="338">
                  <c:v>239883.292</c:v>
                </c:pt>
                <c:pt idx="339">
                  <c:v>245470.892</c:v>
                </c:pt>
                <c:pt idx="340">
                  <c:v>251188.643</c:v>
                </c:pt>
                <c:pt idx="341">
                  <c:v>257039.578</c:v>
                </c:pt>
                <c:pt idx="342">
                  <c:v>263026.799</c:v>
                </c:pt>
                <c:pt idx="343">
                  <c:v>269153.48</c:v>
                </c:pt>
                <c:pt idx="344">
                  <c:v>275422.87</c:v>
                </c:pt>
                <c:pt idx="345">
                  <c:v>281838.293</c:v>
                </c:pt>
                <c:pt idx="346">
                  <c:v>288403.15</c:v>
                </c:pt>
                <c:pt idx="347">
                  <c:v>295120.923</c:v>
                </c:pt>
                <c:pt idx="348">
                  <c:v>301995.172</c:v>
                </c:pt>
                <c:pt idx="349">
                  <c:v>309029.543</c:v>
                </c:pt>
                <c:pt idx="350">
                  <c:v>316227.766</c:v>
                </c:pt>
                <c:pt idx="351">
                  <c:v>323593.657</c:v>
                </c:pt>
                <c:pt idx="352">
                  <c:v>331131.121</c:v>
                </c:pt>
                <c:pt idx="353">
                  <c:v>338844.156</c:v>
                </c:pt>
                <c:pt idx="354">
                  <c:v>346736.85</c:v>
                </c:pt>
                <c:pt idx="355">
                  <c:v>354813.389</c:v>
                </c:pt>
                <c:pt idx="356">
                  <c:v>363078.055</c:v>
                </c:pt>
                <c:pt idx="357">
                  <c:v>371535.229</c:v>
                </c:pt>
                <c:pt idx="358">
                  <c:v>380189.396</c:v>
                </c:pt>
                <c:pt idx="359">
                  <c:v>389045.145</c:v>
                </c:pt>
                <c:pt idx="360">
                  <c:v>398107.171</c:v>
                </c:pt>
                <c:pt idx="361">
                  <c:v>407380.278</c:v>
                </c:pt>
                <c:pt idx="362">
                  <c:v>416869.383</c:v>
                </c:pt>
                <c:pt idx="363">
                  <c:v>426579.519</c:v>
                </c:pt>
                <c:pt idx="364">
                  <c:v>436515.832</c:v>
                </c:pt>
                <c:pt idx="365">
                  <c:v>446683.592</c:v>
                </c:pt>
                <c:pt idx="366">
                  <c:v>457088.19</c:v>
                </c:pt>
                <c:pt idx="367">
                  <c:v>467735.141</c:v>
                </c:pt>
                <c:pt idx="368">
                  <c:v>478630.092</c:v>
                </c:pt>
                <c:pt idx="369">
                  <c:v>489778.819</c:v>
                </c:pt>
                <c:pt idx="370">
                  <c:v>501187.234</c:v>
                </c:pt>
                <c:pt idx="371">
                  <c:v>512861.384</c:v>
                </c:pt>
                <c:pt idx="372">
                  <c:v>524807.46</c:v>
                </c:pt>
                <c:pt idx="373">
                  <c:v>537031.796</c:v>
                </c:pt>
                <c:pt idx="374">
                  <c:v>549540.874</c:v>
                </c:pt>
                <c:pt idx="375">
                  <c:v>562341.325</c:v>
                </c:pt>
                <c:pt idx="376">
                  <c:v>575439.937</c:v>
                </c:pt>
                <c:pt idx="377">
                  <c:v>588843.655</c:v>
                </c:pt>
                <c:pt idx="378">
                  <c:v>602559.586</c:v>
                </c:pt>
                <c:pt idx="379">
                  <c:v>616595.002</c:v>
                </c:pt>
                <c:pt idx="380">
                  <c:v>630957.344</c:v>
                </c:pt>
                <c:pt idx="381">
                  <c:v>645654.229</c:v>
                </c:pt>
                <c:pt idx="382">
                  <c:v>660693.448</c:v>
                </c:pt>
                <c:pt idx="383">
                  <c:v>676082.975</c:v>
                </c:pt>
                <c:pt idx="384">
                  <c:v>691830.971</c:v>
                </c:pt>
                <c:pt idx="385">
                  <c:v>707945.784</c:v>
                </c:pt>
                <c:pt idx="386">
                  <c:v>724435.96</c:v>
                </c:pt>
                <c:pt idx="387">
                  <c:v>741310.241</c:v>
                </c:pt>
                <c:pt idx="388">
                  <c:v>758577.575</c:v>
                </c:pt>
                <c:pt idx="389">
                  <c:v>776247.117</c:v>
                </c:pt>
                <c:pt idx="390">
                  <c:v>794328.235</c:v>
                </c:pt>
                <c:pt idx="391">
                  <c:v>812830.516</c:v>
                </c:pt>
                <c:pt idx="392">
                  <c:v>831763.771</c:v>
                </c:pt>
                <c:pt idx="393">
                  <c:v>851138.038</c:v>
                </c:pt>
                <c:pt idx="394">
                  <c:v>870963.59</c:v>
                </c:pt>
                <c:pt idx="395">
                  <c:v>891250.938</c:v>
                </c:pt>
                <c:pt idx="396">
                  <c:v>912010.839</c:v>
                </c:pt>
                <c:pt idx="397">
                  <c:v>933254.301</c:v>
                </c:pt>
                <c:pt idx="398">
                  <c:v>954992.586</c:v>
                </c:pt>
                <c:pt idx="399">
                  <c:v>977237.221</c:v>
                </c:pt>
              </c:numCache>
            </c:numRef>
          </c:xVal>
          <c:yVal>
            <c:numRef>
              <c:f>'Bode Plots Calculations'!$BU$10:$BU$409</c:f>
              <c:numCache>
                <c:formatCode>General</c:formatCode>
                <c:ptCount val="400"/>
                <c:pt idx="0">
                  <c:v>35.3593</c:v>
                </c:pt>
                <c:pt idx="1">
                  <c:v>34.9368</c:v>
                </c:pt>
                <c:pt idx="2">
                  <c:v>34.1908</c:v>
                </c:pt>
                <c:pt idx="3">
                  <c:v>34.4777</c:v>
                </c:pt>
                <c:pt idx="4">
                  <c:v>34.1144</c:v>
                </c:pt>
                <c:pt idx="5">
                  <c:v>34.2977</c:v>
                </c:pt>
                <c:pt idx="6">
                  <c:v>33.3465</c:v>
                </c:pt>
                <c:pt idx="7">
                  <c:v>33.0246</c:v>
                </c:pt>
                <c:pt idx="8">
                  <c:v>33.736</c:v>
                </c:pt>
                <c:pt idx="9">
                  <c:v>32.7649</c:v>
                </c:pt>
                <c:pt idx="10">
                  <c:v>32.2472</c:v>
                </c:pt>
                <c:pt idx="11">
                  <c:v>32.3142</c:v>
                </c:pt>
                <c:pt idx="12">
                  <c:v>32.1558</c:v>
                </c:pt>
                <c:pt idx="13">
                  <c:v>32.8753</c:v>
                </c:pt>
                <c:pt idx="14">
                  <c:v>32.5387</c:v>
                </c:pt>
                <c:pt idx="15">
                  <c:v>32.377</c:v>
                </c:pt>
                <c:pt idx="16">
                  <c:v>31.4991</c:v>
                </c:pt>
                <c:pt idx="17">
                  <c:v>31.4819</c:v>
                </c:pt>
                <c:pt idx="18">
                  <c:v>31.0519</c:v>
                </c:pt>
                <c:pt idx="19">
                  <c:v>31.2487</c:v>
                </c:pt>
                <c:pt idx="20">
                  <c:v>31.0037</c:v>
                </c:pt>
                <c:pt idx="21">
                  <c:v>30.4293</c:v>
                </c:pt>
                <c:pt idx="22">
                  <c:v>29.9194</c:v>
                </c:pt>
                <c:pt idx="23">
                  <c:v>29.8089</c:v>
                </c:pt>
                <c:pt idx="24">
                  <c:v>30.0709</c:v>
                </c:pt>
                <c:pt idx="25">
                  <c:v>29.7201</c:v>
                </c:pt>
                <c:pt idx="26">
                  <c:v>30.0421</c:v>
                </c:pt>
                <c:pt idx="27">
                  <c:v>29.9018</c:v>
                </c:pt>
                <c:pt idx="28">
                  <c:v>29.5667</c:v>
                </c:pt>
                <c:pt idx="29">
                  <c:v>29.6856</c:v>
                </c:pt>
                <c:pt idx="30">
                  <c:v>29.051</c:v>
                </c:pt>
                <c:pt idx="31">
                  <c:v>28.4243</c:v>
                </c:pt>
                <c:pt idx="32">
                  <c:v>28.5109</c:v>
                </c:pt>
                <c:pt idx="33">
                  <c:v>28.179</c:v>
                </c:pt>
                <c:pt idx="34">
                  <c:v>27.7064</c:v>
                </c:pt>
                <c:pt idx="35">
                  <c:v>27.9371</c:v>
                </c:pt>
                <c:pt idx="36">
                  <c:v>27.6763</c:v>
                </c:pt>
                <c:pt idx="37">
                  <c:v>27.6703</c:v>
                </c:pt>
                <c:pt idx="38">
                  <c:v>27.2761</c:v>
                </c:pt>
                <c:pt idx="39">
                  <c:v>27.0755</c:v>
                </c:pt>
                <c:pt idx="40">
                  <c:v>27.0434</c:v>
                </c:pt>
                <c:pt idx="41">
                  <c:v>26.6776</c:v>
                </c:pt>
                <c:pt idx="42">
                  <c:v>26.2703</c:v>
                </c:pt>
                <c:pt idx="43">
                  <c:v>26.2359</c:v>
                </c:pt>
                <c:pt idx="44">
                  <c:v>25.8456</c:v>
                </c:pt>
                <c:pt idx="45">
                  <c:v>26.1068</c:v>
                </c:pt>
                <c:pt idx="46">
                  <c:v>25.7844</c:v>
                </c:pt>
                <c:pt idx="47">
                  <c:v>25.5811</c:v>
                </c:pt>
                <c:pt idx="48">
                  <c:v>24.917</c:v>
                </c:pt>
                <c:pt idx="49">
                  <c:v>24.8252</c:v>
                </c:pt>
                <c:pt idx="50">
                  <c:v>24.722</c:v>
                </c:pt>
                <c:pt idx="51">
                  <c:v>24.5962</c:v>
                </c:pt>
                <c:pt idx="52">
                  <c:v>24.3868</c:v>
                </c:pt>
                <c:pt idx="53">
                  <c:v>24.1369</c:v>
                </c:pt>
                <c:pt idx="54">
                  <c:v>24.0404</c:v>
                </c:pt>
                <c:pt idx="55">
                  <c:v>23.629</c:v>
                </c:pt>
                <c:pt idx="56">
                  <c:v>23.6126</c:v>
                </c:pt>
                <c:pt idx="57">
                  <c:v>23.316</c:v>
                </c:pt>
                <c:pt idx="58">
                  <c:v>23.2133</c:v>
                </c:pt>
                <c:pt idx="59">
                  <c:v>22.9552</c:v>
                </c:pt>
                <c:pt idx="60">
                  <c:v>22.7385</c:v>
                </c:pt>
                <c:pt idx="61">
                  <c:v>22.7593</c:v>
                </c:pt>
                <c:pt idx="62">
                  <c:v>22.4206</c:v>
                </c:pt>
                <c:pt idx="63">
                  <c:v>22.3737</c:v>
                </c:pt>
                <c:pt idx="64">
                  <c:v>22.0741</c:v>
                </c:pt>
                <c:pt idx="65">
                  <c:v>21.7611</c:v>
                </c:pt>
                <c:pt idx="66">
                  <c:v>21.6126</c:v>
                </c:pt>
                <c:pt idx="67">
                  <c:v>21.3672</c:v>
                </c:pt>
                <c:pt idx="68">
                  <c:v>21.1958</c:v>
                </c:pt>
                <c:pt idx="69">
                  <c:v>20.9448</c:v>
                </c:pt>
                <c:pt idx="70">
                  <c:v>20.7819</c:v>
                </c:pt>
                <c:pt idx="71">
                  <c:v>20.6348</c:v>
                </c:pt>
                <c:pt idx="72">
                  <c:v>20.2436</c:v>
                </c:pt>
                <c:pt idx="73">
                  <c:v>20.2926</c:v>
                </c:pt>
                <c:pt idx="74">
                  <c:v>19.992</c:v>
                </c:pt>
                <c:pt idx="75">
                  <c:v>19.6823</c:v>
                </c:pt>
                <c:pt idx="76">
                  <c:v>19.596</c:v>
                </c:pt>
                <c:pt idx="77">
                  <c:v>19.3732</c:v>
                </c:pt>
                <c:pt idx="78">
                  <c:v>19.198</c:v>
                </c:pt>
                <c:pt idx="79">
                  <c:v>18.9837</c:v>
                </c:pt>
                <c:pt idx="80">
                  <c:v>18.8029</c:v>
                </c:pt>
                <c:pt idx="81">
                  <c:v>18.5986</c:v>
                </c:pt>
                <c:pt idx="82">
                  <c:v>18.468</c:v>
                </c:pt>
                <c:pt idx="83">
                  <c:v>18.2744</c:v>
                </c:pt>
                <c:pt idx="84">
                  <c:v>18.0926</c:v>
                </c:pt>
                <c:pt idx="85">
                  <c:v>17.887</c:v>
                </c:pt>
                <c:pt idx="86">
                  <c:v>17.7536</c:v>
                </c:pt>
                <c:pt idx="87">
                  <c:v>17.4164</c:v>
                </c:pt>
                <c:pt idx="88">
                  <c:v>17.2832</c:v>
                </c:pt>
                <c:pt idx="89">
                  <c:v>17.0071</c:v>
                </c:pt>
                <c:pt idx="90">
                  <c:v>16.8354</c:v>
                </c:pt>
                <c:pt idx="91">
                  <c:v>16.6614</c:v>
                </c:pt>
                <c:pt idx="92">
                  <c:v>16.5098</c:v>
                </c:pt>
                <c:pt idx="93">
                  <c:v>16.2768</c:v>
                </c:pt>
                <c:pt idx="94">
                  <c:v>16.1061</c:v>
                </c:pt>
                <c:pt idx="95">
                  <c:v>15.8824</c:v>
                </c:pt>
                <c:pt idx="96">
                  <c:v>15.6715</c:v>
                </c:pt>
                <c:pt idx="97">
                  <c:v>15.4714</c:v>
                </c:pt>
                <c:pt idx="98">
                  <c:v>15.3525</c:v>
                </c:pt>
                <c:pt idx="99">
                  <c:v>15.0807</c:v>
                </c:pt>
                <c:pt idx="100">
                  <c:v>14.8838</c:v>
                </c:pt>
                <c:pt idx="101">
                  <c:v>14.7437</c:v>
                </c:pt>
                <c:pt idx="102">
                  <c:v>14.5866</c:v>
                </c:pt>
                <c:pt idx="103">
                  <c:v>14.3581</c:v>
                </c:pt>
                <c:pt idx="104">
                  <c:v>14.1501</c:v>
                </c:pt>
                <c:pt idx="105">
                  <c:v>13.9679</c:v>
                </c:pt>
                <c:pt idx="106">
                  <c:v>13.7508</c:v>
                </c:pt>
                <c:pt idx="107">
                  <c:v>13.6038</c:v>
                </c:pt>
                <c:pt idx="108">
                  <c:v>13.4128</c:v>
                </c:pt>
                <c:pt idx="109">
                  <c:v>13.1837</c:v>
                </c:pt>
                <c:pt idx="110">
                  <c:v>13.0792</c:v>
                </c:pt>
                <c:pt idx="111">
                  <c:v>12.807</c:v>
                </c:pt>
                <c:pt idx="112">
                  <c:v>12.6826</c:v>
                </c:pt>
                <c:pt idx="113">
                  <c:v>12.4759</c:v>
                </c:pt>
                <c:pt idx="114">
                  <c:v>12.2584</c:v>
                </c:pt>
                <c:pt idx="115">
                  <c:v>12.0929</c:v>
                </c:pt>
                <c:pt idx="116">
                  <c:v>11.9189</c:v>
                </c:pt>
                <c:pt idx="117">
                  <c:v>11.7147</c:v>
                </c:pt>
                <c:pt idx="118">
                  <c:v>11.5252</c:v>
                </c:pt>
                <c:pt idx="119">
                  <c:v>11.3354</c:v>
                </c:pt>
                <c:pt idx="120">
                  <c:v>11.1604</c:v>
                </c:pt>
                <c:pt idx="121">
                  <c:v>10.9787</c:v>
                </c:pt>
                <c:pt idx="122">
                  <c:v>10.7578</c:v>
                </c:pt>
                <c:pt idx="123">
                  <c:v>10.5805</c:v>
                </c:pt>
                <c:pt idx="124">
                  <c:v>10.4643</c:v>
                </c:pt>
                <c:pt idx="125">
                  <c:v>10.2137</c:v>
                </c:pt>
                <c:pt idx="126">
                  <c:v>10.0452</c:v>
                </c:pt>
                <c:pt idx="127">
                  <c:v>9.87672</c:v>
                </c:pt>
                <c:pt idx="128">
                  <c:v>9.71342</c:v>
                </c:pt>
                <c:pt idx="129">
                  <c:v>9.52685</c:v>
                </c:pt>
                <c:pt idx="130">
                  <c:v>9.33494</c:v>
                </c:pt>
                <c:pt idx="131">
                  <c:v>9.08847</c:v>
                </c:pt>
                <c:pt idx="132">
                  <c:v>8.96986</c:v>
                </c:pt>
                <c:pt idx="133">
                  <c:v>8.68736</c:v>
                </c:pt>
                <c:pt idx="134">
                  <c:v>8.53088</c:v>
                </c:pt>
                <c:pt idx="135">
                  <c:v>8.34969</c:v>
                </c:pt>
                <c:pt idx="136">
                  <c:v>8.28183</c:v>
                </c:pt>
                <c:pt idx="137">
                  <c:v>8.06623</c:v>
                </c:pt>
                <c:pt idx="138">
                  <c:v>7.81402</c:v>
                </c:pt>
                <c:pt idx="139">
                  <c:v>7.64239</c:v>
                </c:pt>
                <c:pt idx="140">
                  <c:v>7.45716</c:v>
                </c:pt>
                <c:pt idx="141">
                  <c:v>7.31271</c:v>
                </c:pt>
                <c:pt idx="142">
                  <c:v>7.13504</c:v>
                </c:pt>
                <c:pt idx="143">
                  <c:v>6.88093</c:v>
                </c:pt>
                <c:pt idx="144">
                  <c:v>6.70094</c:v>
                </c:pt>
                <c:pt idx="145">
                  <c:v>6.53562</c:v>
                </c:pt>
                <c:pt idx="146">
                  <c:v>6.32652</c:v>
                </c:pt>
                <c:pt idx="147">
                  <c:v>6.18308</c:v>
                </c:pt>
                <c:pt idx="148">
                  <c:v>6.01306</c:v>
                </c:pt>
                <c:pt idx="149">
                  <c:v>5.85449</c:v>
                </c:pt>
                <c:pt idx="150">
                  <c:v>5.60993</c:v>
                </c:pt>
                <c:pt idx="151">
                  <c:v>5.43209</c:v>
                </c:pt>
                <c:pt idx="152">
                  <c:v>5.23561</c:v>
                </c:pt>
                <c:pt idx="153">
                  <c:v>5.05282</c:v>
                </c:pt>
                <c:pt idx="154">
                  <c:v>4.9029</c:v>
                </c:pt>
                <c:pt idx="155">
                  <c:v>4.65226</c:v>
                </c:pt>
                <c:pt idx="156">
                  <c:v>4.4951</c:v>
                </c:pt>
                <c:pt idx="157">
                  <c:v>4.3437</c:v>
                </c:pt>
                <c:pt idx="158">
                  <c:v>4.14374</c:v>
                </c:pt>
                <c:pt idx="159">
                  <c:v>3.9573</c:v>
                </c:pt>
                <c:pt idx="160">
                  <c:v>3.89809</c:v>
                </c:pt>
                <c:pt idx="161">
                  <c:v>3.5601</c:v>
                </c:pt>
                <c:pt idx="162">
                  <c:v>3.40988</c:v>
                </c:pt>
                <c:pt idx="163">
                  <c:v>3.2245</c:v>
                </c:pt>
                <c:pt idx="164">
                  <c:v>3.07782</c:v>
                </c:pt>
                <c:pt idx="165">
                  <c:v>2.92332</c:v>
                </c:pt>
                <c:pt idx="166">
                  <c:v>2.72669</c:v>
                </c:pt>
                <c:pt idx="167">
                  <c:v>2.54392</c:v>
                </c:pt>
                <c:pt idx="168">
                  <c:v>2.53075</c:v>
                </c:pt>
                <c:pt idx="169">
                  <c:v>2.17956</c:v>
                </c:pt>
                <c:pt idx="170">
                  <c:v>2.08934</c:v>
                </c:pt>
                <c:pt idx="171">
                  <c:v>1.79547</c:v>
                </c:pt>
                <c:pt idx="172">
                  <c:v>1.60241</c:v>
                </c:pt>
                <c:pt idx="173">
                  <c:v>1.48515</c:v>
                </c:pt>
                <c:pt idx="174">
                  <c:v>1.35836</c:v>
                </c:pt>
                <c:pt idx="175">
                  <c:v>1.07298</c:v>
                </c:pt>
                <c:pt idx="176">
                  <c:v>0.869153</c:v>
                </c:pt>
                <c:pt idx="177">
                  <c:v>0.803236</c:v>
                </c:pt>
                <c:pt idx="178">
                  <c:v>0.769928</c:v>
                </c:pt>
                <c:pt idx="179">
                  <c:v>0.469478</c:v>
                </c:pt>
                <c:pt idx="180">
                  <c:v>0.369853</c:v>
                </c:pt>
                <c:pt idx="181">
                  <c:v>0.127676</c:v>
                </c:pt>
                <c:pt idx="182">
                  <c:v>0.0369381</c:v>
                </c:pt>
                <c:pt idx="183">
                  <c:v>-0.0490191</c:v>
                </c:pt>
                <c:pt idx="184">
                  <c:v>-0.217983</c:v>
                </c:pt>
                <c:pt idx="185">
                  <c:v>-0.384014</c:v>
                </c:pt>
                <c:pt idx="186">
                  <c:v>-0.57486</c:v>
                </c:pt>
                <c:pt idx="187">
                  <c:v>-0.7333</c:v>
                </c:pt>
                <c:pt idx="188">
                  <c:v>-0.870902</c:v>
                </c:pt>
                <c:pt idx="189">
                  <c:v>-1.03486</c:v>
                </c:pt>
                <c:pt idx="190">
                  <c:v>-1.2308</c:v>
                </c:pt>
                <c:pt idx="191">
                  <c:v>-1.35261</c:v>
                </c:pt>
                <c:pt idx="192">
                  <c:v>-1.29555</c:v>
                </c:pt>
                <c:pt idx="193">
                  <c:v>-1.51375</c:v>
                </c:pt>
                <c:pt idx="194">
                  <c:v>-1.62094</c:v>
                </c:pt>
                <c:pt idx="195">
                  <c:v>-1.6954</c:v>
                </c:pt>
                <c:pt idx="196">
                  <c:v>-1.76502</c:v>
                </c:pt>
                <c:pt idx="197">
                  <c:v>-1.99203</c:v>
                </c:pt>
                <c:pt idx="198">
                  <c:v>-2.12783</c:v>
                </c:pt>
                <c:pt idx="199">
                  <c:v>-1.99443</c:v>
                </c:pt>
                <c:pt idx="200">
                  <c:v>-2.22097</c:v>
                </c:pt>
                <c:pt idx="201">
                  <c:v>-2.48674</c:v>
                </c:pt>
                <c:pt idx="202">
                  <c:v>-2.35174</c:v>
                </c:pt>
                <c:pt idx="203">
                  <c:v>-2.51368</c:v>
                </c:pt>
                <c:pt idx="204">
                  <c:v>-2.50437</c:v>
                </c:pt>
                <c:pt idx="205">
                  <c:v>-2.74869</c:v>
                </c:pt>
                <c:pt idx="206">
                  <c:v>-2.86917</c:v>
                </c:pt>
                <c:pt idx="207">
                  <c:v>-3.03963</c:v>
                </c:pt>
                <c:pt idx="208">
                  <c:v>-3.20975</c:v>
                </c:pt>
                <c:pt idx="209">
                  <c:v>-3.236</c:v>
                </c:pt>
                <c:pt idx="210">
                  <c:v>-3.64651</c:v>
                </c:pt>
                <c:pt idx="211">
                  <c:v>-3.62347</c:v>
                </c:pt>
                <c:pt idx="212">
                  <c:v>-4.11328</c:v>
                </c:pt>
                <c:pt idx="213">
                  <c:v>-3.87796</c:v>
                </c:pt>
                <c:pt idx="214">
                  <c:v>-4.03066</c:v>
                </c:pt>
                <c:pt idx="215">
                  <c:v>-4.01791</c:v>
                </c:pt>
                <c:pt idx="216">
                  <c:v>-3.96527</c:v>
                </c:pt>
                <c:pt idx="217">
                  <c:v>-3.95839</c:v>
                </c:pt>
                <c:pt idx="218">
                  <c:v>-3.87922</c:v>
                </c:pt>
                <c:pt idx="219">
                  <c:v>-3.98229</c:v>
                </c:pt>
                <c:pt idx="220">
                  <c:v>-3.94504</c:v>
                </c:pt>
                <c:pt idx="221">
                  <c:v>-3.96397</c:v>
                </c:pt>
                <c:pt idx="222">
                  <c:v>-3.91065</c:v>
                </c:pt>
                <c:pt idx="223">
                  <c:v>-3.94888</c:v>
                </c:pt>
                <c:pt idx="224">
                  <c:v>-3.80289</c:v>
                </c:pt>
                <c:pt idx="225">
                  <c:v>-3.84742</c:v>
                </c:pt>
                <c:pt idx="226">
                  <c:v>-3.83032</c:v>
                </c:pt>
                <c:pt idx="227">
                  <c:v>-3.77474</c:v>
                </c:pt>
                <c:pt idx="228">
                  <c:v>-3.73125</c:v>
                </c:pt>
                <c:pt idx="229">
                  <c:v>-3.72432</c:v>
                </c:pt>
                <c:pt idx="230">
                  <c:v>-3.67421</c:v>
                </c:pt>
                <c:pt idx="231">
                  <c:v>-3.64409</c:v>
                </c:pt>
                <c:pt idx="232">
                  <c:v>-3.56201</c:v>
                </c:pt>
                <c:pt idx="233">
                  <c:v>-3.5589</c:v>
                </c:pt>
                <c:pt idx="234">
                  <c:v>-3.49654</c:v>
                </c:pt>
                <c:pt idx="235">
                  <c:v>-3.4356</c:v>
                </c:pt>
                <c:pt idx="236">
                  <c:v>-3.37297</c:v>
                </c:pt>
                <c:pt idx="237">
                  <c:v>-3.29522</c:v>
                </c:pt>
                <c:pt idx="238">
                  <c:v>-3.24374</c:v>
                </c:pt>
                <c:pt idx="239">
                  <c:v>-3.17093</c:v>
                </c:pt>
                <c:pt idx="240">
                  <c:v>-3.10698</c:v>
                </c:pt>
                <c:pt idx="241">
                  <c:v>-3.01727</c:v>
                </c:pt>
                <c:pt idx="242">
                  <c:v>-2.94948</c:v>
                </c:pt>
                <c:pt idx="243">
                  <c:v>-2.84113</c:v>
                </c:pt>
                <c:pt idx="244">
                  <c:v>-2.73666</c:v>
                </c:pt>
                <c:pt idx="245">
                  <c:v>-2.65234</c:v>
                </c:pt>
                <c:pt idx="246">
                  <c:v>-2.55068</c:v>
                </c:pt>
                <c:pt idx="247">
                  <c:v>-2.44991</c:v>
                </c:pt>
                <c:pt idx="248">
                  <c:v>-2.35533</c:v>
                </c:pt>
                <c:pt idx="249">
                  <c:v>-2.25435</c:v>
                </c:pt>
                <c:pt idx="250">
                  <c:v>-2.12822</c:v>
                </c:pt>
                <c:pt idx="251">
                  <c:v>-2.03586</c:v>
                </c:pt>
                <c:pt idx="252">
                  <c:v>-1.91717</c:v>
                </c:pt>
                <c:pt idx="253">
                  <c:v>-1.81593</c:v>
                </c:pt>
                <c:pt idx="254">
                  <c:v>-1.68078</c:v>
                </c:pt>
                <c:pt idx="255">
                  <c:v>-1.56208</c:v>
                </c:pt>
                <c:pt idx="256">
                  <c:v>-1.42748</c:v>
                </c:pt>
                <c:pt idx="257">
                  <c:v>-1.30297</c:v>
                </c:pt>
                <c:pt idx="258">
                  <c:v>-1.18652</c:v>
                </c:pt>
                <c:pt idx="259">
                  <c:v>-1.05156</c:v>
                </c:pt>
                <c:pt idx="260">
                  <c:v>-0.927217</c:v>
                </c:pt>
                <c:pt idx="261">
                  <c:v>-0.803654</c:v>
                </c:pt>
                <c:pt idx="262">
                  <c:v>-0.666377</c:v>
                </c:pt>
                <c:pt idx="263">
                  <c:v>-0.551823</c:v>
                </c:pt>
                <c:pt idx="264">
                  <c:v>-0.430712</c:v>
                </c:pt>
                <c:pt idx="265">
                  <c:v>-0.211053</c:v>
                </c:pt>
                <c:pt idx="266">
                  <c:v>0.52167</c:v>
                </c:pt>
                <c:pt idx="267">
                  <c:v>0.782336</c:v>
                </c:pt>
                <c:pt idx="268">
                  <c:v>0.817243</c:v>
                </c:pt>
                <c:pt idx="269">
                  <c:v>0.861951</c:v>
                </c:pt>
                <c:pt idx="270">
                  <c:v>0.950021</c:v>
                </c:pt>
                <c:pt idx="271">
                  <c:v>1.0493</c:v>
                </c:pt>
                <c:pt idx="272">
                  <c:v>1.17524</c:v>
                </c:pt>
                <c:pt idx="273">
                  <c:v>1.31529</c:v>
                </c:pt>
                <c:pt idx="274">
                  <c:v>1.46375</c:v>
                </c:pt>
                <c:pt idx="275">
                  <c:v>1.62296</c:v>
                </c:pt>
                <c:pt idx="276">
                  <c:v>1.78169</c:v>
                </c:pt>
                <c:pt idx="277">
                  <c:v>1.9422</c:v>
                </c:pt>
                <c:pt idx="278">
                  <c:v>2.10752</c:v>
                </c:pt>
                <c:pt idx="279">
                  <c:v>2.27811</c:v>
                </c:pt>
                <c:pt idx="280">
                  <c:v>2.44993</c:v>
                </c:pt>
                <c:pt idx="281">
                  <c:v>2.62587</c:v>
                </c:pt>
                <c:pt idx="282">
                  <c:v>2.79409</c:v>
                </c:pt>
                <c:pt idx="283">
                  <c:v>2.95814</c:v>
                </c:pt>
                <c:pt idx="284">
                  <c:v>3.15646</c:v>
                </c:pt>
                <c:pt idx="285">
                  <c:v>3.32565</c:v>
                </c:pt>
                <c:pt idx="286">
                  <c:v>3.49921</c:v>
                </c:pt>
                <c:pt idx="287">
                  <c:v>3.65404</c:v>
                </c:pt>
                <c:pt idx="288">
                  <c:v>3.83079</c:v>
                </c:pt>
                <c:pt idx="289">
                  <c:v>4.03098</c:v>
                </c:pt>
                <c:pt idx="290">
                  <c:v>4.23407</c:v>
                </c:pt>
                <c:pt idx="291">
                  <c:v>4.4202</c:v>
                </c:pt>
                <c:pt idx="292">
                  <c:v>4.56394</c:v>
                </c:pt>
                <c:pt idx="293">
                  <c:v>4.76053</c:v>
                </c:pt>
                <c:pt idx="294">
                  <c:v>4.94755</c:v>
                </c:pt>
                <c:pt idx="295">
                  <c:v>5.21431</c:v>
                </c:pt>
                <c:pt idx="296">
                  <c:v>5.40509</c:v>
                </c:pt>
                <c:pt idx="297">
                  <c:v>5.6015</c:v>
                </c:pt>
                <c:pt idx="298">
                  <c:v>5.79461</c:v>
                </c:pt>
                <c:pt idx="299">
                  <c:v>5.98558</c:v>
                </c:pt>
                <c:pt idx="300">
                  <c:v>6.18115</c:v>
                </c:pt>
                <c:pt idx="301">
                  <c:v>6.3763</c:v>
                </c:pt>
                <c:pt idx="302">
                  <c:v>6.56923</c:v>
                </c:pt>
                <c:pt idx="303">
                  <c:v>6.77081</c:v>
                </c:pt>
                <c:pt idx="304">
                  <c:v>6.98499</c:v>
                </c:pt>
                <c:pt idx="305">
                  <c:v>7.21207</c:v>
                </c:pt>
                <c:pt idx="306">
                  <c:v>7.47248</c:v>
                </c:pt>
                <c:pt idx="307">
                  <c:v>7.67536</c:v>
                </c:pt>
                <c:pt idx="308">
                  <c:v>7.94462</c:v>
                </c:pt>
                <c:pt idx="309">
                  <c:v>8.18659</c:v>
                </c:pt>
                <c:pt idx="310">
                  <c:v>8.44458</c:v>
                </c:pt>
                <c:pt idx="311">
                  <c:v>8.67805</c:v>
                </c:pt>
                <c:pt idx="312">
                  <c:v>8.88895</c:v>
                </c:pt>
                <c:pt idx="313">
                  <c:v>9.0987</c:v>
                </c:pt>
                <c:pt idx="314">
                  <c:v>9.31966</c:v>
                </c:pt>
                <c:pt idx="315">
                  <c:v>9.52904</c:v>
                </c:pt>
                <c:pt idx="316">
                  <c:v>9.73129</c:v>
                </c:pt>
                <c:pt idx="317">
                  <c:v>9.90101</c:v>
                </c:pt>
                <c:pt idx="318">
                  <c:v>10.0764</c:v>
                </c:pt>
                <c:pt idx="319">
                  <c:v>10.266</c:v>
                </c:pt>
                <c:pt idx="320">
                  <c:v>10.4788</c:v>
                </c:pt>
                <c:pt idx="321">
                  <c:v>10.7419</c:v>
                </c:pt>
                <c:pt idx="322">
                  <c:v>11.0235</c:v>
                </c:pt>
                <c:pt idx="323">
                  <c:v>11.2343</c:v>
                </c:pt>
                <c:pt idx="324">
                  <c:v>11.3918</c:v>
                </c:pt>
                <c:pt idx="325">
                  <c:v>11.6125</c:v>
                </c:pt>
                <c:pt idx="326">
                  <c:v>11.8933</c:v>
                </c:pt>
                <c:pt idx="327">
                  <c:v>12.0278</c:v>
                </c:pt>
                <c:pt idx="328">
                  <c:v>12.1826</c:v>
                </c:pt>
                <c:pt idx="329">
                  <c:v>12.4584</c:v>
                </c:pt>
                <c:pt idx="330">
                  <c:v>12.6511</c:v>
                </c:pt>
                <c:pt idx="331">
                  <c:v>12.9036</c:v>
                </c:pt>
                <c:pt idx="332">
                  <c:v>13.1541</c:v>
                </c:pt>
                <c:pt idx="333">
                  <c:v>13.3684</c:v>
                </c:pt>
                <c:pt idx="334">
                  <c:v>13.6015</c:v>
                </c:pt>
                <c:pt idx="335">
                  <c:v>13.8704</c:v>
                </c:pt>
                <c:pt idx="336">
                  <c:v>14.1297</c:v>
                </c:pt>
                <c:pt idx="337">
                  <c:v>14.4516</c:v>
                </c:pt>
                <c:pt idx="338">
                  <c:v>14.4628</c:v>
                </c:pt>
                <c:pt idx="339">
                  <c:v>14.5759</c:v>
                </c:pt>
                <c:pt idx="340">
                  <c:v>14.7446</c:v>
                </c:pt>
                <c:pt idx="341">
                  <c:v>14.891</c:v>
                </c:pt>
                <c:pt idx="342">
                  <c:v>14.9779</c:v>
                </c:pt>
                <c:pt idx="343">
                  <c:v>15.0854</c:v>
                </c:pt>
                <c:pt idx="344">
                  <c:v>15.1145</c:v>
                </c:pt>
                <c:pt idx="345">
                  <c:v>15.1486</c:v>
                </c:pt>
                <c:pt idx="346">
                  <c:v>14.961</c:v>
                </c:pt>
                <c:pt idx="347">
                  <c:v>14.9462</c:v>
                </c:pt>
                <c:pt idx="348">
                  <c:v>15.1762</c:v>
                </c:pt>
                <c:pt idx="349">
                  <c:v>15.2847</c:v>
                </c:pt>
                <c:pt idx="350">
                  <c:v>15.3318</c:v>
                </c:pt>
                <c:pt idx="351">
                  <c:v>15.3347</c:v>
                </c:pt>
                <c:pt idx="352">
                  <c:v>15.331</c:v>
                </c:pt>
                <c:pt idx="353">
                  <c:v>15.2844</c:v>
                </c:pt>
                <c:pt idx="354">
                  <c:v>15.2954</c:v>
                </c:pt>
                <c:pt idx="355">
                  <c:v>15.3028</c:v>
                </c:pt>
                <c:pt idx="356">
                  <c:v>15.0492</c:v>
                </c:pt>
                <c:pt idx="357">
                  <c:v>14.9002</c:v>
                </c:pt>
                <c:pt idx="358">
                  <c:v>14.938</c:v>
                </c:pt>
                <c:pt idx="359">
                  <c:v>14.7561</c:v>
                </c:pt>
                <c:pt idx="360">
                  <c:v>14.5255</c:v>
                </c:pt>
                <c:pt idx="361">
                  <c:v>14.4298</c:v>
                </c:pt>
                <c:pt idx="362">
                  <c:v>14.1268</c:v>
                </c:pt>
                <c:pt idx="363">
                  <c:v>14.1063</c:v>
                </c:pt>
                <c:pt idx="364">
                  <c:v>13.8226</c:v>
                </c:pt>
                <c:pt idx="365">
                  <c:v>13.5995</c:v>
                </c:pt>
                <c:pt idx="366">
                  <c:v>13.3674</c:v>
                </c:pt>
                <c:pt idx="367">
                  <c:v>13.1959</c:v>
                </c:pt>
                <c:pt idx="368">
                  <c:v>13.0069</c:v>
                </c:pt>
                <c:pt idx="369">
                  <c:v>12.7394</c:v>
                </c:pt>
                <c:pt idx="370">
                  <c:v>12.4757</c:v>
                </c:pt>
                <c:pt idx="371">
                  <c:v>12.1639</c:v>
                </c:pt>
                <c:pt idx="372">
                  <c:v>11.9579</c:v>
                </c:pt>
                <c:pt idx="373">
                  <c:v>11.6902</c:v>
                </c:pt>
                <c:pt idx="374">
                  <c:v>11.5758</c:v>
                </c:pt>
                <c:pt idx="375">
                  <c:v>11.314</c:v>
                </c:pt>
                <c:pt idx="376">
                  <c:v>11.0791</c:v>
                </c:pt>
                <c:pt idx="377">
                  <c:v>10.8666</c:v>
                </c:pt>
                <c:pt idx="378">
                  <c:v>10.6013</c:v>
                </c:pt>
                <c:pt idx="379">
                  <c:v>10.4749</c:v>
                </c:pt>
                <c:pt idx="380">
                  <c:v>10.2838</c:v>
                </c:pt>
                <c:pt idx="381">
                  <c:v>9.98219</c:v>
                </c:pt>
                <c:pt idx="382">
                  <c:v>9.75209</c:v>
                </c:pt>
                <c:pt idx="383">
                  <c:v>9.5118</c:v>
                </c:pt>
                <c:pt idx="384">
                  <c:v>9.28308</c:v>
                </c:pt>
                <c:pt idx="385">
                  <c:v>9.10029</c:v>
                </c:pt>
                <c:pt idx="386">
                  <c:v>8.79083</c:v>
                </c:pt>
                <c:pt idx="387">
                  <c:v>8.61503</c:v>
                </c:pt>
                <c:pt idx="388">
                  <c:v>8.30567</c:v>
                </c:pt>
                <c:pt idx="389">
                  <c:v>7.99991</c:v>
                </c:pt>
                <c:pt idx="390">
                  <c:v>7.73994</c:v>
                </c:pt>
                <c:pt idx="391">
                  <c:v>7.52596</c:v>
                </c:pt>
                <c:pt idx="392">
                  <c:v>7.39136</c:v>
                </c:pt>
                <c:pt idx="393">
                  <c:v>7.31255</c:v>
                </c:pt>
                <c:pt idx="394">
                  <c:v>7.14631</c:v>
                </c:pt>
                <c:pt idx="395">
                  <c:v>6.86127</c:v>
                </c:pt>
                <c:pt idx="396">
                  <c:v>6.47084</c:v>
                </c:pt>
                <c:pt idx="397">
                  <c:v>6.24531</c:v>
                </c:pt>
                <c:pt idx="398">
                  <c:v>6.13287</c:v>
                </c:pt>
                <c:pt idx="399">
                  <c:v>5.75476</c:v>
                </c:pt>
              </c:numCache>
            </c:numRef>
          </c:yVal>
        </c:ser>
        <c:axId val="15485"/>
        <c:axId val="15205"/>
      </c:scatterChart>
      <c:scatterChart>
        <c:scatterStyle val="lineMarker"/>
        <c:varyColors val="0"/>
        <c:ser>
          <c:idx val="0"/>
          <c:order val="0"/>
          <c:tx>
            <c:strRef>
              <c:f>"Theoretical Phase"</c:f>
              <c:strCache>
                <c:ptCount val="1"/>
                <c:pt idx="0">
                  <c:v>Theoretical Phase</c:v>
                </c:pt>
              </c:strCache>
            </c:strRef>
          </c:tx>
          <c:spPr>
            <a:solidFill>
              <a:srgbClr val="660066"/>
            </a:solidFill>
            <a:ln w="38160">
              <a:solidFill>
                <a:srgbClr val="660066"/>
              </a:solidFill>
              <a:round/>
            </a:ln>
          </c:spPr>
          <c:marker>
            <c:size val="4"/>
          </c:marker>
          <c:xVal>
            <c:numRef>
              <c:f>'Bode Plots Calculations'!$A$9:$A$676</c:f>
              <c:numCache>
                <c:formatCode>General</c:formatCode>
                <c:ptCount val="668"/>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1500</c:v>
                </c:pt>
                <c:pt idx="29">
                  <c:v>2000</c:v>
                </c:pt>
                <c:pt idx="30">
                  <c:v>2500</c:v>
                </c:pt>
                <c:pt idx="31">
                  <c:v>3000</c:v>
                </c:pt>
                <c:pt idx="32">
                  <c:v>3500</c:v>
                </c:pt>
                <c:pt idx="33">
                  <c:v>4000</c:v>
                </c:pt>
                <c:pt idx="34">
                  <c:v>4500</c:v>
                </c:pt>
                <c:pt idx="35">
                  <c:v>5000</c:v>
                </c:pt>
                <c:pt idx="36">
                  <c:v>5500</c:v>
                </c:pt>
                <c:pt idx="37">
                  <c:v>6000</c:v>
                </c:pt>
                <c:pt idx="38">
                  <c:v>6500</c:v>
                </c:pt>
                <c:pt idx="39">
                  <c:v>7000</c:v>
                </c:pt>
                <c:pt idx="40">
                  <c:v>7500</c:v>
                </c:pt>
                <c:pt idx="41">
                  <c:v>8000</c:v>
                </c:pt>
                <c:pt idx="42">
                  <c:v>8500</c:v>
                </c:pt>
                <c:pt idx="43">
                  <c:v>9000</c:v>
                </c:pt>
                <c:pt idx="44">
                  <c:v>9500</c:v>
                </c:pt>
                <c:pt idx="45">
                  <c:v>10000</c:v>
                </c:pt>
                <c:pt idx="46">
                  <c:v>10500</c:v>
                </c:pt>
                <c:pt idx="47">
                  <c:v>11000</c:v>
                </c:pt>
                <c:pt idx="48">
                  <c:v>11500</c:v>
                </c:pt>
                <c:pt idx="49">
                  <c:v>12000</c:v>
                </c:pt>
                <c:pt idx="50">
                  <c:v>12500</c:v>
                </c:pt>
                <c:pt idx="51">
                  <c:v>13000</c:v>
                </c:pt>
                <c:pt idx="52">
                  <c:v>13500</c:v>
                </c:pt>
                <c:pt idx="53">
                  <c:v>14000</c:v>
                </c:pt>
                <c:pt idx="54">
                  <c:v>14500</c:v>
                </c:pt>
                <c:pt idx="55">
                  <c:v>15000</c:v>
                </c:pt>
                <c:pt idx="56">
                  <c:v>15500</c:v>
                </c:pt>
                <c:pt idx="57">
                  <c:v>16000</c:v>
                </c:pt>
                <c:pt idx="58">
                  <c:v>16500</c:v>
                </c:pt>
                <c:pt idx="59">
                  <c:v>17000</c:v>
                </c:pt>
                <c:pt idx="60">
                  <c:v>17500</c:v>
                </c:pt>
                <c:pt idx="61">
                  <c:v>18000</c:v>
                </c:pt>
                <c:pt idx="62">
                  <c:v>18500</c:v>
                </c:pt>
                <c:pt idx="63">
                  <c:v>19000</c:v>
                </c:pt>
                <c:pt idx="64">
                  <c:v>19500</c:v>
                </c:pt>
                <c:pt idx="65">
                  <c:v>20000</c:v>
                </c:pt>
                <c:pt idx="66">
                  <c:v>20500</c:v>
                </c:pt>
                <c:pt idx="67">
                  <c:v>21000</c:v>
                </c:pt>
                <c:pt idx="68">
                  <c:v>21500</c:v>
                </c:pt>
                <c:pt idx="69">
                  <c:v>22000</c:v>
                </c:pt>
                <c:pt idx="70">
                  <c:v>22500</c:v>
                </c:pt>
                <c:pt idx="71">
                  <c:v>23000</c:v>
                </c:pt>
                <c:pt idx="72">
                  <c:v>23500</c:v>
                </c:pt>
                <c:pt idx="73">
                  <c:v>24000</c:v>
                </c:pt>
                <c:pt idx="74">
                  <c:v>24500</c:v>
                </c:pt>
                <c:pt idx="75">
                  <c:v>25000</c:v>
                </c:pt>
                <c:pt idx="76">
                  <c:v>25500</c:v>
                </c:pt>
                <c:pt idx="77">
                  <c:v>26000</c:v>
                </c:pt>
                <c:pt idx="78">
                  <c:v>26500</c:v>
                </c:pt>
                <c:pt idx="79">
                  <c:v>27000</c:v>
                </c:pt>
                <c:pt idx="80">
                  <c:v>27500</c:v>
                </c:pt>
                <c:pt idx="81">
                  <c:v>28000</c:v>
                </c:pt>
                <c:pt idx="82">
                  <c:v>28500</c:v>
                </c:pt>
                <c:pt idx="83">
                  <c:v>29000</c:v>
                </c:pt>
                <c:pt idx="84">
                  <c:v>29500</c:v>
                </c:pt>
                <c:pt idx="85">
                  <c:v>30000</c:v>
                </c:pt>
                <c:pt idx="86">
                  <c:v>30500</c:v>
                </c:pt>
                <c:pt idx="87">
                  <c:v>31000</c:v>
                </c:pt>
                <c:pt idx="88">
                  <c:v>31500</c:v>
                </c:pt>
                <c:pt idx="89">
                  <c:v>32000</c:v>
                </c:pt>
                <c:pt idx="90">
                  <c:v>32500</c:v>
                </c:pt>
                <c:pt idx="91">
                  <c:v>33000</c:v>
                </c:pt>
                <c:pt idx="92">
                  <c:v>33500</c:v>
                </c:pt>
                <c:pt idx="93">
                  <c:v>34000</c:v>
                </c:pt>
                <c:pt idx="94">
                  <c:v>34500</c:v>
                </c:pt>
                <c:pt idx="95">
                  <c:v>35000</c:v>
                </c:pt>
                <c:pt idx="96">
                  <c:v>35500</c:v>
                </c:pt>
                <c:pt idx="97">
                  <c:v>36000</c:v>
                </c:pt>
                <c:pt idx="98">
                  <c:v>36500</c:v>
                </c:pt>
                <c:pt idx="99">
                  <c:v>37000</c:v>
                </c:pt>
                <c:pt idx="100">
                  <c:v>37500</c:v>
                </c:pt>
                <c:pt idx="101">
                  <c:v>38000</c:v>
                </c:pt>
                <c:pt idx="102">
                  <c:v>38500</c:v>
                </c:pt>
                <c:pt idx="103">
                  <c:v>39000</c:v>
                </c:pt>
                <c:pt idx="104">
                  <c:v>39500</c:v>
                </c:pt>
                <c:pt idx="105">
                  <c:v>40000</c:v>
                </c:pt>
                <c:pt idx="106">
                  <c:v>40500</c:v>
                </c:pt>
                <c:pt idx="107">
                  <c:v>41000</c:v>
                </c:pt>
                <c:pt idx="108">
                  <c:v>41500</c:v>
                </c:pt>
                <c:pt idx="109">
                  <c:v>42000</c:v>
                </c:pt>
                <c:pt idx="110">
                  <c:v>42500</c:v>
                </c:pt>
                <c:pt idx="111">
                  <c:v>43000</c:v>
                </c:pt>
                <c:pt idx="112">
                  <c:v>43500</c:v>
                </c:pt>
                <c:pt idx="113">
                  <c:v>44000</c:v>
                </c:pt>
                <c:pt idx="114">
                  <c:v>44500</c:v>
                </c:pt>
                <c:pt idx="115">
                  <c:v>45000</c:v>
                </c:pt>
                <c:pt idx="116">
                  <c:v>45500</c:v>
                </c:pt>
                <c:pt idx="117">
                  <c:v>46000</c:v>
                </c:pt>
                <c:pt idx="118">
                  <c:v>46500</c:v>
                </c:pt>
                <c:pt idx="119">
                  <c:v>47000</c:v>
                </c:pt>
                <c:pt idx="120">
                  <c:v>47500</c:v>
                </c:pt>
                <c:pt idx="121">
                  <c:v>48000</c:v>
                </c:pt>
                <c:pt idx="122">
                  <c:v>48500</c:v>
                </c:pt>
                <c:pt idx="123">
                  <c:v>49000</c:v>
                </c:pt>
                <c:pt idx="124">
                  <c:v>49500</c:v>
                </c:pt>
                <c:pt idx="125">
                  <c:v>50000</c:v>
                </c:pt>
                <c:pt idx="126">
                  <c:v>50500</c:v>
                </c:pt>
                <c:pt idx="127">
                  <c:v>51000</c:v>
                </c:pt>
                <c:pt idx="128">
                  <c:v>51500</c:v>
                </c:pt>
                <c:pt idx="129">
                  <c:v>52000</c:v>
                </c:pt>
                <c:pt idx="130">
                  <c:v>52500</c:v>
                </c:pt>
                <c:pt idx="131">
                  <c:v>53000</c:v>
                </c:pt>
                <c:pt idx="132">
                  <c:v>53500</c:v>
                </c:pt>
                <c:pt idx="133">
                  <c:v>54000</c:v>
                </c:pt>
                <c:pt idx="134">
                  <c:v>54500</c:v>
                </c:pt>
                <c:pt idx="135">
                  <c:v>55000</c:v>
                </c:pt>
                <c:pt idx="136">
                  <c:v>55500</c:v>
                </c:pt>
                <c:pt idx="137">
                  <c:v>56000</c:v>
                </c:pt>
                <c:pt idx="138">
                  <c:v>56500</c:v>
                </c:pt>
                <c:pt idx="139">
                  <c:v>57000</c:v>
                </c:pt>
                <c:pt idx="140">
                  <c:v>57500</c:v>
                </c:pt>
                <c:pt idx="141">
                  <c:v>58000</c:v>
                </c:pt>
                <c:pt idx="142">
                  <c:v>58500</c:v>
                </c:pt>
                <c:pt idx="143">
                  <c:v>59000</c:v>
                </c:pt>
                <c:pt idx="144">
                  <c:v>59500</c:v>
                </c:pt>
                <c:pt idx="145">
                  <c:v>60000</c:v>
                </c:pt>
                <c:pt idx="146">
                  <c:v>60500</c:v>
                </c:pt>
                <c:pt idx="147">
                  <c:v>61000</c:v>
                </c:pt>
                <c:pt idx="148">
                  <c:v>61500</c:v>
                </c:pt>
                <c:pt idx="149">
                  <c:v>62000</c:v>
                </c:pt>
                <c:pt idx="150">
                  <c:v>62500</c:v>
                </c:pt>
                <c:pt idx="151">
                  <c:v>63000</c:v>
                </c:pt>
                <c:pt idx="152">
                  <c:v>63500</c:v>
                </c:pt>
                <c:pt idx="153">
                  <c:v>64000</c:v>
                </c:pt>
                <c:pt idx="154">
                  <c:v>64500</c:v>
                </c:pt>
                <c:pt idx="155">
                  <c:v>65000</c:v>
                </c:pt>
                <c:pt idx="156">
                  <c:v>65500</c:v>
                </c:pt>
                <c:pt idx="157">
                  <c:v>66000</c:v>
                </c:pt>
                <c:pt idx="158">
                  <c:v>66500</c:v>
                </c:pt>
                <c:pt idx="159">
                  <c:v>67000</c:v>
                </c:pt>
                <c:pt idx="160">
                  <c:v>67500</c:v>
                </c:pt>
                <c:pt idx="161">
                  <c:v>68000</c:v>
                </c:pt>
                <c:pt idx="162">
                  <c:v>68500</c:v>
                </c:pt>
                <c:pt idx="163">
                  <c:v>69000</c:v>
                </c:pt>
                <c:pt idx="164">
                  <c:v>69500</c:v>
                </c:pt>
                <c:pt idx="165">
                  <c:v>70000</c:v>
                </c:pt>
                <c:pt idx="166">
                  <c:v>70500</c:v>
                </c:pt>
                <c:pt idx="167">
                  <c:v>71000</c:v>
                </c:pt>
                <c:pt idx="168">
                  <c:v>71500</c:v>
                </c:pt>
                <c:pt idx="169">
                  <c:v>72000</c:v>
                </c:pt>
                <c:pt idx="170">
                  <c:v>72500</c:v>
                </c:pt>
                <c:pt idx="171">
                  <c:v>73000</c:v>
                </c:pt>
                <c:pt idx="172">
                  <c:v>73500</c:v>
                </c:pt>
                <c:pt idx="173">
                  <c:v>74000</c:v>
                </c:pt>
                <c:pt idx="174">
                  <c:v>74500</c:v>
                </c:pt>
                <c:pt idx="175">
                  <c:v>75000</c:v>
                </c:pt>
                <c:pt idx="176">
                  <c:v>75500</c:v>
                </c:pt>
                <c:pt idx="177">
                  <c:v>76000</c:v>
                </c:pt>
                <c:pt idx="178">
                  <c:v>76500</c:v>
                </c:pt>
                <c:pt idx="179">
                  <c:v>77000</c:v>
                </c:pt>
                <c:pt idx="180">
                  <c:v>77500</c:v>
                </c:pt>
                <c:pt idx="181">
                  <c:v>78000</c:v>
                </c:pt>
                <c:pt idx="182">
                  <c:v>78500</c:v>
                </c:pt>
                <c:pt idx="183">
                  <c:v>79000</c:v>
                </c:pt>
                <c:pt idx="184">
                  <c:v>79500</c:v>
                </c:pt>
                <c:pt idx="185">
                  <c:v>80000</c:v>
                </c:pt>
                <c:pt idx="186">
                  <c:v>80500</c:v>
                </c:pt>
                <c:pt idx="187">
                  <c:v>81000</c:v>
                </c:pt>
                <c:pt idx="188">
                  <c:v>81500</c:v>
                </c:pt>
                <c:pt idx="189">
                  <c:v>82000</c:v>
                </c:pt>
                <c:pt idx="190">
                  <c:v>82500</c:v>
                </c:pt>
                <c:pt idx="191">
                  <c:v>83000</c:v>
                </c:pt>
                <c:pt idx="192">
                  <c:v>83500</c:v>
                </c:pt>
                <c:pt idx="193">
                  <c:v>84000</c:v>
                </c:pt>
                <c:pt idx="194">
                  <c:v>84500</c:v>
                </c:pt>
                <c:pt idx="195">
                  <c:v>85000</c:v>
                </c:pt>
                <c:pt idx="196">
                  <c:v>85500</c:v>
                </c:pt>
                <c:pt idx="197">
                  <c:v>86000</c:v>
                </c:pt>
                <c:pt idx="198">
                  <c:v>86500</c:v>
                </c:pt>
                <c:pt idx="199">
                  <c:v>87000</c:v>
                </c:pt>
                <c:pt idx="200">
                  <c:v>87500</c:v>
                </c:pt>
                <c:pt idx="201">
                  <c:v>88000</c:v>
                </c:pt>
                <c:pt idx="202">
                  <c:v>88500</c:v>
                </c:pt>
                <c:pt idx="203">
                  <c:v>89000</c:v>
                </c:pt>
                <c:pt idx="204">
                  <c:v>89500</c:v>
                </c:pt>
                <c:pt idx="205">
                  <c:v>90000</c:v>
                </c:pt>
                <c:pt idx="206">
                  <c:v>90500</c:v>
                </c:pt>
                <c:pt idx="207">
                  <c:v>91000</c:v>
                </c:pt>
                <c:pt idx="208">
                  <c:v>91500</c:v>
                </c:pt>
                <c:pt idx="209">
                  <c:v>92000</c:v>
                </c:pt>
                <c:pt idx="210">
                  <c:v>92500</c:v>
                </c:pt>
                <c:pt idx="211">
                  <c:v>93000</c:v>
                </c:pt>
                <c:pt idx="212">
                  <c:v>93500</c:v>
                </c:pt>
                <c:pt idx="213">
                  <c:v>94000</c:v>
                </c:pt>
                <c:pt idx="214">
                  <c:v>94500</c:v>
                </c:pt>
                <c:pt idx="215">
                  <c:v>95000</c:v>
                </c:pt>
                <c:pt idx="216">
                  <c:v>95500</c:v>
                </c:pt>
                <c:pt idx="217">
                  <c:v>96000</c:v>
                </c:pt>
                <c:pt idx="218">
                  <c:v>96500</c:v>
                </c:pt>
                <c:pt idx="219">
                  <c:v>97000</c:v>
                </c:pt>
                <c:pt idx="220">
                  <c:v>97500</c:v>
                </c:pt>
                <c:pt idx="221">
                  <c:v>98000</c:v>
                </c:pt>
                <c:pt idx="222">
                  <c:v>98500</c:v>
                </c:pt>
                <c:pt idx="223">
                  <c:v>99000</c:v>
                </c:pt>
                <c:pt idx="224">
                  <c:v>99500</c:v>
                </c:pt>
                <c:pt idx="225">
                  <c:v>100000</c:v>
                </c:pt>
                <c:pt idx="226">
                  <c:v>105000</c:v>
                </c:pt>
                <c:pt idx="227">
                  <c:v>110000</c:v>
                </c:pt>
                <c:pt idx="228">
                  <c:v>115000</c:v>
                </c:pt>
                <c:pt idx="229">
                  <c:v>120000</c:v>
                </c:pt>
                <c:pt idx="230">
                  <c:v>125000</c:v>
                </c:pt>
                <c:pt idx="231">
                  <c:v>130000</c:v>
                </c:pt>
                <c:pt idx="232">
                  <c:v>135000</c:v>
                </c:pt>
                <c:pt idx="233">
                  <c:v>140000</c:v>
                </c:pt>
                <c:pt idx="234">
                  <c:v>145000</c:v>
                </c:pt>
                <c:pt idx="235">
                  <c:v>150000</c:v>
                </c:pt>
                <c:pt idx="236">
                  <c:v>155000</c:v>
                </c:pt>
                <c:pt idx="237">
                  <c:v>160000</c:v>
                </c:pt>
                <c:pt idx="238">
                  <c:v>165000</c:v>
                </c:pt>
                <c:pt idx="239">
                  <c:v>170000</c:v>
                </c:pt>
                <c:pt idx="240">
                  <c:v>175000</c:v>
                </c:pt>
                <c:pt idx="241">
                  <c:v>180000</c:v>
                </c:pt>
                <c:pt idx="242">
                  <c:v>185000</c:v>
                </c:pt>
                <c:pt idx="243">
                  <c:v>190000</c:v>
                </c:pt>
                <c:pt idx="244">
                  <c:v>195000</c:v>
                </c:pt>
                <c:pt idx="245">
                  <c:v>200000</c:v>
                </c:pt>
                <c:pt idx="246">
                  <c:v>205000</c:v>
                </c:pt>
                <c:pt idx="247">
                  <c:v>210000</c:v>
                </c:pt>
                <c:pt idx="248">
                  <c:v>215000</c:v>
                </c:pt>
                <c:pt idx="249">
                  <c:v>220000</c:v>
                </c:pt>
                <c:pt idx="250">
                  <c:v>225000</c:v>
                </c:pt>
                <c:pt idx="251">
                  <c:v>230000</c:v>
                </c:pt>
                <c:pt idx="252">
                  <c:v>235000</c:v>
                </c:pt>
                <c:pt idx="253">
                  <c:v>240000</c:v>
                </c:pt>
                <c:pt idx="254">
                  <c:v>245000</c:v>
                </c:pt>
                <c:pt idx="255">
                  <c:v>250000</c:v>
                </c:pt>
                <c:pt idx="256">
                  <c:v>255000</c:v>
                </c:pt>
                <c:pt idx="257">
                  <c:v>260000</c:v>
                </c:pt>
                <c:pt idx="258">
                  <c:v>265000</c:v>
                </c:pt>
                <c:pt idx="259">
                  <c:v>270000</c:v>
                </c:pt>
                <c:pt idx="260">
                  <c:v>275000</c:v>
                </c:pt>
                <c:pt idx="261">
                  <c:v>280000</c:v>
                </c:pt>
                <c:pt idx="262">
                  <c:v>285000</c:v>
                </c:pt>
                <c:pt idx="263">
                  <c:v>290000</c:v>
                </c:pt>
                <c:pt idx="264">
                  <c:v>295000</c:v>
                </c:pt>
                <c:pt idx="265">
                  <c:v>300000</c:v>
                </c:pt>
                <c:pt idx="266">
                  <c:v>305000</c:v>
                </c:pt>
                <c:pt idx="267">
                  <c:v>310000</c:v>
                </c:pt>
                <c:pt idx="268">
                  <c:v>315000</c:v>
                </c:pt>
                <c:pt idx="269">
                  <c:v>320000</c:v>
                </c:pt>
                <c:pt idx="270">
                  <c:v>325000</c:v>
                </c:pt>
                <c:pt idx="271">
                  <c:v>330000</c:v>
                </c:pt>
                <c:pt idx="272">
                  <c:v>335000</c:v>
                </c:pt>
                <c:pt idx="273">
                  <c:v>340000</c:v>
                </c:pt>
                <c:pt idx="274">
                  <c:v>345000</c:v>
                </c:pt>
                <c:pt idx="275">
                  <c:v>350000</c:v>
                </c:pt>
                <c:pt idx="276">
                  <c:v>355000</c:v>
                </c:pt>
                <c:pt idx="277">
                  <c:v>360000</c:v>
                </c:pt>
                <c:pt idx="278">
                  <c:v>365000</c:v>
                </c:pt>
                <c:pt idx="279">
                  <c:v>370000</c:v>
                </c:pt>
                <c:pt idx="280">
                  <c:v>375000</c:v>
                </c:pt>
                <c:pt idx="281">
                  <c:v>380000</c:v>
                </c:pt>
                <c:pt idx="282">
                  <c:v>385000</c:v>
                </c:pt>
                <c:pt idx="283">
                  <c:v>390000</c:v>
                </c:pt>
                <c:pt idx="284">
                  <c:v>395000</c:v>
                </c:pt>
                <c:pt idx="285">
                  <c:v>400000</c:v>
                </c:pt>
                <c:pt idx="286">
                  <c:v>405000</c:v>
                </c:pt>
                <c:pt idx="287">
                  <c:v>410000</c:v>
                </c:pt>
                <c:pt idx="288">
                  <c:v>415000</c:v>
                </c:pt>
                <c:pt idx="289">
                  <c:v>420000</c:v>
                </c:pt>
                <c:pt idx="290">
                  <c:v>425000</c:v>
                </c:pt>
                <c:pt idx="291">
                  <c:v>430000</c:v>
                </c:pt>
                <c:pt idx="292">
                  <c:v>435000</c:v>
                </c:pt>
                <c:pt idx="293">
                  <c:v>440000</c:v>
                </c:pt>
                <c:pt idx="294">
                  <c:v>445000</c:v>
                </c:pt>
                <c:pt idx="295">
                  <c:v>450000</c:v>
                </c:pt>
                <c:pt idx="296">
                  <c:v>455000</c:v>
                </c:pt>
                <c:pt idx="297">
                  <c:v>460000</c:v>
                </c:pt>
                <c:pt idx="298">
                  <c:v>465000</c:v>
                </c:pt>
                <c:pt idx="299">
                  <c:v>470000</c:v>
                </c:pt>
                <c:pt idx="300">
                  <c:v>475000</c:v>
                </c:pt>
                <c:pt idx="301">
                  <c:v>480000</c:v>
                </c:pt>
                <c:pt idx="302">
                  <c:v>485000</c:v>
                </c:pt>
                <c:pt idx="303">
                  <c:v>490000</c:v>
                </c:pt>
                <c:pt idx="304">
                  <c:v>495000</c:v>
                </c:pt>
                <c:pt idx="305">
                  <c:v>500000</c:v>
                </c:pt>
                <c:pt idx="306">
                  <c:v>505000</c:v>
                </c:pt>
                <c:pt idx="307">
                  <c:v>510000</c:v>
                </c:pt>
                <c:pt idx="308">
                  <c:v>515000</c:v>
                </c:pt>
                <c:pt idx="309">
                  <c:v>520000</c:v>
                </c:pt>
                <c:pt idx="310">
                  <c:v>525000</c:v>
                </c:pt>
                <c:pt idx="311">
                  <c:v>530000</c:v>
                </c:pt>
                <c:pt idx="312">
                  <c:v>535000</c:v>
                </c:pt>
                <c:pt idx="313">
                  <c:v>540000</c:v>
                </c:pt>
                <c:pt idx="314">
                  <c:v>545000</c:v>
                </c:pt>
                <c:pt idx="315">
                  <c:v>550000</c:v>
                </c:pt>
                <c:pt idx="316">
                  <c:v>555000</c:v>
                </c:pt>
                <c:pt idx="317">
                  <c:v>560000</c:v>
                </c:pt>
                <c:pt idx="318">
                  <c:v>565000</c:v>
                </c:pt>
                <c:pt idx="319">
                  <c:v>570000</c:v>
                </c:pt>
                <c:pt idx="320">
                  <c:v>575000</c:v>
                </c:pt>
                <c:pt idx="321">
                  <c:v>580000</c:v>
                </c:pt>
                <c:pt idx="322">
                  <c:v>585000</c:v>
                </c:pt>
                <c:pt idx="323">
                  <c:v>590000</c:v>
                </c:pt>
                <c:pt idx="324">
                  <c:v>595000</c:v>
                </c:pt>
                <c:pt idx="325">
                  <c:v>600000</c:v>
                </c:pt>
                <c:pt idx="326">
                  <c:v>605000</c:v>
                </c:pt>
                <c:pt idx="327">
                  <c:v>610000</c:v>
                </c:pt>
                <c:pt idx="328">
                  <c:v>615000</c:v>
                </c:pt>
                <c:pt idx="329">
                  <c:v>620000</c:v>
                </c:pt>
                <c:pt idx="330">
                  <c:v>625000</c:v>
                </c:pt>
                <c:pt idx="331">
                  <c:v>630000</c:v>
                </c:pt>
                <c:pt idx="332">
                  <c:v>635000</c:v>
                </c:pt>
                <c:pt idx="333">
                  <c:v>640000</c:v>
                </c:pt>
                <c:pt idx="334">
                  <c:v>645000</c:v>
                </c:pt>
                <c:pt idx="335">
                  <c:v>650000</c:v>
                </c:pt>
                <c:pt idx="336">
                  <c:v>655000</c:v>
                </c:pt>
                <c:pt idx="337">
                  <c:v>660000</c:v>
                </c:pt>
                <c:pt idx="338">
                  <c:v>665000</c:v>
                </c:pt>
                <c:pt idx="339">
                  <c:v>670000</c:v>
                </c:pt>
                <c:pt idx="340">
                  <c:v>675000</c:v>
                </c:pt>
                <c:pt idx="341">
                  <c:v>680000</c:v>
                </c:pt>
                <c:pt idx="342">
                  <c:v>685000</c:v>
                </c:pt>
                <c:pt idx="343">
                  <c:v>690000</c:v>
                </c:pt>
                <c:pt idx="344">
                  <c:v>695000</c:v>
                </c:pt>
                <c:pt idx="345">
                  <c:v>700000</c:v>
                </c:pt>
                <c:pt idx="346">
                  <c:v>705000</c:v>
                </c:pt>
                <c:pt idx="347">
                  <c:v>710000</c:v>
                </c:pt>
                <c:pt idx="348">
                  <c:v>715000</c:v>
                </c:pt>
                <c:pt idx="349">
                  <c:v>720000</c:v>
                </c:pt>
                <c:pt idx="350">
                  <c:v>725000</c:v>
                </c:pt>
                <c:pt idx="351">
                  <c:v>730000</c:v>
                </c:pt>
                <c:pt idx="352">
                  <c:v>735000</c:v>
                </c:pt>
                <c:pt idx="353">
                  <c:v>740000</c:v>
                </c:pt>
                <c:pt idx="354">
                  <c:v>745000</c:v>
                </c:pt>
                <c:pt idx="355">
                  <c:v>750000</c:v>
                </c:pt>
                <c:pt idx="356">
                  <c:v>755000</c:v>
                </c:pt>
                <c:pt idx="357">
                  <c:v>760000</c:v>
                </c:pt>
                <c:pt idx="358">
                  <c:v>765000</c:v>
                </c:pt>
                <c:pt idx="359">
                  <c:v>770000</c:v>
                </c:pt>
                <c:pt idx="360">
                  <c:v>775000</c:v>
                </c:pt>
                <c:pt idx="361">
                  <c:v>780000</c:v>
                </c:pt>
                <c:pt idx="362">
                  <c:v>785000</c:v>
                </c:pt>
                <c:pt idx="363">
                  <c:v>790000</c:v>
                </c:pt>
                <c:pt idx="364">
                  <c:v>795000</c:v>
                </c:pt>
                <c:pt idx="365">
                  <c:v>800000</c:v>
                </c:pt>
                <c:pt idx="366">
                  <c:v>805000</c:v>
                </c:pt>
                <c:pt idx="367">
                  <c:v>810000</c:v>
                </c:pt>
                <c:pt idx="368">
                  <c:v>815000</c:v>
                </c:pt>
                <c:pt idx="369">
                  <c:v>820000</c:v>
                </c:pt>
                <c:pt idx="370">
                  <c:v>825000</c:v>
                </c:pt>
                <c:pt idx="371">
                  <c:v>830000</c:v>
                </c:pt>
                <c:pt idx="372">
                  <c:v>835000</c:v>
                </c:pt>
                <c:pt idx="373">
                  <c:v>840000</c:v>
                </c:pt>
                <c:pt idx="374">
                  <c:v>845000</c:v>
                </c:pt>
                <c:pt idx="375">
                  <c:v>850000</c:v>
                </c:pt>
                <c:pt idx="376">
                  <c:v>855000</c:v>
                </c:pt>
                <c:pt idx="377">
                  <c:v>860000</c:v>
                </c:pt>
                <c:pt idx="378">
                  <c:v>865000</c:v>
                </c:pt>
                <c:pt idx="379">
                  <c:v>870000</c:v>
                </c:pt>
                <c:pt idx="380">
                  <c:v>875000</c:v>
                </c:pt>
                <c:pt idx="381">
                  <c:v>880000</c:v>
                </c:pt>
                <c:pt idx="382">
                  <c:v>885000</c:v>
                </c:pt>
                <c:pt idx="383">
                  <c:v>890000</c:v>
                </c:pt>
                <c:pt idx="384">
                  <c:v>895000</c:v>
                </c:pt>
                <c:pt idx="385">
                  <c:v>900000</c:v>
                </c:pt>
                <c:pt idx="386">
                  <c:v>905000</c:v>
                </c:pt>
                <c:pt idx="387">
                  <c:v>910000</c:v>
                </c:pt>
                <c:pt idx="388">
                  <c:v>915000</c:v>
                </c:pt>
                <c:pt idx="389">
                  <c:v>920000</c:v>
                </c:pt>
                <c:pt idx="390">
                  <c:v>925000</c:v>
                </c:pt>
                <c:pt idx="391">
                  <c:v>930000</c:v>
                </c:pt>
                <c:pt idx="392">
                  <c:v>935000</c:v>
                </c:pt>
                <c:pt idx="393">
                  <c:v>940000</c:v>
                </c:pt>
                <c:pt idx="394">
                  <c:v>945000</c:v>
                </c:pt>
                <c:pt idx="395">
                  <c:v>950000</c:v>
                </c:pt>
                <c:pt idx="396">
                  <c:v>955000</c:v>
                </c:pt>
                <c:pt idx="397">
                  <c:v>960000</c:v>
                </c:pt>
                <c:pt idx="398">
                  <c:v>965000</c:v>
                </c:pt>
                <c:pt idx="399">
                  <c:v>970000</c:v>
                </c:pt>
                <c:pt idx="400">
                  <c:v>975000</c:v>
                </c:pt>
                <c:pt idx="401">
                  <c:v>980000</c:v>
                </c:pt>
                <c:pt idx="402">
                  <c:v>985000</c:v>
                </c:pt>
                <c:pt idx="403">
                  <c:v>990000</c:v>
                </c:pt>
                <c:pt idx="404">
                  <c:v>995000</c:v>
                </c:pt>
                <c:pt idx="405">
                  <c:v>1000000</c:v>
                </c:pt>
                <c:pt idx="406">
                  <c:v>1005000</c:v>
                </c:pt>
                <c:pt idx="407">
                  <c:v>1010000</c:v>
                </c:pt>
                <c:pt idx="408">
                  <c:v>1015000</c:v>
                </c:pt>
                <c:pt idx="409">
                  <c:v>1020000</c:v>
                </c:pt>
                <c:pt idx="410">
                  <c:v>1025000</c:v>
                </c:pt>
                <c:pt idx="411">
                  <c:v>1030000</c:v>
                </c:pt>
                <c:pt idx="412">
                  <c:v>1035000</c:v>
                </c:pt>
                <c:pt idx="413">
                  <c:v>1040000</c:v>
                </c:pt>
                <c:pt idx="414">
                  <c:v>1045000</c:v>
                </c:pt>
                <c:pt idx="415">
                  <c:v>1050000</c:v>
                </c:pt>
                <c:pt idx="416">
                  <c:v>1055000</c:v>
                </c:pt>
                <c:pt idx="417">
                  <c:v>1060000</c:v>
                </c:pt>
                <c:pt idx="418">
                  <c:v>1065000</c:v>
                </c:pt>
                <c:pt idx="419">
                  <c:v>1070000</c:v>
                </c:pt>
                <c:pt idx="420">
                  <c:v>1075000</c:v>
                </c:pt>
                <c:pt idx="421">
                  <c:v>1080000</c:v>
                </c:pt>
                <c:pt idx="422">
                  <c:v>1085000</c:v>
                </c:pt>
                <c:pt idx="423">
                  <c:v>1090000</c:v>
                </c:pt>
                <c:pt idx="424">
                  <c:v>1095000</c:v>
                </c:pt>
                <c:pt idx="425">
                  <c:v>1100000</c:v>
                </c:pt>
                <c:pt idx="426">
                  <c:v>1105000</c:v>
                </c:pt>
                <c:pt idx="427">
                  <c:v>1110000</c:v>
                </c:pt>
                <c:pt idx="428">
                  <c:v>1115000</c:v>
                </c:pt>
                <c:pt idx="429">
                  <c:v>1120000</c:v>
                </c:pt>
                <c:pt idx="430">
                  <c:v>1125000</c:v>
                </c:pt>
                <c:pt idx="431">
                  <c:v>1130000</c:v>
                </c:pt>
                <c:pt idx="432">
                  <c:v>1135000</c:v>
                </c:pt>
                <c:pt idx="433">
                  <c:v>1140000</c:v>
                </c:pt>
                <c:pt idx="434">
                  <c:v>1145000</c:v>
                </c:pt>
                <c:pt idx="435">
                  <c:v>1150000</c:v>
                </c:pt>
                <c:pt idx="436">
                  <c:v>1155000</c:v>
                </c:pt>
                <c:pt idx="437">
                  <c:v>1160000</c:v>
                </c:pt>
                <c:pt idx="438">
                  <c:v>1165000</c:v>
                </c:pt>
                <c:pt idx="439">
                  <c:v>1170000</c:v>
                </c:pt>
                <c:pt idx="440">
                  <c:v>1175000</c:v>
                </c:pt>
                <c:pt idx="441">
                  <c:v>1180000</c:v>
                </c:pt>
                <c:pt idx="442">
                  <c:v>1185000</c:v>
                </c:pt>
                <c:pt idx="443">
                  <c:v>1190000</c:v>
                </c:pt>
                <c:pt idx="444">
                  <c:v>1195000</c:v>
                </c:pt>
                <c:pt idx="445">
                  <c:v>1200000</c:v>
                </c:pt>
                <c:pt idx="446">
                  <c:v>1205000</c:v>
                </c:pt>
                <c:pt idx="447">
                  <c:v>1210000</c:v>
                </c:pt>
                <c:pt idx="448">
                  <c:v>1215000</c:v>
                </c:pt>
                <c:pt idx="449">
                  <c:v>1220000</c:v>
                </c:pt>
                <c:pt idx="450">
                  <c:v>1225000</c:v>
                </c:pt>
                <c:pt idx="451">
                  <c:v>1230000</c:v>
                </c:pt>
                <c:pt idx="452">
                  <c:v>1235000</c:v>
                </c:pt>
                <c:pt idx="453">
                  <c:v>1240000</c:v>
                </c:pt>
                <c:pt idx="454">
                  <c:v>1245000</c:v>
                </c:pt>
                <c:pt idx="455">
                  <c:v>1250000</c:v>
                </c:pt>
                <c:pt idx="456">
                  <c:v>1255000</c:v>
                </c:pt>
                <c:pt idx="457">
                  <c:v>1260000</c:v>
                </c:pt>
                <c:pt idx="458">
                  <c:v>1265000</c:v>
                </c:pt>
                <c:pt idx="459">
                  <c:v>1270000</c:v>
                </c:pt>
                <c:pt idx="460">
                  <c:v>1275000</c:v>
                </c:pt>
                <c:pt idx="461">
                  <c:v>1280000</c:v>
                </c:pt>
                <c:pt idx="462">
                  <c:v>1285000</c:v>
                </c:pt>
                <c:pt idx="463">
                  <c:v>1290000</c:v>
                </c:pt>
                <c:pt idx="464">
                  <c:v>1295000</c:v>
                </c:pt>
                <c:pt idx="465">
                  <c:v>1300000</c:v>
                </c:pt>
                <c:pt idx="466">
                  <c:v>1305000</c:v>
                </c:pt>
                <c:pt idx="467">
                  <c:v>1310000</c:v>
                </c:pt>
                <c:pt idx="468">
                  <c:v>1315000</c:v>
                </c:pt>
                <c:pt idx="469">
                  <c:v>1320000</c:v>
                </c:pt>
                <c:pt idx="470">
                  <c:v>1325000</c:v>
                </c:pt>
                <c:pt idx="471">
                  <c:v>1330000</c:v>
                </c:pt>
                <c:pt idx="472">
                  <c:v>1335000</c:v>
                </c:pt>
                <c:pt idx="473">
                  <c:v>1340000</c:v>
                </c:pt>
                <c:pt idx="474">
                  <c:v>1345000</c:v>
                </c:pt>
                <c:pt idx="475">
                  <c:v>1350000</c:v>
                </c:pt>
                <c:pt idx="476">
                  <c:v>1355000</c:v>
                </c:pt>
                <c:pt idx="477">
                  <c:v>1360000</c:v>
                </c:pt>
                <c:pt idx="478">
                  <c:v>1365000</c:v>
                </c:pt>
                <c:pt idx="479">
                  <c:v>1370000</c:v>
                </c:pt>
                <c:pt idx="480">
                  <c:v>1375000</c:v>
                </c:pt>
                <c:pt idx="481">
                  <c:v>1380000</c:v>
                </c:pt>
                <c:pt idx="482">
                  <c:v>1385000</c:v>
                </c:pt>
                <c:pt idx="483">
                  <c:v>1390000</c:v>
                </c:pt>
                <c:pt idx="484">
                  <c:v>1395000</c:v>
                </c:pt>
                <c:pt idx="485">
                  <c:v>1400000</c:v>
                </c:pt>
                <c:pt idx="486">
                  <c:v>1405000</c:v>
                </c:pt>
                <c:pt idx="487">
                  <c:v>1410000</c:v>
                </c:pt>
                <c:pt idx="488">
                  <c:v>1415000</c:v>
                </c:pt>
                <c:pt idx="489">
                  <c:v>1420000</c:v>
                </c:pt>
                <c:pt idx="490">
                  <c:v>1425000</c:v>
                </c:pt>
                <c:pt idx="491">
                  <c:v>1430000</c:v>
                </c:pt>
                <c:pt idx="492">
                  <c:v>1435000</c:v>
                </c:pt>
                <c:pt idx="493">
                  <c:v>1440000</c:v>
                </c:pt>
                <c:pt idx="494">
                  <c:v>1445000</c:v>
                </c:pt>
                <c:pt idx="495">
                  <c:v>1450000</c:v>
                </c:pt>
                <c:pt idx="496">
                  <c:v>1455000</c:v>
                </c:pt>
                <c:pt idx="497">
                  <c:v>1460000</c:v>
                </c:pt>
                <c:pt idx="498">
                  <c:v>1465000</c:v>
                </c:pt>
                <c:pt idx="499">
                  <c:v>1470000</c:v>
                </c:pt>
                <c:pt idx="500">
                  <c:v>1475000</c:v>
                </c:pt>
                <c:pt idx="501">
                  <c:v>1480000</c:v>
                </c:pt>
                <c:pt idx="502">
                  <c:v>1485000</c:v>
                </c:pt>
                <c:pt idx="503">
                  <c:v>1490000</c:v>
                </c:pt>
                <c:pt idx="504">
                  <c:v>1495000</c:v>
                </c:pt>
                <c:pt idx="505">
                  <c:v>1500000</c:v>
                </c:pt>
                <c:pt idx="506">
                  <c:v>1505000</c:v>
                </c:pt>
                <c:pt idx="507">
                  <c:v>1510000</c:v>
                </c:pt>
                <c:pt idx="508">
                  <c:v>1515000</c:v>
                </c:pt>
                <c:pt idx="509">
                  <c:v>1520000</c:v>
                </c:pt>
                <c:pt idx="510">
                  <c:v>1525000</c:v>
                </c:pt>
                <c:pt idx="511">
                  <c:v>1530000</c:v>
                </c:pt>
                <c:pt idx="512">
                  <c:v>1535000</c:v>
                </c:pt>
                <c:pt idx="513">
                  <c:v>1540000</c:v>
                </c:pt>
                <c:pt idx="514">
                  <c:v>1545000</c:v>
                </c:pt>
                <c:pt idx="515">
                  <c:v>1550000</c:v>
                </c:pt>
                <c:pt idx="516">
                  <c:v>1555000</c:v>
                </c:pt>
                <c:pt idx="517">
                  <c:v>1560000</c:v>
                </c:pt>
                <c:pt idx="518">
                  <c:v>1565000</c:v>
                </c:pt>
                <c:pt idx="519">
                  <c:v>1570000</c:v>
                </c:pt>
                <c:pt idx="520">
                  <c:v>1575000</c:v>
                </c:pt>
                <c:pt idx="521">
                  <c:v>1580000</c:v>
                </c:pt>
                <c:pt idx="522">
                  <c:v>1585000</c:v>
                </c:pt>
                <c:pt idx="523">
                  <c:v>1590000</c:v>
                </c:pt>
                <c:pt idx="524">
                  <c:v>1595000</c:v>
                </c:pt>
                <c:pt idx="525">
                  <c:v>1600000</c:v>
                </c:pt>
                <c:pt idx="526">
                  <c:v>1605000</c:v>
                </c:pt>
                <c:pt idx="527">
                  <c:v>1610000</c:v>
                </c:pt>
                <c:pt idx="528">
                  <c:v>1615000</c:v>
                </c:pt>
                <c:pt idx="529">
                  <c:v>1620000</c:v>
                </c:pt>
                <c:pt idx="530">
                  <c:v>1625000</c:v>
                </c:pt>
                <c:pt idx="531">
                  <c:v>1630000</c:v>
                </c:pt>
                <c:pt idx="532">
                  <c:v>1635000</c:v>
                </c:pt>
                <c:pt idx="533">
                  <c:v>1640000</c:v>
                </c:pt>
                <c:pt idx="534">
                  <c:v>1645000</c:v>
                </c:pt>
                <c:pt idx="535">
                  <c:v>1650000</c:v>
                </c:pt>
                <c:pt idx="536">
                  <c:v>1655000</c:v>
                </c:pt>
                <c:pt idx="537">
                  <c:v>1660000</c:v>
                </c:pt>
                <c:pt idx="538">
                  <c:v>1665000</c:v>
                </c:pt>
                <c:pt idx="539">
                  <c:v>1670000</c:v>
                </c:pt>
                <c:pt idx="540">
                  <c:v>1675000</c:v>
                </c:pt>
                <c:pt idx="541">
                  <c:v>1680000</c:v>
                </c:pt>
                <c:pt idx="542">
                  <c:v>1685000</c:v>
                </c:pt>
                <c:pt idx="543">
                  <c:v>1690000</c:v>
                </c:pt>
                <c:pt idx="544">
                  <c:v>1695000</c:v>
                </c:pt>
                <c:pt idx="545">
                  <c:v>1700000</c:v>
                </c:pt>
                <c:pt idx="546">
                  <c:v>1705000</c:v>
                </c:pt>
                <c:pt idx="547">
                  <c:v>1710000</c:v>
                </c:pt>
                <c:pt idx="548">
                  <c:v>1715000</c:v>
                </c:pt>
                <c:pt idx="549">
                  <c:v>1720000</c:v>
                </c:pt>
                <c:pt idx="550">
                  <c:v>1725000</c:v>
                </c:pt>
                <c:pt idx="551">
                  <c:v>1730000</c:v>
                </c:pt>
                <c:pt idx="552">
                  <c:v>1735000</c:v>
                </c:pt>
                <c:pt idx="553">
                  <c:v>1740000</c:v>
                </c:pt>
                <c:pt idx="554">
                  <c:v>1745000</c:v>
                </c:pt>
                <c:pt idx="555">
                  <c:v>1750000</c:v>
                </c:pt>
                <c:pt idx="556">
                  <c:v>1755000</c:v>
                </c:pt>
                <c:pt idx="557">
                  <c:v>1760000</c:v>
                </c:pt>
                <c:pt idx="558">
                  <c:v>1765000</c:v>
                </c:pt>
                <c:pt idx="559">
                  <c:v>1770000</c:v>
                </c:pt>
                <c:pt idx="560">
                  <c:v>1775000</c:v>
                </c:pt>
                <c:pt idx="561">
                  <c:v>1780000</c:v>
                </c:pt>
                <c:pt idx="562">
                  <c:v>1785000</c:v>
                </c:pt>
                <c:pt idx="563">
                  <c:v>1790000</c:v>
                </c:pt>
                <c:pt idx="564">
                  <c:v>1795000</c:v>
                </c:pt>
                <c:pt idx="565">
                  <c:v>1800000</c:v>
                </c:pt>
                <c:pt idx="566">
                  <c:v>1805000</c:v>
                </c:pt>
                <c:pt idx="567">
                  <c:v>1810000</c:v>
                </c:pt>
                <c:pt idx="568">
                  <c:v>1815000</c:v>
                </c:pt>
                <c:pt idx="569">
                  <c:v>1820000</c:v>
                </c:pt>
                <c:pt idx="570">
                  <c:v>1825000</c:v>
                </c:pt>
                <c:pt idx="571">
                  <c:v>1830000</c:v>
                </c:pt>
                <c:pt idx="572">
                  <c:v>1835000</c:v>
                </c:pt>
                <c:pt idx="573">
                  <c:v>1840000</c:v>
                </c:pt>
                <c:pt idx="574">
                  <c:v>1845000</c:v>
                </c:pt>
                <c:pt idx="575">
                  <c:v>1850000</c:v>
                </c:pt>
                <c:pt idx="576">
                  <c:v>1855000</c:v>
                </c:pt>
                <c:pt idx="577">
                  <c:v>1860000</c:v>
                </c:pt>
                <c:pt idx="578">
                  <c:v>1865000</c:v>
                </c:pt>
                <c:pt idx="579">
                  <c:v>1870000</c:v>
                </c:pt>
                <c:pt idx="580">
                  <c:v>1875000</c:v>
                </c:pt>
                <c:pt idx="581">
                  <c:v>1880000</c:v>
                </c:pt>
                <c:pt idx="582">
                  <c:v>1885000</c:v>
                </c:pt>
                <c:pt idx="583">
                  <c:v>1890000</c:v>
                </c:pt>
                <c:pt idx="584">
                  <c:v>1895000</c:v>
                </c:pt>
                <c:pt idx="585">
                  <c:v>1900000</c:v>
                </c:pt>
                <c:pt idx="586">
                  <c:v>1905000</c:v>
                </c:pt>
                <c:pt idx="587">
                  <c:v>1910000</c:v>
                </c:pt>
                <c:pt idx="588">
                  <c:v>1915000</c:v>
                </c:pt>
                <c:pt idx="589">
                  <c:v>1920000</c:v>
                </c:pt>
                <c:pt idx="590">
                  <c:v>1925000</c:v>
                </c:pt>
                <c:pt idx="591">
                  <c:v>1930000</c:v>
                </c:pt>
                <c:pt idx="592">
                  <c:v>1935000</c:v>
                </c:pt>
                <c:pt idx="593">
                  <c:v>1940000</c:v>
                </c:pt>
                <c:pt idx="594">
                  <c:v>1945000</c:v>
                </c:pt>
                <c:pt idx="595">
                  <c:v>1950000</c:v>
                </c:pt>
                <c:pt idx="596">
                  <c:v>1955000</c:v>
                </c:pt>
                <c:pt idx="597">
                  <c:v>1960000</c:v>
                </c:pt>
                <c:pt idx="598">
                  <c:v>1965000</c:v>
                </c:pt>
                <c:pt idx="599">
                  <c:v>1970000</c:v>
                </c:pt>
                <c:pt idx="600">
                  <c:v>1975000</c:v>
                </c:pt>
                <c:pt idx="601">
                  <c:v>1980000</c:v>
                </c:pt>
                <c:pt idx="602">
                  <c:v>1985000</c:v>
                </c:pt>
                <c:pt idx="603">
                  <c:v>1990000</c:v>
                </c:pt>
                <c:pt idx="604">
                  <c:v>1995000</c:v>
                </c:pt>
                <c:pt idx="605">
                  <c:v>2000000</c:v>
                </c:pt>
                <c:pt idx="606">
                  <c:v>2250000</c:v>
                </c:pt>
                <c:pt idx="607">
                  <c:v>2500000</c:v>
                </c:pt>
                <c:pt idx="608">
                  <c:v>2750000</c:v>
                </c:pt>
                <c:pt idx="609">
                  <c:v>3000000</c:v>
                </c:pt>
                <c:pt idx="610">
                  <c:v>3250000</c:v>
                </c:pt>
                <c:pt idx="611">
                  <c:v>3500000</c:v>
                </c:pt>
                <c:pt idx="612">
                  <c:v>3750000</c:v>
                </c:pt>
                <c:pt idx="613">
                  <c:v>4000000</c:v>
                </c:pt>
                <c:pt idx="614">
                  <c:v>4250000</c:v>
                </c:pt>
                <c:pt idx="615">
                  <c:v>4500000</c:v>
                </c:pt>
                <c:pt idx="616">
                  <c:v>4750000</c:v>
                </c:pt>
                <c:pt idx="617">
                  <c:v>5000000</c:v>
                </c:pt>
                <c:pt idx="618">
                  <c:v>5100000</c:v>
                </c:pt>
                <c:pt idx="619">
                  <c:v>5200000</c:v>
                </c:pt>
                <c:pt idx="620">
                  <c:v>5300000</c:v>
                </c:pt>
                <c:pt idx="621">
                  <c:v>5400000</c:v>
                </c:pt>
                <c:pt idx="622">
                  <c:v>5500000</c:v>
                </c:pt>
                <c:pt idx="623">
                  <c:v>5600000</c:v>
                </c:pt>
                <c:pt idx="624">
                  <c:v>5700000</c:v>
                </c:pt>
                <c:pt idx="625">
                  <c:v>5800000</c:v>
                </c:pt>
                <c:pt idx="626">
                  <c:v>5900000</c:v>
                </c:pt>
                <c:pt idx="627">
                  <c:v>6000000</c:v>
                </c:pt>
                <c:pt idx="628">
                  <c:v>6100000</c:v>
                </c:pt>
                <c:pt idx="629">
                  <c:v>6200000</c:v>
                </c:pt>
                <c:pt idx="630">
                  <c:v>6300000</c:v>
                </c:pt>
                <c:pt idx="631">
                  <c:v>6400000</c:v>
                </c:pt>
                <c:pt idx="632">
                  <c:v>6500000</c:v>
                </c:pt>
                <c:pt idx="633">
                  <c:v>6600000</c:v>
                </c:pt>
                <c:pt idx="634">
                  <c:v>6700000</c:v>
                </c:pt>
                <c:pt idx="635">
                  <c:v>6800000</c:v>
                </c:pt>
                <c:pt idx="636">
                  <c:v>6900000</c:v>
                </c:pt>
                <c:pt idx="637">
                  <c:v>7000000</c:v>
                </c:pt>
                <c:pt idx="638">
                  <c:v>7100000</c:v>
                </c:pt>
                <c:pt idx="639">
                  <c:v>7200000</c:v>
                </c:pt>
                <c:pt idx="640">
                  <c:v>7300000</c:v>
                </c:pt>
                <c:pt idx="641">
                  <c:v>7400000</c:v>
                </c:pt>
                <c:pt idx="642">
                  <c:v>7500000</c:v>
                </c:pt>
                <c:pt idx="643">
                  <c:v>7600000</c:v>
                </c:pt>
                <c:pt idx="644">
                  <c:v>7700000</c:v>
                </c:pt>
                <c:pt idx="645">
                  <c:v>7800000</c:v>
                </c:pt>
                <c:pt idx="646">
                  <c:v>7900000</c:v>
                </c:pt>
                <c:pt idx="647">
                  <c:v>8000000</c:v>
                </c:pt>
                <c:pt idx="648">
                  <c:v>8100000</c:v>
                </c:pt>
                <c:pt idx="649">
                  <c:v>8200000</c:v>
                </c:pt>
                <c:pt idx="650">
                  <c:v>8300000</c:v>
                </c:pt>
                <c:pt idx="651">
                  <c:v>8400000</c:v>
                </c:pt>
                <c:pt idx="652">
                  <c:v>8500000</c:v>
                </c:pt>
                <c:pt idx="653">
                  <c:v>8600000</c:v>
                </c:pt>
                <c:pt idx="654">
                  <c:v>8700000</c:v>
                </c:pt>
                <c:pt idx="655">
                  <c:v>8800000</c:v>
                </c:pt>
                <c:pt idx="656">
                  <c:v>8900000</c:v>
                </c:pt>
                <c:pt idx="657">
                  <c:v>9000000</c:v>
                </c:pt>
                <c:pt idx="658">
                  <c:v>9100000</c:v>
                </c:pt>
                <c:pt idx="659">
                  <c:v>9200000</c:v>
                </c:pt>
                <c:pt idx="660">
                  <c:v>9300000</c:v>
                </c:pt>
                <c:pt idx="661">
                  <c:v>9400000</c:v>
                </c:pt>
                <c:pt idx="662">
                  <c:v>9500000</c:v>
                </c:pt>
                <c:pt idx="663">
                  <c:v>9600000</c:v>
                </c:pt>
                <c:pt idx="664">
                  <c:v>9700000</c:v>
                </c:pt>
                <c:pt idx="665">
                  <c:v>9800000</c:v>
                </c:pt>
                <c:pt idx="666">
                  <c:v>9900000</c:v>
                </c:pt>
                <c:pt idx="667">
                  <c:v>10000000</c:v>
                </c:pt>
              </c:numCache>
            </c:numRef>
          </c:xVal>
          <c:yVal>
            <c:numRef>
              <c:f>'Bode Plots Calculations'!$BD$9:$BD$676</c:f>
              <c:numCache>
                <c:formatCode>General</c:formatCode>
                <c:ptCount val="668"/>
                <c:pt idx="0">
                  <c:v>-181.675916914133</c:v>
                </c:pt>
                <c:pt idx="1">
                  <c:v>-183.33330841814</c:v>
                </c:pt>
                <c:pt idx="2">
                  <c:v>-184.954424429607</c:v>
                </c:pt>
                <c:pt idx="3">
                  <c:v>-186.522991634646</c:v>
                </c:pt>
                <c:pt idx="4">
                  <c:v>-188.024779759405</c:v>
                </c:pt>
                <c:pt idx="5">
                  <c:v>-189.447993260835</c:v>
                </c:pt>
                <c:pt idx="6">
                  <c:v>-190.783474736804</c:v>
                </c:pt>
                <c:pt idx="7">
                  <c:v>-192.024730273857</c:v>
                </c:pt>
                <c:pt idx="8">
                  <c:v>-193.167804892138</c:v>
                </c:pt>
                <c:pt idx="9">
                  <c:v>-194.211046310475</c:v>
                </c:pt>
                <c:pt idx="10">
                  <c:v>-199.800300789232</c:v>
                </c:pt>
                <c:pt idx="11">
                  <c:v>-200.041980449846</c:v>
                </c:pt>
                <c:pt idx="12">
                  <c:v>-198.519151706346</c:v>
                </c:pt>
                <c:pt idx="13">
                  <c:v>-196.676645325217</c:v>
                </c:pt>
                <c:pt idx="14">
                  <c:v>-194.964240448415</c:v>
                </c:pt>
                <c:pt idx="15">
                  <c:v>-193.486414343852</c:v>
                </c:pt>
                <c:pt idx="16">
                  <c:v>-192.23993522311</c:v>
                </c:pt>
                <c:pt idx="17">
                  <c:v>-191.193243487771</c:v>
                </c:pt>
                <c:pt idx="18">
                  <c:v>-190.311741912053</c:v>
                </c:pt>
                <c:pt idx="19">
                  <c:v>-186.075597854153</c:v>
                </c:pt>
                <c:pt idx="20">
                  <c:v>-184.809492898498</c:v>
                </c:pt>
                <c:pt idx="21">
                  <c:v>-184.375975123816</c:v>
                </c:pt>
                <c:pt idx="22">
                  <c:v>-184.284966466104</c:v>
                </c:pt>
                <c:pt idx="23">
                  <c:v>-184.36700103715</c:v>
                </c:pt>
                <c:pt idx="24">
                  <c:v>-184.548258588022</c:v>
                </c:pt>
                <c:pt idx="25">
                  <c:v>-184.791480603548</c:v>
                </c:pt>
                <c:pt idx="26">
                  <c:v>-185.075828773764</c:v>
                </c:pt>
                <c:pt idx="27">
                  <c:v>-185.388727639768</c:v>
                </c:pt>
                <c:pt idx="28">
                  <c:v>-187.173979887033</c:v>
                </c:pt>
                <c:pt idx="29">
                  <c:v>-189.105105672735</c:v>
                </c:pt>
                <c:pt idx="30">
                  <c:v>-191.067332734866</c:v>
                </c:pt>
                <c:pt idx="31">
                  <c:v>-193.017236943338</c:v>
                </c:pt>
                <c:pt idx="32">
                  <c:v>-194.932583356819</c:v>
                </c:pt>
                <c:pt idx="33">
                  <c:v>-196.799808131901</c:v>
                </c:pt>
                <c:pt idx="34">
                  <c:v>-198.609845827893</c:v>
                </c:pt>
                <c:pt idx="35">
                  <c:v>-200.356434088656</c:v>
                </c:pt>
                <c:pt idx="36">
                  <c:v>-202.035299413742</c:v>
                </c:pt>
                <c:pt idx="37">
                  <c:v>-203.643697533507</c:v>
                </c:pt>
                <c:pt idx="38">
                  <c:v>-205.180111123185</c:v>
                </c:pt>
                <c:pt idx="39">
                  <c:v>-206.644024578506</c:v>
                </c:pt>
                <c:pt idx="40">
                  <c:v>-208.035741536011</c:v>
                </c:pt>
                <c:pt idx="41">
                  <c:v>-209.3562300693</c:v>
                </c:pt>
                <c:pt idx="42">
                  <c:v>-210.606988788163</c:v>
                </c:pt>
                <c:pt idx="43">
                  <c:v>-211.789930607223</c:v>
                </c:pt>
                <c:pt idx="44">
                  <c:v>-212.907282370349</c:v>
                </c:pt>
                <c:pt idx="45">
                  <c:v>-213.961499003609</c:v>
                </c:pt>
                <c:pt idx="46">
                  <c:v>-214.955190974089</c:v>
                </c:pt>
                <c:pt idx="47">
                  <c:v>-215.891063809934</c:v>
                </c:pt>
                <c:pt idx="48">
                  <c:v>-216.771868401188</c:v>
                </c:pt>
                <c:pt idx="49">
                  <c:v>-217.600360794673</c:v>
                </c:pt>
                <c:pt idx="50">
                  <c:v>-218.379270229131</c:v>
                </c:pt>
                <c:pt idx="51">
                  <c:v>-219.111274224736</c:v>
                </c:pt>
                <c:pt idx="52">
                  <c:v>-219.798979633997</c:v>
                </c:pt>
                <c:pt idx="53">
                  <c:v>-220.444908668944</c:v>
                </c:pt>
                <c:pt idx="54">
                  <c:v>-221.051489033237</c:v>
                </c:pt>
                <c:pt idx="55">
                  <c:v>-221.621047400862</c:v>
                </c:pt>
                <c:pt idx="56">
                  <c:v>-222.155805590596</c:v>
                </c:pt>
                <c:pt idx="57">
                  <c:v>-222.657878884414</c:v>
                </c:pt>
                <c:pt idx="58">
                  <c:v>-223.129276027109</c:v>
                </c:pt>
                <c:pt idx="59">
                  <c:v>-223.571900522863</c:v>
                </c:pt>
                <c:pt idx="60">
                  <c:v>-223.987552912609</c:v>
                </c:pt>
                <c:pt idx="61">
                  <c:v>-224.37793377439</c:v>
                </c:pt>
                <c:pt idx="62">
                  <c:v>-224.74464723826</c:v>
                </c:pt>
                <c:pt idx="63">
                  <c:v>-225.089204848756</c:v>
                </c:pt>
                <c:pt idx="64">
                  <c:v>-225.413029642363</c:v>
                </c:pt>
                <c:pt idx="65">
                  <c:v>-225.717460335878</c:v>
                </c:pt>
                <c:pt idx="66">
                  <c:v>-226.003755544854</c:v>
                </c:pt>
                <c:pt idx="67">
                  <c:v>-226.273097970279</c:v>
                </c:pt>
                <c:pt idx="68">
                  <c:v>-226.526598507017</c:v>
                </c:pt>
                <c:pt idx="69">
                  <c:v>-226.765300239836</c:v>
                </c:pt>
                <c:pt idx="70">
                  <c:v>-226.990182302727</c:v>
                </c:pt>
                <c:pt idx="71">
                  <c:v>-227.202163585006</c:v>
                </c:pt>
                <c:pt idx="72">
                  <c:v>-227.402106273821</c:v>
                </c:pt>
                <c:pt idx="73">
                  <c:v>-227.59081922749</c:v>
                </c:pt>
                <c:pt idx="74">
                  <c:v>-227.769061177747</c:v>
                </c:pt>
                <c:pt idx="75">
                  <c:v>-227.937543761804</c:v>
                </c:pt>
                <c:pt idx="76">
                  <c:v>-228.096934387211</c:v>
                </c:pt>
                <c:pt idx="77">
                  <c:v>-228.247858934035</c:v>
                </c:pt>
                <c:pt idx="78">
                  <c:v>-228.390904299967</c:v>
                </c:pt>
                <c:pt idx="79">
                  <c:v>-228.526620794693</c:v>
                </c:pt>
                <c:pt idx="80">
                  <c:v>-228.655524390331</c:v>
                </c:pt>
                <c:pt idx="81">
                  <c:v>-228.778098834987</c:v>
                </c:pt>
                <c:pt idx="82">
                  <c:v>-228.894797636556</c:v>
                </c:pt>
                <c:pt idx="83">
                  <c:v>-229.006045923868</c:v>
                </c:pt>
                <c:pt idx="84">
                  <c:v>-229.112242192148</c:v>
                </c:pt>
                <c:pt idx="85">
                  <c:v>-229.213759939553</c:v>
                </c:pt>
                <c:pt idx="86">
                  <c:v>-229.310949201327</c:v>
                </c:pt>
                <c:pt idx="87">
                  <c:v>-229.404137987815</c:v>
                </c:pt>
                <c:pt idx="88">
                  <c:v>-229.493633632311</c:v>
                </c:pt>
                <c:pt idx="89">
                  <c:v>-229.579724054389</c:v>
                </c:pt>
                <c:pt idx="90">
                  <c:v>-229.662678944077</c:v>
                </c:pt>
                <c:pt idx="91">
                  <c:v>-229.742750871924</c:v>
                </c:pt>
                <c:pt idx="92">
                  <c:v>-229.820176329702</c:v>
                </c:pt>
                <c:pt idx="93">
                  <c:v>-229.89517670622</c:v>
                </c:pt>
                <c:pt idx="94">
                  <c:v>-229.967959202434</c:v>
                </c:pt>
                <c:pt idx="95">
                  <c:v>-230.038717689762</c:v>
                </c:pt>
                <c:pt idx="96">
                  <c:v>-230.107633515289</c:v>
                </c:pt>
                <c:pt idx="97">
                  <c:v>-230.174876257288</c:v>
                </c:pt>
                <c:pt idx="98">
                  <c:v>-230.240604434253</c:v>
                </c:pt>
                <c:pt idx="99">
                  <c:v>-230.304966170454</c:v>
                </c:pt>
                <c:pt idx="100">
                  <c:v>-230.368099820789</c:v>
                </c:pt>
                <c:pt idx="101">
                  <c:v>-230.430134557566</c:v>
                </c:pt>
                <c:pt idx="102">
                  <c:v>-230.49119092162</c:v>
                </c:pt>
                <c:pt idx="103">
                  <c:v>-230.551381340062</c:v>
                </c:pt>
                <c:pt idx="104">
                  <c:v>-230.610810612763</c:v>
                </c:pt>
                <c:pt idx="105">
                  <c:v>-230.669576369559</c:v>
                </c:pt>
                <c:pt idx="106">
                  <c:v>-230.727769500013</c:v>
                </c:pt>
                <c:pt idx="107">
                  <c:v>-230.785474557475</c:v>
                </c:pt>
                <c:pt idx="108">
                  <c:v>-230.842770139018</c:v>
                </c:pt>
                <c:pt idx="109">
                  <c:v>-230.899729242792</c:v>
                </c:pt>
                <c:pt idx="110">
                  <c:v>-230.956419604153</c:v>
                </c:pt>
                <c:pt idx="111">
                  <c:v>-231.012904011916</c:v>
                </c:pt>
                <c:pt idx="112">
                  <c:v>-231.069240605934</c:v>
                </c:pt>
                <c:pt idx="113">
                  <c:v>-231.125483157151</c:v>
                </c:pt>
                <c:pt idx="114">
                  <c:v>-231.181681331208</c:v>
                </c:pt>
                <c:pt idx="115">
                  <c:v>-231.237880936587</c:v>
                </c:pt>
                <c:pt idx="116">
                  <c:v>-231.294124158245</c:v>
                </c:pt>
                <c:pt idx="117">
                  <c:v>-231.350449777603</c:v>
                </c:pt>
                <c:pt idx="118">
                  <c:v>-231.406893379715</c:v>
                </c:pt>
                <c:pt idx="119">
                  <c:v>-231.463487548385</c:v>
                </c:pt>
                <c:pt idx="120">
                  <c:v>-231.520262049949</c:v>
                </c:pt>
                <c:pt idx="121">
                  <c:v>-231.577244006394</c:v>
                </c:pt>
                <c:pt idx="122">
                  <c:v>-231.634458058459</c:v>
                </c:pt>
                <c:pt idx="123">
                  <c:v>-231.69192651929</c:v>
                </c:pt>
                <c:pt idx="124">
                  <c:v>-231.74966951922</c:v>
                </c:pt>
                <c:pt idx="125">
                  <c:v>-231.807705142192</c:v>
                </c:pt>
                <c:pt idx="126">
                  <c:v>-231.866049554306</c:v>
                </c:pt>
                <c:pt idx="127">
                  <c:v>-231.924717124964</c:v>
                </c:pt>
                <c:pt idx="128">
                  <c:v>-231.983720541031</c:v>
                </c:pt>
                <c:pt idx="129">
                  <c:v>-232.043070914416</c:v>
                </c:pt>
                <c:pt idx="130">
                  <c:v>-232.102777883474</c:v>
                </c:pt>
                <c:pt idx="131">
                  <c:v>-232.162849708552</c:v>
                </c:pt>
                <c:pt idx="132">
                  <c:v>-232.223293362052</c:v>
                </c:pt>
                <c:pt idx="133">
                  <c:v>-232.284114613294</c:v>
                </c:pt>
                <c:pt idx="134">
                  <c:v>-232.345318108502</c:v>
                </c:pt>
                <c:pt idx="135">
                  <c:v>-232.406907446178</c:v>
                </c:pt>
                <c:pt idx="136">
                  <c:v>-232.468885248123</c:v>
                </c:pt>
                <c:pt idx="137">
                  <c:v>-232.531253226372</c:v>
                </c:pt>
                <c:pt idx="138">
                  <c:v>-232.594012246254</c:v>
                </c:pt>
                <c:pt idx="139">
                  <c:v>-232.657162385806</c:v>
                </c:pt>
                <c:pt idx="140">
                  <c:v>-232.720702991754</c:v>
                </c:pt>
                <c:pt idx="141">
                  <c:v>-232.784632732235</c:v>
                </c:pt>
                <c:pt idx="142">
                  <c:v>-232.848949646473</c:v>
                </c:pt>
                <c:pt idx="143">
                  <c:v>-232.913651191548</c:v>
                </c:pt>
                <c:pt idx="144">
                  <c:v>-232.978734286447</c:v>
                </c:pt>
                <c:pt idx="145">
                  <c:v>-233.044195353538</c:v>
                </c:pt>
                <c:pt idx="146">
                  <c:v>-233.110030357613</c:v>
                </c:pt>
                <c:pt idx="147">
                  <c:v>-233.176234842637</c:v>
                </c:pt>
                <c:pt idx="148">
                  <c:v>-233.242803966331</c:v>
                </c:pt>
                <c:pt idx="149">
                  <c:v>-233.309732532711</c:v>
                </c:pt>
                <c:pt idx="150">
                  <c:v>-233.377015022695</c:v>
                </c:pt>
                <c:pt idx="151">
                  <c:v>-233.444645622889</c:v>
                </c:pt>
                <c:pt idx="152">
                  <c:v>-233.51261825265</c:v>
                </c:pt>
                <c:pt idx="153">
                  <c:v>-233.580926589524</c:v>
                </c:pt>
                <c:pt idx="154">
                  <c:v>-233.649564093152</c:v>
                </c:pt>
                <c:pt idx="155">
                  <c:v>-233.718524027723</c:v>
                </c:pt>
                <c:pt idx="156">
                  <c:v>-233.78779948306</c:v>
                </c:pt>
                <c:pt idx="157">
                  <c:v>-233.857383394411</c:v>
                </c:pt>
                <c:pt idx="158">
                  <c:v>-233.927268561028</c:v>
                </c:pt>
                <c:pt idx="159">
                  <c:v>-233.997447663582</c:v>
                </c:pt>
                <c:pt idx="160">
                  <c:v>-234.067913280496</c:v>
                </c:pt>
                <c:pt idx="161">
                  <c:v>-234.138657903251</c:v>
                </c:pt>
                <c:pt idx="162">
                  <c:v>-234.209673950718</c:v>
                </c:pt>
                <c:pt idx="163">
                  <c:v>-234.280953782573</c:v>
                </c:pt>
                <c:pt idx="164">
                  <c:v>-234.352489711852</c:v>
                </c:pt>
                <c:pt idx="165">
                  <c:v>-234.424274016684</c:v>
                </c:pt>
                <c:pt idx="166">
                  <c:v>-234.496298951254</c:v>
                </c:pt>
                <c:pt idx="167">
                  <c:v>-234.568556756035</c:v>
                </c:pt>
                <c:pt idx="168">
                  <c:v>-234.641039667341</c:v>
                </c:pt>
                <c:pt idx="169">
                  <c:v>-234.713739926217</c:v>
                </c:pt>
                <c:pt idx="170">
                  <c:v>-234.786649786731</c:v>
                </c:pt>
                <c:pt idx="171">
                  <c:v>-234.859761523678</c:v>
                </c:pt>
                <c:pt idx="172">
                  <c:v>-234.933067439741</c:v>
                </c:pt>
                <c:pt idx="173">
                  <c:v>-235.00655987214</c:v>
                </c:pt>
                <c:pt idx="174">
                  <c:v>-235.080231198789</c:v>
                </c:pt>
                <c:pt idx="175">
                  <c:v>-235.154073844004</c:v>
                </c:pt>
                <c:pt idx="176">
                  <c:v>-235.22808028377</c:v>
                </c:pt>
                <c:pt idx="177">
                  <c:v>-235.302243050606</c:v>
                </c:pt>
                <c:pt idx="178">
                  <c:v>-235.376554738041</c:v>
                </c:pt>
                <c:pt idx="179">
                  <c:v>-235.451008004736</c:v>
                </c:pt>
                <c:pt idx="180">
                  <c:v>-235.525595578254</c:v>
                </c:pt>
                <c:pt idx="181">
                  <c:v>-235.600310258517</c:v>
                </c:pt>
                <c:pt idx="182">
                  <c:v>-235.675144920959</c:v>
                </c:pt>
                <c:pt idx="183">
                  <c:v>-235.750092519385</c:v>
                </c:pt>
                <c:pt idx="184">
                  <c:v>-235.825146088573</c:v>
                </c:pt>
                <c:pt idx="185">
                  <c:v>-235.900298746619</c:v>
                </c:pt>
                <c:pt idx="186">
                  <c:v>-235.975543697036</c:v>
                </c:pt>
                <c:pt idx="187">
                  <c:v>-236.050874230647</c:v>
                </c:pt>
                <c:pt idx="188">
                  <c:v>-236.126283727246</c:v>
                </c:pt>
                <c:pt idx="189">
                  <c:v>-236.201765657078</c:v>
                </c:pt>
                <c:pt idx="190">
                  <c:v>-236.277313582129</c:v>
                </c:pt>
                <c:pt idx="191">
                  <c:v>-236.352921157232</c:v>
                </c:pt>
                <c:pt idx="192">
                  <c:v>-236.428582131024</c:v>
                </c:pt>
                <c:pt idx="193">
                  <c:v>-236.504290346739</c:v>
                </c:pt>
                <c:pt idx="194">
                  <c:v>-236.580039742858</c:v>
                </c:pt>
                <c:pt idx="195">
                  <c:v>-236.655824353629</c:v>
                </c:pt>
                <c:pt idx="196">
                  <c:v>-236.731638309455</c:v>
                </c:pt>
                <c:pt idx="197">
                  <c:v>-236.807475837166</c:v>
                </c:pt>
                <c:pt idx="198">
                  <c:v>-236.883331260181</c:v>
                </c:pt>
                <c:pt idx="199">
                  <c:v>-236.959198998563</c:v>
                </c:pt>
                <c:pt idx="200">
                  <c:v>-237.035073568981</c:v>
                </c:pt>
                <c:pt idx="201">
                  <c:v>-237.110949584579</c:v>
                </c:pt>
                <c:pt idx="202">
                  <c:v>-237.186821754765</c:v>
                </c:pt>
                <c:pt idx="203">
                  <c:v>-237.262684884914</c:v>
                </c:pt>
                <c:pt idx="204">
                  <c:v>-237.338533876009</c:v>
                </c:pt>
                <c:pt idx="205">
                  <c:v>-237.4143637242</c:v>
                </c:pt>
                <c:pt idx="206">
                  <c:v>-237.490169520317</c:v>
                </c:pt>
                <c:pt idx="207">
                  <c:v>-237.565946449308</c:v>
                </c:pt>
                <c:pt idx="208">
                  <c:v>-237.641689789639</c:v>
                </c:pt>
                <c:pt idx="209">
                  <c:v>-237.717394912628</c:v>
                </c:pt>
                <c:pt idx="210">
                  <c:v>-237.793057281749</c:v>
                </c:pt>
                <c:pt idx="211">
                  <c:v>-237.868672451879</c:v>
                </c:pt>
                <c:pt idx="212">
                  <c:v>-237.94423606852</c:v>
                </c:pt>
                <c:pt idx="213">
                  <c:v>-238.019743866975</c:v>
                </c:pt>
                <c:pt idx="214">
                  <c:v>-238.095191671495</c:v>
                </c:pt>
                <c:pt idx="215">
                  <c:v>-238.1705753944</c:v>
                </c:pt>
                <c:pt idx="216">
                  <c:v>-238.245891035166</c:v>
                </c:pt>
                <c:pt idx="217">
                  <c:v>-238.321134679496</c:v>
                </c:pt>
                <c:pt idx="218">
                  <c:v>-238.396302498362</c:v>
                </c:pt>
                <c:pt idx="219">
                  <c:v>-238.471390747032</c:v>
                </c:pt>
                <c:pt idx="220">
                  <c:v>-238.546395764076</c:v>
                </c:pt>
                <c:pt idx="221">
                  <c:v>-238.621313970363</c:v>
                </c:pt>
                <c:pt idx="222">
                  <c:v>-238.696141868036</c:v>
                </c:pt>
                <c:pt idx="223">
                  <c:v>-238.770876039483</c:v>
                </c:pt>
                <c:pt idx="224">
                  <c:v>-238.845513146295</c:v>
                </c:pt>
                <c:pt idx="225">
                  <c:v>-238.920049928213</c:v>
                </c:pt>
                <c:pt idx="226">
                  <c:v>-239.659236370964</c:v>
                </c:pt>
                <c:pt idx="227">
                  <c:v>-240.385343302018</c:v>
                </c:pt>
                <c:pt idx="228">
                  <c:v>-241.096233656005</c:v>
                </c:pt>
                <c:pt idx="229">
                  <c:v>-241.790323454018</c:v>
                </c:pt>
                <c:pt idx="230">
                  <c:v>-242.466489368206</c:v>
                </c:pt>
                <c:pt idx="231">
                  <c:v>-243.123987069794</c:v>
                </c:pt>
                <c:pt idx="232">
                  <c:v>-243.762380661895</c:v>
                </c:pt>
                <c:pt idx="233">
                  <c:v>-244.381482629859</c:v>
                </c:pt>
                <c:pt idx="234">
                  <c:v>-244.981303328611</c:v>
                </c:pt>
                <c:pt idx="235">
                  <c:v>-245.562008874376</c:v>
                </c:pt>
                <c:pt idx="236">
                  <c:v>-246.123886301328</c:v>
                </c:pt>
                <c:pt idx="237">
                  <c:v>-246.66731491293</c:v>
                </c:pt>
                <c:pt idx="238">
                  <c:v>-247.192742862481</c:v>
                </c:pt>
                <c:pt idx="239">
                  <c:v>-247.700668114057</c:v>
                </c:pt>
                <c:pt idx="240">
                  <c:v>-248.191623050767</c:v>
                </c:pt>
                <c:pt idx="241">
                  <c:v>-248.666162105027</c:v>
                </c:pt>
                <c:pt idx="242">
                  <c:v>-249.124851882493</c:v>
                </c:pt>
                <c:pt idx="243">
                  <c:v>-249.56826333622</c:v>
                </c:pt>
                <c:pt idx="244">
                  <c:v>-249.996965620989</c:v>
                </c:pt>
                <c:pt idx="245">
                  <c:v>-250.411521320169</c:v>
                </c:pt>
                <c:pt idx="246">
                  <c:v>-250.812482790366</c:v>
                </c:pt>
                <c:pt idx="247">
                  <c:v>-251.200389413378</c:v>
                </c:pt>
                <c:pt idx="248">
                  <c:v>-251.575765582068</c:v>
                </c:pt>
                <c:pt idx="249">
                  <c:v>-251.939119277534</c:v>
                </c:pt>
                <c:pt idx="250">
                  <c:v>-252.290941120535</c:v>
                </c:pt>
                <c:pt idx="251">
                  <c:v>-252.631703801285</c:v>
                </c:pt>
                <c:pt idx="252">
                  <c:v>-252.961861809172</c:v>
                </c:pt>
                <c:pt idx="253">
                  <c:v>-253.281851398395</c:v>
                </c:pt>
                <c:pt idx="254">
                  <c:v>-253.59209073733</c:v>
                </c:pt>
                <c:pt idx="255">
                  <c:v>-253.89298019924</c:v>
                </c:pt>
                <c:pt idx="256">
                  <c:v>-254.184902759909</c:v>
                </c:pt>
                <c:pt idx="257">
                  <c:v>-254.468224474404</c:v>
                </c:pt>
                <c:pt idx="258">
                  <c:v>-254.743295010537</c:v>
                </c:pt>
                <c:pt idx="259">
                  <c:v>-255.010448221029</c:v>
                </c:pt>
                <c:pt idx="260">
                  <c:v>-255.270002740002</c:v>
                </c:pt>
                <c:pt idx="261">
                  <c:v>-255.522262592379</c:v>
                </c:pt>
                <c:pt idx="262">
                  <c:v>-255.767517807172</c:v>
                </c:pt>
                <c:pt idx="263">
                  <c:v>-256.006045027647</c:v>
                </c:pt>
                <c:pt idx="264">
                  <c:v>-256.238108112904</c:v>
                </c:pt>
                <c:pt idx="265">
                  <c:v>-256.463958726755</c:v>
                </c:pt>
                <c:pt idx="266">
                  <c:v>-256.683836910807</c:v>
                </c:pt>
                <c:pt idx="267">
                  <c:v>-256.89797163953</c:v>
                </c:pt>
                <c:pt idx="268">
                  <c:v>-257.106581355749</c:v>
                </c:pt>
                <c:pt idx="269">
                  <c:v>-257.309874485566</c:v>
                </c:pt>
                <c:pt idx="270">
                  <c:v>-257.508049932151</c:v>
                </c:pt>
                <c:pt idx="271">
                  <c:v>-257.701297548176</c:v>
                </c:pt>
                <c:pt idx="272">
                  <c:v>-257.889798586939</c:v>
                </c:pt>
                <c:pt idx="273">
                  <c:v>-258.073726132446</c:v>
                </c:pt>
                <c:pt idx="274">
                  <c:v>-258.253245508869</c:v>
                </c:pt>
                <c:pt idx="275">
                  <c:v>-258.428514669908</c:v>
                </c:pt>
                <c:pt idx="276">
                  <c:v>-258.599684568699</c:v>
                </c:pt>
                <c:pt idx="277">
                  <c:v>-258.76689950895</c:v>
                </c:pt>
                <c:pt idx="278">
                  <c:v>-258.930297478027</c:v>
                </c:pt>
                <c:pt idx="279">
                  <c:v>-259.090010462758</c:v>
                </c:pt>
                <c:pt idx="280">
                  <c:v>-259.246164748706</c:v>
                </c:pt>
                <c:pt idx="281">
                  <c:v>-259.398881203675</c:v>
                </c:pt>
                <c:pt idx="282">
                  <c:v>-259.548275546214</c:v>
                </c:pt>
                <c:pt idx="283">
                  <c:v>-259.694458599848</c:v>
                </c:pt>
                <c:pt idx="284">
                  <c:v>-259.837536533773</c:v>
                </c:pt>
                <c:pt idx="285">
                  <c:v>-259.977611090692</c:v>
                </c:pt>
                <c:pt idx="286">
                  <c:v>-260.114779802498</c:v>
                </c:pt>
                <c:pt idx="287">
                  <c:v>-260.249136194425</c:v>
                </c:pt>
                <c:pt idx="288">
                  <c:v>-260.380769978309</c:v>
                </c:pt>
                <c:pt idx="289">
                  <c:v>-260.509767235534</c:v>
                </c:pt>
                <c:pt idx="290">
                  <c:v>-260.636210590249</c:v>
                </c:pt>
                <c:pt idx="291">
                  <c:v>-260.760179373378</c:v>
                </c:pt>
                <c:pt idx="292">
                  <c:v>-260.881749777945</c:v>
                </c:pt>
                <c:pt idx="293">
                  <c:v>-261.000995006184</c:v>
                </c:pt>
                <c:pt idx="294">
                  <c:v>-261.117985408914</c:v>
                </c:pt>
                <c:pt idx="295">
                  <c:v>-261.232788617594</c:v>
                </c:pt>
                <c:pt idx="296">
                  <c:v>-261.345469669478</c:v>
                </c:pt>
                <c:pt idx="297">
                  <c:v>-261.456091126251</c:v>
                </c:pt>
                <c:pt idx="298">
                  <c:v>-261.564713186524</c:v>
                </c:pt>
                <c:pt idx="299">
                  <c:v>-261.671393792514</c:v>
                </c:pt>
                <c:pt idx="300">
                  <c:v>-261.776188731252</c:v>
                </c:pt>
                <c:pt idx="301">
                  <c:v>-261.879151730613</c:v>
                </c:pt>
                <c:pt idx="302">
                  <c:v>-261.980334550466</c:v>
                </c:pt>
                <c:pt idx="303">
                  <c:v>-262.079787069208</c:v>
                </c:pt>
                <c:pt idx="304">
                  <c:v>-262.177557365944</c:v>
                </c:pt>
                <c:pt idx="305">
                  <c:v>-262.27369179855</c:v>
                </c:pt>
                <c:pt idx="306">
                  <c:v>-262.368235077852</c:v>
                </c:pt>
                <c:pt idx="307">
                  <c:v>-262.461230338124</c:v>
                </c:pt>
                <c:pt idx="308">
                  <c:v>-262.552719204126</c:v>
                </c:pt>
                <c:pt idx="309">
                  <c:v>-262.642741854845</c:v>
                </c:pt>
                <c:pt idx="310">
                  <c:v>-262.731337084139</c:v>
                </c:pt>
                <c:pt idx="311">
                  <c:v>-262.818542358449</c:v>
                </c:pt>
                <c:pt idx="312">
                  <c:v>-262.904393871724</c:v>
                </c:pt>
                <c:pt idx="313">
                  <c:v>-262.98892659772</c:v>
                </c:pt>
                <c:pt idx="314">
                  <c:v>-263.072174339822</c:v>
                </c:pt>
                <c:pt idx="315">
                  <c:v>-263.154169778489</c:v>
                </c:pt>
                <c:pt idx="316">
                  <c:v>-263.234944516492</c:v>
                </c:pt>
                <c:pt idx="317">
                  <c:v>-263.314529122016</c:v>
                </c:pt>
                <c:pt idx="318">
                  <c:v>-263.39295316978</c:v>
                </c:pt>
                <c:pt idx="319">
                  <c:v>-263.470245280243</c:v>
                </c:pt>
                <c:pt idx="320">
                  <c:v>-263.54643315702</c:v>
                </c:pt>
                <c:pt idx="321">
                  <c:v>-263.621543622585</c:v>
                </c:pt>
                <c:pt idx="322">
                  <c:v>-263.695602652362</c:v>
                </c:pt>
                <c:pt idx="323">
                  <c:v>-263.768635407275</c:v>
                </c:pt>
                <c:pt idx="324">
                  <c:v>-263.840666264839</c:v>
                </c:pt>
                <c:pt idx="325">
                  <c:v>-263.911718848874</c:v>
                </c:pt>
                <c:pt idx="326">
                  <c:v>-263.981816057892</c:v>
                </c:pt>
                <c:pt idx="327">
                  <c:v>-264.050980092249</c:v>
                </c:pt>
                <c:pt idx="328">
                  <c:v>-264.1192324801</c:v>
                </c:pt>
                <c:pt idx="329">
                  <c:v>-264.186594102234</c:v>
                </c:pt>
                <c:pt idx="330">
                  <c:v>-264.253085215825</c:v>
                </c:pt>
                <c:pt idx="331">
                  <c:v>-264.318725477178</c:v>
                </c:pt>
                <c:pt idx="332">
                  <c:v>-264.383533963492</c:v>
                </c:pt>
                <c:pt idx="333">
                  <c:v>-264.44752919371</c:v>
                </c:pt>
                <c:pt idx="334">
                  <c:v>-264.510729148479</c:v>
                </c:pt>
                <c:pt idx="335">
                  <c:v>-264.573151289283</c:v>
                </c:pt>
                <c:pt idx="336">
                  <c:v>-264.634812576779</c:v>
                </c:pt>
                <c:pt idx="337">
                  <c:v>-264.695729488361</c:v>
                </c:pt>
                <c:pt idx="338">
                  <c:v>-264.755918035021</c:v>
                </c:pt>
                <c:pt idx="339">
                  <c:v>-264.815393777503</c:v>
                </c:pt>
                <c:pt idx="340">
                  <c:v>-264.874171841807</c:v>
                </c:pt>
                <c:pt idx="341">
                  <c:v>-264.932266934068</c:v>
                </c:pt>
                <c:pt idx="342">
                  <c:v>-264.989693354834</c:v>
                </c:pt>
                <c:pt idx="343">
                  <c:v>-265.046465012773</c:v>
                </c:pt>
                <c:pt idx="344">
                  <c:v>-265.102595437836</c:v>
                </c:pt>
                <c:pt idx="345">
                  <c:v>-265.158097793905</c:v>
                </c:pt>
                <c:pt idx="346">
                  <c:v>-265.212984890935</c:v>
                </c:pt>
                <c:pt idx="347">
                  <c:v>-265.267269196627</c:v>
                </c:pt>
                <c:pt idx="348">
                  <c:v>-265.320962847653</c:v>
                </c:pt>
                <c:pt idx="349">
                  <c:v>-265.374077660439</c:v>
                </c:pt>
                <c:pt idx="350">
                  <c:v>-265.426625141541</c:v>
                </c:pt>
                <c:pt idx="351">
                  <c:v>-265.478616497618</c:v>
                </c:pt>
                <c:pt idx="352">
                  <c:v>-265.530062645036</c:v>
                </c:pt>
                <c:pt idx="353">
                  <c:v>-265.580974219102</c:v>
                </c:pt>
                <c:pt idx="354">
                  <c:v>-265.631361582957</c:v>
                </c:pt>
                <c:pt idx="355">
                  <c:v>-265.681234836133</c:v>
                </c:pt>
                <c:pt idx="356">
                  <c:v>-265.730603822795</c:v>
                </c:pt>
                <c:pt idx="357">
                  <c:v>-265.779478139681</c:v>
                </c:pt>
                <c:pt idx="358">
                  <c:v>-265.827867143747</c:v>
                </c:pt>
                <c:pt idx="359">
                  <c:v>-265.875779959535</c:v>
                </c:pt>
                <c:pt idx="360">
                  <c:v>-265.923225486275</c:v>
                </c:pt>
                <c:pt idx="361">
                  <c:v>-265.970212404728</c:v>
                </c:pt>
                <c:pt idx="362">
                  <c:v>-266.016749183788</c:v>
                </c:pt>
                <c:pt idx="363">
                  <c:v>-266.062844086843</c:v>
                </c:pt>
                <c:pt idx="364">
                  <c:v>-266.108505177915</c:v>
                </c:pt>
                <c:pt idx="365">
                  <c:v>-266.153740327582</c:v>
                </c:pt>
                <c:pt idx="366">
                  <c:v>-266.198557218689</c:v>
                </c:pt>
                <c:pt idx="367">
                  <c:v>-266.242963351866</c:v>
                </c:pt>
                <c:pt idx="368">
                  <c:v>-266.286966050848</c:v>
                </c:pt>
                <c:pt idx="369">
                  <c:v>-266.330572467616</c:v>
                </c:pt>
                <c:pt idx="370">
                  <c:v>-266.37378958736</c:v>
                </c:pt>
                <c:pt idx="371">
                  <c:v>-266.41662423327</c:v>
                </c:pt>
                <c:pt idx="372">
                  <c:v>-266.459083071167</c:v>
                </c:pt>
                <c:pt idx="373">
                  <c:v>-266.501172613978</c:v>
                </c:pt>
                <c:pt idx="374">
                  <c:v>-266.542899226058</c:v>
                </c:pt>
                <c:pt idx="375">
                  <c:v>-266.584269127367</c:v>
                </c:pt>
                <c:pt idx="376">
                  <c:v>-266.625288397515</c:v>
                </c:pt>
                <c:pt idx="377">
                  <c:v>-266.665962979662</c:v>
                </c:pt>
                <c:pt idx="378">
                  <c:v>-266.706298684295</c:v>
                </c:pt>
                <c:pt idx="379">
                  <c:v>-266.746301192888</c:v>
                </c:pt>
                <c:pt idx="380">
                  <c:v>-266.785976061428</c:v>
                </c:pt>
                <c:pt idx="381">
                  <c:v>-266.825328723841</c:v>
                </c:pt>
                <c:pt idx="382">
                  <c:v>-266.864364495297</c:v>
                </c:pt>
                <c:pt idx="383">
                  <c:v>-266.903088575415</c:v>
                </c:pt>
                <c:pt idx="384">
                  <c:v>-266.941506051362</c:v>
                </c:pt>
                <c:pt idx="385">
                  <c:v>-266.979621900858</c:v>
                </c:pt>
                <c:pt idx="386">
                  <c:v>-267.01744099508</c:v>
                </c:pt>
                <c:pt idx="387">
                  <c:v>-267.05496810148</c:v>
                </c:pt>
                <c:pt idx="388">
                  <c:v>-267.092207886509</c:v>
                </c:pt>
                <c:pt idx="389">
                  <c:v>-267.129164918263</c:v>
                </c:pt>
                <c:pt idx="390">
                  <c:v>-267.165843669042</c:v>
                </c:pt>
                <c:pt idx="391">
                  <c:v>-267.202248517832</c:v>
                </c:pt>
                <c:pt idx="392">
                  <c:v>-267.238383752707</c:v>
                </c:pt>
                <c:pt idx="393">
                  <c:v>-267.274253573166</c:v>
                </c:pt>
                <c:pt idx="394">
                  <c:v>-267.30986209239</c:v>
                </c:pt>
                <c:pt idx="395">
                  <c:v>-267.345213339434</c:v>
                </c:pt>
                <c:pt idx="396">
                  <c:v>-267.380311261357</c:v>
                </c:pt>
                <c:pt idx="397">
                  <c:v>-267.415159725279</c:v>
                </c:pt>
                <c:pt idx="398">
                  <c:v>-267.449762520388</c:v>
                </c:pt>
                <c:pt idx="399">
                  <c:v>-267.484123359877</c:v>
                </c:pt>
                <c:pt idx="400">
                  <c:v>-267.518245882829</c:v>
                </c:pt>
                <c:pt idx="401">
                  <c:v>-267.552133656046</c:v>
                </c:pt>
                <c:pt idx="402">
                  <c:v>-267.585790175827</c:v>
                </c:pt>
                <c:pt idx="403">
                  <c:v>-267.619218869686</c:v>
                </c:pt>
                <c:pt idx="404">
                  <c:v>-267.652423098029</c:v>
                </c:pt>
                <c:pt idx="405">
                  <c:v>-267.685406155779</c:v>
                </c:pt>
                <c:pt idx="406">
                  <c:v>-267.718171273951</c:v>
                </c:pt>
                <c:pt idx="407">
                  <c:v>-267.75072162119</c:v>
                </c:pt>
                <c:pt idx="408">
                  <c:v>-267.783060305257</c:v>
                </c:pt>
                <c:pt idx="409">
                  <c:v>-267.815190374477</c:v>
                </c:pt>
                <c:pt idx="410">
                  <c:v>-267.847114819146</c:v>
                </c:pt>
                <c:pt idx="411">
                  <c:v>-267.878836572898</c:v>
                </c:pt>
                <c:pt idx="412">
                  <c:v>-267.910358514031</c:v>
                </c:pt>
                <c:pt idx="413">
                  <c:v>-267.941683466802</c:v>
                </c:pt>
                <c:pt idx="414">
                  <c:v>-267.972814202681</c:v>
                </c:pt>
                <c:pt idx="415">
                  <c:v>-268.003753441572</c:v>
                </c:pt>
                <c:pt idx="416">
                  <c:v>-268.034503853002</c:v>
                </c:pt>
                <c:pt idx="417">
                  <c:v>-268.065068057272</c:v>
                </c:pt>
                <c:pt idx="418">
                  <c:v>-268.095448626588</c:v>
                </c:pt>
                <c:pt idx="419">
                  <c:v>-268.125648086144</c:v>
                </c:pt>
                <c:pt idx="420">
                  <c:v>-268.155668915196</c:v>
                </c:pt>
                <c:pt idx="421">
                  <c:v>-268.185513548088</c:v>
                </c:pt>
                <c:pt idx="422">
                  <c:v>-268.215184375266</c:v>
                </c:pt>
                <c:pt idx="423">
                  <c:v>-268.244683744254</c:v>
                </c:pt>
                <c:pt idx="424">
                  <c:v>-268.274013960609</c:v>
                </c:pt>
                <c:pt idx="425">
                  <c:v>-268.303177288853</c:v>
                </c:pt>
                <c:pt idx="426">
                  <c:v>-268.332175953374</c:v>
                </c:pt>
                <c:pt idx="427">
                  <c:v>-268.361012139308</c:v>
                </c:pt>
                <c:pt idx="428">
                  <c:v>-268.3896879934</c:v>
                </c:pt>
                <c:pt idx="429">
                  <c:v>-268.418205624833</c:v>
                </c:pt>
                <c:pt idx="430">
                  <c:v>-268.446567106049</c:v>
                </c:pt>
                <c:pt idx="431">
                  <c:v>-268.474774473539</c:v>
                </c:pt>
                <c:pt idx="432">
                  <c:v>-268.502829728613</c:v>
                </c:pt>
                <c:pt idx="433">
                  <c:v>-268.530734838158</c:v>
                </c:pt>
                <c:pt idx="434">
                  <c:v>-268.558491735367</c:v>
                </c:pt>
                <c:pt idx="435">
                  <c:v>-268.586102320458</c:v>
                </c:pt>
                <c:pt idx="436">
                  <c:v>-268.61356846137</c:v>
                </c:pt>
                <c:pt idx="437">
                  <c:v>-268.640891994439</c:v>
                </c:pt>
                <c:pt idx="438">
                  <c:v>-268.668074725065</c:v>
                </c:pt>
                <c:pt idx="439">
                  <c:v>-268.695118428357</c:v>
                </c:pt>
                <c:pt idx="440">
                  <c:v>-268.722024849762</c:v>
                </c:pt>
                <c:pt idx="441">
                  <c:v>-268.748795705677</c:v>
                </c:pt>
                <c:pt idx="442">
                  <c:v>-268.775432684055</c:v>
                </c:pt>
                <c:pt idx="443">
                  <c:v>-268.801937444981</c:v>
                </c:pt>
                <c:pt idx="444">
                  <c:v>-268.828311621248</c:v>
                </c:pt>
                <c:pt idx="445">
                  <c:v>-268.854556818914</c:v>
                </c:pt>
                <c:pt idx="446">
                  <c:v>-268.880674617838</c:v>
                </c:pt>
                <c:pt idx="447">
                  <c:v>-268.906666572216</c:v>
                </c:pt>
                <c:pt idx="448">
                  <c:v>-268.932534211098</c:v>
                </c:pt>
                <c:pt idx="449">
                  <c:v>-268.958279038888</c:v>
                </c:pt>
                <c:pt idx="450">
                  <c:v>-268.983902535839</c:v>
                </c:pt>
                <c:pt idx="451">
                  <c:v>-269.009406158535</c:v>
                </c:pt>
                <c:pt idx="452">
                  <c:v>-269.034791340357</c:v>
                </c:pt>
                <c:pt idx="453">
                  <c:v>-269.060059491946</c:v>
                </c:pt>
                <c:pt idx="454">
                  <c:v>-269.085212001646</c:v>
                </c:pt>
                <c:pt idx="455">
                  <c:v>-269.110250235944</c:v>
                </c:pt>
                <c:pt idx="456">
                  <c:v>-269.135175539893</c:v>
                </c:pt>
                <c:pt idx="457">
                  <c:v>-269.159989237534</c:v>
                </c:pt>
                <c:pt idx="458">
                  <c:v>-269.1846926323</c:v>
                </c:pt>
                <c:pt idx="459">
                  <c:v>-269.209287007415</c:v>
                </c:pt>
                <c:pt idx="460">
                  <c:v>-269.23377362628</c:v>
                </c:pt>
                <c:pt idx="461">
                  <c:v>-269.258153732856</c:v>
                </c:pt>
                <c:pt idx="462">
                  <c:v>-269.282428552036</c:v>
                </c:pt>
                <c:pt idx="463">
                  <c:v>-269.306599290003</c:v>
                </c:pt>
                <c:pt idx="464">
                  <c:v>-269.330667134588</c:v>
                </c:pt>
                <c:pt idx="465">
                  <c:v>-269.354633255615</c:v>
                </c:pt>
                <c:pt idx="466">
                  <c:v>-269.378498805241</c:v>
                </c:pt>
                <c:pt idx="467">
                  <c:v>-269.402264918284</c:v>
                </c:pt>
                <c:pt idx="468">
                  <c:v>-269.425932712552</c:v>
                </c:pt>
                <c:pt idx="469">
                  <c:v>-269.449503289155</c:v>
                </c:pt>
                <c:pt idx="470">
                  <c:v>-269.472977732814</c:v>
                </c:pt>
                <c:pt idx="471">
                  <c:v>-269.496357112167</c:v>
                </c:pt>
                <c:pt idx="472">
                  <c:v>-269.519642480063</c:v>
                </c:pt>
                <c:pt idx="473">
                  <c:v>-269.542834873852</c:v>
                </c:pt>
                <c:pt idx="474">
                  <c:v>-269.565935315667</c:v>
                </c:pt>
                <c:pt idx="475">
                  <c:v>-269.588944812702</c:v>
                </c:pt>
                <c:pt idx="476">
                  <c:v>-269.611864357483</c:v>
                </c:pt>
                <c:pt idx="477">
                  <c:v>-269.634694928134</c:v>
                </c:pt>
                <c:pt idx="478">
                  <c:v>-269.657437488632</c:v>
                </c:pt>
                <c:pt idx="479">
                  <c:v>-269.680092989068</c:v>
                </c:pt>
                <c:pt idx="480">
                  <c:v>-269.702662365888</c:v>
                </c:pt>
                <c:pt idx="481">
                  <c:v>-269.725146542141</c:v>
                </c:pt>
                <c:pt idx="482">
                  <c:v>-269.747546427716</c:v>
                </c:pt>
                <c:pt idx="483">
                  <c:v>-269.769862919574</c:v>
                </c:pt>
                <c:pt idx="484">
                  <c:v>-269.792096901976</c:v>
                </c:pt>
                <c:pt idx="485">
                  <c:v>-269.814249246705</c:v>
                </c:pt>
                <c:pt idx="486">
                  <c:v>-269.836320813289</c:v>
                </c:pt>
                <c:pt idx="487">
                  <c:v>-269.858312449211</c:v>
                </c:pt>
                <c:pt idx="488">
                  <c:v>-269.880224990117</c:v>
                </c:pt>
                <c:pt idx="489">
                  <c:v>-269.902059260026</c:v>
                </c:pt>
                <c:pt idx="490">
                  <c:v>-269.923816071528</c:v>
                </c:pt>
                <c:pt idx="491">
                  <c:v>-269.945496225981</c:v>
                </c:pt>
                <c:pt idx="492">
                  <c:v>-269.967100513703</c:v>
                </c:pt>
                <c:pt idx="493">
                  <c:v>-269.988629714163</c:v>
                </c:pt>
                <c:pt idx="494">
                  <c:v>-270.010084596165</c:v>
                </c:pt>
                <c:pt idx="495">
                  <c:v>-270.031465918027</c:v>
                </c:pt>
                <c:pt idx="496">
                  <c:v>-270.052774427761</c:v>
                </c:pt>
                <c:pt idx="497">
                  <c:v>-270.074010863247</c:v>
                </c:pt>
                <c:pt idx="498">
                  <c:v>-270.095175952402</c:v>
                </c:pt>
                <c:pt idx="499">
                  <c:v>-270.116270413347</c:v>
                </c:pt>
                <c:pt idx="500">
                  <c:v>-270.137294954572</c:v>
                </c:pt>
                <c:pt idx="501">
                  <c:v>-270.158250275096</c:v>
                </c:pt>
                <c:pt idx="502">
                  <c:v>-270.179137064622</c:v>
                </c:pt>
                <c:pt idx="503">
                  <c:v>-270.199956003695</c:v>
                </c:pt>
                <c:pt idx="504">
                  <c:v>-270.22070776385</c:v>
                </c:pt>
                <c:pt idx="505">
                  <c:v>-270.241393007762</c:v>
                </c:pt>
                <c:pt idx="506">
                  <c:v>-270.262012389387</c:v>
                </c:pt>
                <c:pt idx="507">
                  <c:v>-270.282566554112</c:v>
                </c:pt>
                <c:pt idx="508">
                  <c:v>-270.303056138888</c:v>
                </c:pt>
                <c:pt idx="509">
                  <c:v>-270.323481772367</c:v>
                </c:pt>
                <c:pt idx="510">
                  <c:v>-270.343844075043</c:v>
                </c:pt>
                <c:pt idx="511">
                  <c:v>-270.364143659373</c:v>
                </c:pt>
                <c:pt idx="512">
                  <c:v>-270.384381129916</c:v>
                </c:pt>
                <c:pt idx="513">
                  <c:v>-270.404557083455</c:v>
                </c:pt>
                <c:pt idx="514">
                  <c:v>-270.42467210912</c:v>
                </c:pt>
                <c:pt idx="515">
                  <c:v>-270.444726788511</c:v>
                </c:pt>
                <c:pt idx="516">
                  <c:v>-270.464721695821</c:v>
                </c:pt>
                <c:pt idx="517">
                  <c:v>-270.484657397948</c:v>
                </c:pt>
                <c:pt idx="518">
                  <c:v>-270.504534454612</c:v>
                </c:pt>
                <c:pt idx="519">
                  <c:v>-270.524353418469</c:v>
                </c:pt>
                <c:pt idx="520">
                  <c:v>-270.54411483522</c:v>
                </c:pt>
                <c:pt idx="521">
                  <c:v>-270.563819243721</c:v>
                </c:pt>
                <c:pt idx="522">
                  <c:v>-270.583467176088</c:v>
                </c:pt>
                <c:pt idx="523">
                  <c:v>-270.603059157806</c:v>
                </c:pt>
                <c:pt idx="524">
                  <c:v>-270.622595707824</c:v>
                </c:pt>
                <c:pt idx="525">
                  <c:v>-270.642077338663</c:v>
                </c:pt>
                <c:pt idx="526">
                  <c:v>-270.661504556512</c:v>
                </c:pt>
                <c:pt idx="527">
                  <c:v>-270.680877861325</c:v>
                </c:pt>
                <c:pt idx="528">
                  <c:v>-270.700197746917</c:v>
                </c:pt>
                <c:pt idx="529">
                  <c:v>-270.719464701056</c:v>
                </c:pt>
                <c:pt idx="530">
                  <c:v>-270.738679205559</c:v>
                </c:pt>
                <c:pt idx="531">
                  <c:v>-270.757841736377</c:v>
                </c:pt>
                <c:pt idx="532">
                  <c:v>-270.776952763688</c:v>
                </c:pt>
                <c:pt idx="533">
                  <c:v>-270.796012751981</c:v>
                </c:pt>
                <c:pt idx="534">
                  <c:v>-270.815022160143</c:v>
                </c:pt>
                <c:pt idx="535">
                  <c:v>-270.833981441542</c:v>
                </c:pt>
                <c:pt idx="536">
                  <c:v>-270.852891044111</c:v>
                </c:pt>
                <c:pt idx="537">
                  <c:v>-270.871751410427</c:v>
                </c:pt>
                <c:pt idx="538">
                  <c:v>-270.890562977792</c:v>
                </c:pt>
                <c:pt idx="539">
                  <c:v>-270.909326178311</c:v>
                </c:pt>
                <c:pt idx="540">
                  <c:v>-270.928041438966</c:v>
                </c:pt>
                <c:pt idx="541">
                  <c:v>-270.946709181696</c:v>
                </c:pt>
                <c:pt idx="542">
                  <c:v>-270.965329823468</c:v>
                </c:pt>
                <c:pt idx="543">
                  <c:v>-270.98390377635</c:v>
                </c:pt>
                <c:pt idx="544">
                  <c:v>-271.002431447582</c:v>
                </c:pt>
                <c:pt idx="545">
                  <c:v>-271.02091323965</c:v>
                </c:pt>
                <c:pt idx="546">
                  <c:v>-271.039349550348</c:v>
                </c:pt>
                <c:pt idx="547">
                  <c:v>-271.057740772853</c:v>
                </c:pt>
                <c:pt idx="548">
                  <c:v>-271.076087295787</c:v>
                </c:pt>
                <c:pt idx="549">
                  <c:v>-271.094389503286</c:v>
                </c:pt>
                <c:pt idx="550">
                  <c:v>-271.112647775059</c:v>
                </c:pt>
                <c:pt idx="551">
                  <c:v>-271.130862486458</c:v>
                </c:pt>
                <c:pt idx="552">
                  <c:v>-271.149034008535</c:v>
                </c:pt>
                <c:pt idx="553">
                  <c:v>-271.167162708106</c:v>
                </c:pt>
                <c:pt idx="554">
                  <c:v>-271.185248947808</c:v>
                </c:pt>
                <c:pt idx="555">
                  <c:v>-271.203293086163</c:v>
                </c:pt>
                <c:pt idx="556">
                  <c:v>-271.221295477631</c:v>
                </c:pt>
                <c:pt idx="557">
                  <c:v>-271.239256472669</c:v>
                </c:pt>
                <c:pt idx="558">
                  <c:v>-271.257176417791</c:v>
                </c:pt>
                <c:pt idx="559">
                  <c:v>-271.275055655615</c:v>
                </c:pt>
                <c:pt idx="560">
                  <c:v>-271.292894524925</c:v>
                </c:pt>
                <c:pt idx="561">
                  <c:v>-271.310693360719</c:v>
                </c:pt>
                <c:pt idx="562">
                  <c:v>-271.328452494265</c:v>
                </c:pt>
                <c:pt idx="563">
                  <c:v>-271.346172253153</c:v>
                </c:pt>
                <c:pt idx="564">
                  <c:v>-271.36385296134</c:v>
                </c:pt>
                <c:pt idx="565">
                  <c:v>-271.381494939207</c:v>
                </c:pt>
                <c:pt idx="566">
                  <c:v>-271.399098503605</c:v>
                </c:pt>
                <c:pt idx="567">
                  <c:v>-271.416663967902</c:v>
                </c:pt>
                <c:pt idx="568">
                  <c:v>-271.434191642033</c:v>
                </c:pt>
                <c:pt idx="569">
                  <c:v>-271.451681832545</c:v>
                </c:pt>
                <c:pt idx="570">
                  <c:v>-271.469134842644</c:v>
                </c:pt>
                <c:pt idx="571">
                  <c:v>-271.486550972241</c:v>
                </c:pt>
                <c:pt idx="572">
                  <c:v>-271.503930517992</c:v>
                </c:pt>
                <c:pt idx="573">
                  <c:v>-271.521273773348</c:v>
                </c:pt>
                <c:pt idx="574">
                  <c:v>-271.538581028595</c:v>
                </c:pt>
                <c:pt idx="575">
                  <c:v>-271.555852570896</c:v>
                </c:pt>
                <c:pt idx="576">
                  <c:v>-271.573088684332</c:v>
                </c:pt>
                <c:pt idx="577">
                  <c:v>-271.590289649947</c:v>
                </c:pt>
                <c:pt idx="578">
                  <c:v>-271.607455745782</c:v>
                </c:pt>
                <c:pt idx="579">
                  <c:v>-271.624587246923</c:v>
                </c:pt>
                <c:pt idx="580">
                  <c:v>-271.641684425532</c:v>
                </c:pt>
                <c:pt idx="581">
                  <c:v>-271.658747550891</c:v>
                </c:pt>
                <c:pt idx="582">
                  <c:v>-271.675776889436</c:v>
                </c:pt>
                <c:pt idx="583">
                  <c:v>-271.692772704798</c:v>
                </c:pt>
                <c:pt idx="584">
                  <c:v>-271.709735257838</c:v>
                </c:pt>
                <c:pt idx="585">
                  <c:v>-271.726664806681</c:v>
                </c:pt>
                <c:pt idx="586">
                  <c:v>-271.743561606756</c:v>
                </c:pt>
                <c:pt idx="587">
                  <c:v>-271.760425910828</c:v>
                </c:pt>
                <c:pt idx="588">
                  <c:v>-271.777257969032</c:v>
                </c:pt>
                <c:pt idx="589">
                  <c:v>-271.79405802891</c:v>
                </c:pt>
                <c:pt idx="590">
                  <c:v>-271.810826335441</c:v>
                </c:pt>
                <c:pt idx="591">
                  <c:v>-271.827563131075</c:v>
                </c:pt>
                <c:pt idx="592">
                  <c:v>-271.844268655769</c:v>
                </c:pt>
                <c:pt idx="593">
                  <c:v>-271.860943147011</c:v>
                </c:pt>
                <c:pt idx="594">
                  <c:v>-271.87758683986</c:v>
                </c:pt>
                <c:pt idx="595">
                  <c:v>-271.894199966972</c:v>
                </c:pt>
                <c:pt idx="596">
                  <c:v>-271.91078275863</c:v>
                </c:pt>
                <c:pt idx="597">
                  <c:v>-271.927335442778</c:v>
                </c:pt>
                <c:pt idx="598">
                  <c:v>-271.943858245046</c:v>
                </c:pt>
                <c:pt idx="599">
                  <c:v>-271.960351388782</c:v>
                </c:pt>
                <c:pt idx="600">
                  <c:v>-271.976815095081</c:v>
                </c:pt>
                <c:pt idx="601">
                  <c:v>-271.99324958281</c:v>
                </c:pt>
                <c:pt idx="602">
                  <c:v>-272.00965506864</c:v>
                </c:pt>
                <c:pt idx="603">
                  <c:v>-272.026031767069</c:v>
                </c:pt>
                <c:pt idx="604">
                  <c:v>-272.042379890454</c:v>
                </c:pt>
                <c:pt idx="605">
                  <c:v>-272.058699649034</c:v>
                </c:pt>
                <c:pt idx="606">
                  <c:v>-272.842622683043</c:v>
                </c:pt>
                <c:pt idx="607">
                  <c:v>-273.576106394018</c:v>
                </c:pt>
                <c:pt idx="608">
                  <c:v>-274.272542769047</c:v>
                </c:pt>
                <c:pt idx="609">
                  <c:v>-274.940846189599</c:v>
                </c:pt>
                <c:pt idx="610">
                  <c:v>-275.587169654548</c:v>
                </c:pt>
                <c:pt idx="611">
                  <c:v>-276.215888360733</c:v>
                </c:pt>
                <c:pt idx="612">
                  <c:v>-276.830191176655</c:v>
                </c:pt>
                <c:pt idx="613">
                  <c:v>-277.432450969457</c:v>
                </c:pt>
                <c:pt idx="614">
                  <c:v>-278.024464575088</c:v>
                </c:pt>
                <c:pt idx="615">
                  <c:v>-278.607612973477</c:v>
                </c:pt>
                <c:pt idx="616">
                  <c:v>-279.182970998402</c:v>
                </c:pt>
                <c:pt idx="617">
                  <c:v>-279.751384207675</c:v>
                </c:pt>
                <c:pt idx="618">
                  <c:v>-279.977072914495</c:v>
                </c:pt>
                <c:pt idx="619">
                  <c:v>-280.201792303191</c:v>
                </c:pt>
                <c:pt idx="620">
                  <c:v>-280.425576020304</c:v>
                </c:pt>
                <c:pt idx="621">
                  <c:v>-280.648454908084</c:v>
                </c:pt>
                <c:pt idx="622">
                  <c:v>-280.870457263734</c:v>
                </c:pt>
                <c:pt idx="623">
                  <c:v>-281.091609070943</c:v>
                </c:pt>
                <c:pt idx="624">
                  <c:v>-281.311934207115</c:v>
                </c:pt>
                <c:pt idx="625">
                  <c:v>-281.531454629224</c:v>
                </c:pt>
                <c:pt idx="626">
                  <c:v>-281.75019054081</c:v>
                </c:pt>
                <c:pt idx="627">
                  <c:v>-281.968160542338</c:v>
                </c:pt>
                <c:pt idx="628">
                  <c:v>-282.185381766796</c:v>
                </c:pt>
                <c:pt idx="629">
                  <c:v>-282.401870002214</c:v>
                </c:pt>
                <c:pt idx="630">
                  <c:v>-282.617639802554</c:v>
                </c:pt>
                <c:pt idx="631">
                  <c:v>-282.832704588224</c:v>
                </c:pt>
                <c:pt idx="632">
                  <c:v>-283.047076737349</c:v>
                </c:pt>
                <c:pt idx="633">
                  <c:v>-283.260767668765</c:v>
                </c:pt>
                <c:pt idx="634">
                  <c:v>-283.473787917605</c:v>
                </c:pt>
                <c:pt idx="635">
                  <c:v>-283.686147204229</c:v>
                </c:pt>
                <c:pt idx="636">
                  <c:v>-283.897854497181</c:v>
                </c:pt>
                <c:pt idx="637">
                  <c:v>-284.108918070762</c:v>
                </c:pt>
                <c:pt idx="638">
                  <c:v>-284.319345557749</c:v>
                </c:pt>
                <c:pt idx="639">
                  <c:v>-284.52914399773</c:v>
                </c:pt>
                <c:pt idx="640">
                  <c:v>-284.738319881473</c:v>
                </c:pt>
                <c:pt idx="641">
                  <c:v>-284.946879191708</c:v>
                </c:pt>
                <c:pt idx="642">
                  <c:v>-285.154827440647</c:v>
                </c:pt>
                <c:pt idx="643">
                  <c:v>-285.36216970454</c:v>
                </c:pt>
                <c:pt idx="644">
                  <c:v>-285.56891065555</c:v>
                </c:pt>
                <c:pt idx="645">
                  <c:v>-285.775054591166</c:v>
                </c:pt>
                <c:pt idx="646">
                  <c:v>-285.980605461386</c:v>
                </c:pt>
                <c:pt idx="647">
                  <c:v>-286.185566893855</c:v>
                </c:pt>
                <c:pt idx="648">
                  <c:v>-286.389942217139</c:v>
                </c:pt>
                <c:pt idx="649">
                  <c:v>-286.593734482285</c:v>
                </c:pt>
                <c:pt idx="650">
                  <c:v>-286.796946482827</c:v>
                </c:pt>
                <c:pt idx="651">
                  <c:v>-286.999580773338</c:v>
                </c:pt>
                <c:pt idx="652">
                  <c:v>-287.201639686684</c:v>
                </c:pt>
                <c:pt idx="653">
                  <c:v>-287.403125350046</c:v>
                </c:pt>
                <c:pt idx="654">
                  <c:v>-287.604039699838</c:v>
                </c:pt>
                <c:pt idx="655">
                  <c:v>-287.804384495592</c:v>
                </c:pt>
                <c:pt idx="656">
                  <c:v>-288.004161332894</c:v>
                </c:pt>
                <c:pt idx="657">
                  <c:v>-288.203371655447</c:v>
                </c:pt>
                <c:pt idx="658">
                  <c:v>-288.40201676632</c:v>
                </c:pt>
                <c:pt idx="659">
                  <c:v>-288.600097838456</c:v>
                </c:pt>
                <c:pt idx="660">
                  <c:v>-288.79761592448</c:v>
                </c:pt>
                <c:pt idx="661">
                  <c:v>-288.994571965865</c:v>
                </c:pt>
                <c:pt idx="662">
                  <c:v>-289.190966801512</c:v>
                </c:pt>
                <c:pt idx="663">
                  <c:v>-289.38680117576</c:v>
                </c:pt>
                <c:pt idx="664">
                  <c:v>-289.582075745903</c:v>
                </c:pt>
                <c:pt idx="665">
                  <c:v>-289.776791089207</c:v>
                </c:pt>
                <c:pt idx="666">
                  <c:v>-289.970947709505</c:v>
                </c:pt>
                <c:pt idx="667">
                  <c:v>-290.164546043356</c:v>
                </c:pt>
              </c:numCache>
            </c:numRef>
          </c:yVal>
        </c:ser>
        <c:ser>
          <c:idx val="1"/>
          <c:order val="1"/>
          <c:tx>
            <c:strRef>
              <c:f>"Measured Phase"</c:f>
              <c:strCache>
                <c:ptCount val="1"/>
                <c:pt idx="0">
                  <c:v>Measured Phase</c:v>
                </c:pt>
              </c:strCache>
            </c:strRef>
          </c:tx>
          <c:spPr>
            <a:solidFill>
              <a:srgbClr val="ff00ff"/>
            </a:solidFill>
            <a:ln w="12600">
              <a:solidFill>
                <a:srgbClr val="ff00ff"/>
              </a:solidFill>
              <a:round/>
            </a:ln>
          </c:spPr>
          <c:marker>
            <c:size val="4"/>
          </c:marker>
          <c:xVal>
            <c:numRef>
              <c:f>'Bode Plots Calculations'!$BT$10:$BT$409</c:f>
              <c:numCache>
                <c:formatCode>General</c:formatCode>
                <c:ptCount val="400"/>
                <c:pt idx="0">
                  <c:v>100</c:v>
                </c:pt>
                <c:pt idx="1">
                  <c:v>102.329</c:v>
                </c:pt>
                <c:pt idx="2">
                  <c:v>104.713</c:v>
                </c:pt>
                <c:pt idx="3">
                  <c:v>107.152</c:v>
                </c:pt>
                <c:pt idx="4">
                  <c:v>109.648</c:v>
                </c:pt>
                <c:pt idx="5">
                  <c:v>112.202</c:v>
                </c:pt>
                <c:pt idx="6">
                  <c:v>114.815</c:v>
                </c:pt>
                <c:pt idx="7">
                  <c:v>117.49</c:v>
                </c:pt>
                <c:pt idx="8">
                  <c:v>120.226</c:v>
                </c:pt>
                <c:pt idx="9">
                  <c:v>123.027</c:v>
                </c:pt>
                <c:pt idx="10">
                  <c:v>125.893</c:v>
                </c:pt>
                <c:pt idx="11">
                  <c:v>128.825</c:v>
                </c:pt>
                <c:pt idx="12">
                  <c:v>131.826</c:v>
                </c:pt>
                <c:pt idx="13">
                  <c:v>134.896</c:v>
                </c:pt>
                <c:pt idx="14">
                  <c:v>138.038</c:v>
                </c:pt>
                <c:pt idx="15">
                  <c:v>141.254</c:v>
                </c:pt>
                <c:pt idx="16">
                  <c:v>144.544</c:v>
                </c:pt>
                <c:pt idx="17">
                  <c:v>147.911</c:v>
                </c:pt>
                <c:pt idx="18">
                  <c:v>151.356</c:v>
                </c:pt>
                <c:pt idx="19">
                  <c:v>154.882</c:v>
                </c:pt>
                <c:pt idx="20">
                  <c:v>158.489</c:v>
                </c:pt>
                <c:pt idx="21">
                  <c:v>162.181</c:v>
                </c:pt>
                <c:pt idx="22">
                  <c:v>165.959</c:v>
                </c:pt>
                <c:pt idx="23">
                  <c:v>169.824</c:v>
                </c:pt>
                <c:pt idx="24">
                  <c:v>173.78</c:v>
                </c:pt>
                <c:pt idx="25">
                  <c:v>177.828</c:v>
                </c:pt>
                <c:pt idx="26">
                  <c:v>181.97</c:v>
                </c:pt>
                <c:pt idx="27">
                  <c:v>186.209</c:v>
                </c:pt>
                <c:pt idx="28">
                  <c:v>190.546</c:v>
                </c:pt>
                <c:pt idx="29">
                  <c:v>194.984</c:v>
                </c:pt>
                <c:pt idx="30">
                  <c:v>199.526</c:v>
                </c:pt>
                <c:pt idx="31">
                  <c:v>204.174</c:v>
                </c:pt>
                <c:pt idx="32">
                  <c:v>208.93</c:v>
                </c:pt>
                <c:pt idx="33">
                  <c:v>213.796</c:v>
                </c:pt>
                <c:pt idx="34">
                  <c:v>218.776</c:v>
                </c:pt>
                <c:pt idx="35">
                  <c:v>223.872</c:v>
                </c:pt>
                <c:pt idx="36">
                  <c:v>229.087</c:v>
                </c:pt>
                <c:pt idx="37">
                  <c:v>234.423</c:v>
                </c:pt>
                <c:pt idx="38">
                  <c:v>239.883</c:v>
                </c:pt>
                <c:pt idx="39">
                  <c:v>245.471</c:v>
                </c:pt>
                <c:pt idx="40">
                  <c:v>251.189</c:v>
                </c:pt>
                <c:pt idx="41">
                  <c:v>257.04</c:v>
                </c:pt>
                <c:pt idx="42">
                  <c:v>263.027</c:v>
                </c:pt>
                <c:pt idx="43">
                  <c:v>269.153</c:v>
                </c:pt>
                <c:pt idx="44">
                  <c:v>275.423</c:v>
                </c:pt>
                <c:pt idx="45">
                  <c:v>281.838</c:v>
                </c:pt>
                <c:pt idx="46">
                  <c:v>288.403</c:v>
                </c:pt>
                <c:pt idx="47">
                  <c:v>295.121</c:v>
                </c:pt>
                <c:pt idx="48">
                  <c:v>301.995</c:v>
                </c:pt>
                <c:pt idx="49">
                  <c:v>309.03</c:v>
                </c:pt>
                <c:pt idx="50">
                  <c:v>316.228</c:v>
                </c:pt>
                <c:pt idx="51">
                  <c:v>323.594</c:v>
                </c:pt>
                <c:pt idx="52">
                  <c:v>331.131</c:v>
                </c:pt>
                <c:pt idx="53">
                  <c:v>338.844</c:v>
                </c:pt>
                <c:pt idx="54">
                  <c:v>346.737</c:v>
                </c:pt>
                <c:pt idx="55">
                  <c:v>354.813</c:v>
                </c:pt>
                <c:pt idx="56">
                  <c:v>363.078</c:v>
                </c:pt>
                <c:pt idx="57">
                  <c:v>371.535</c:v>
                </c:pt>
                <c:pt idx="58">
                  <c:v>380.189</c:v>
                </c:pt>
                <c:pt idx="59">
                  <c:v>389.045</c:v>
                </c:pt>
                <c:pt idx="60">
                  <c:v>398.107</c:v>
                </c:pt>
                <c:pt idx="61">
                  <c:v>407.38</c:v>
                </c:pt>
                <c:pt idx="62">
                  <c:v>416.869</c:v>
                </c:pt>
                <c:pt idx="63">
                  <c:v>426.58</c:v>
                </c:pt>
                <c:pt idx="64">
                  <c:v>436.516</c:v>
                </c:pt>
                <c:pt idx="65">
                  <c:v>446.684</c:v>
                </c:pt>
                <c:pt idx="66">
                  <c:v>457.088</c:v>
                </c:pt>
                <c:pt idx="67">
                  <c:v>467.735</c:v>
                </c:pt>
                <c:pt idx="68">
                  <c:v>478.63</c:v>
                </c:pt>
                <c:pt idx="69">
                  <c:v>489.779</c:v>
                </c:pt>
                <c:pt idx="70">
                  <c:v>501.187</c:v>
                </c:pt>
                <c:pt idx="71">
                  <c:v>512.861</c:v>
                </c:pt>
                <c:pt idx="72">
                  <c:v>524.807</c:v>
                </c:pt>
                <c:pt idx="73">
                  <c:v>537.032</c:v>
                </c:pt>
                <c:pt idx="74">
                  <c:v>549.541</c:v>
                </c:pt>
                <c:pt idx="75">
                  <c:v>562.341</c:v>
                </c:pt>
                <c:pt idx="76">
                  <c:v>575.44</c:v>
                </c:pt>
                <c:pt idx="77">
                  <c:v>588.844</c:v>
                </c:pt>
                <c:pt idx="78">
                  <c:v>602.56</c:v>
                </c:pt>
                <c:pt idx="79">
                  <c:v>616.595</c:v>
                </c:pt>
                <c:pt idx="80">
                  <c:v>630.957</c:v>
                </c:pt>
                <c:pt idx="81">
                  <c:v>645.654</c:v>
                </c:pt>
                <c:pt idx="82">
                  <c:v>660.693</c:v>
                </c:pt>
                <c:pt idx="83">
                  <c:v>676.083</c:v>
                </c:pt>
                <c:pt idx="84">
                  <c:v>691.831</c:v>
                </c:pt>
                <c:pt idx="85">
                  <c:v>707.946</c:v>
                </c:pt>
                <c:pt idx="86">
                  <c:v>724.436</c:v>
                </c:pt>
                <c:pt idx="87">
                  <c:v>741.31</c:v>
                </c:pt>
                <c:pt idx="88">
                  <c:v>758.578</c:v>
                </c:pt>
                <c:pt idx="89">
                  <c:v>776.247</c:v>
                </c:pt>
                <c:pt idx="90">
                  <c:v>794.328</c:v>
                </c:pt>
                <c:pt idx="91">
                  <c:v>812.831</c:v>
                </c:pt>
                <c:pt idx="92">
                  <c:v>831.764</c:v>
                </c:pt>
                <c:pt idx="93">
                  <c:v>851.138</c:v>
                </c:pt>
                <c:pt idx="94">
                  <c:v>870.964</c:v>
                </c:pt>
                <c:pt idx="95">
                  <c:v>891.251</c:v>
                </c:pt>
                <c:pt idx="96">
                  <c:v>912.011</c:v>
                </c:pt>
                <c:pt idx="97">
                  <c:v>933.254</c:v>
                </c:pt>
                <c:pt idx="98">
                  <c:v>954.993</c:v>
                </c:pt>
                <c:pt idx="99">
                  <c:v>977.237</c:v>
                </c:pt>
                <c:pt idx="100">
                  <c:v>1000</c:v>
                </c:pt>
                <c:pt idx="101">
                  <c:v>1023.293</c:v>
                </c:pt>
                <c:pt idx="102">
                  <c:v>1047.129</c:v>
                </c:pt>
                <c:pt idx="103">
                  <c:v>1071.519</c:v>
                </c:pt>
                <c:pt idx="104">
                  <c:v>1096.478</c:v>
                </c:pt>
                <c:pt idx="105">
                  <c:v>1122.018</c:v>
                </c:pt>
                <c:pt idx="106">
                  <c:v>1148.154</c:v>
                </c:pt>
                <c:pt idx="107">
                  <c:v>1174.898</c:v>
                </c:pt>
                <c:pt idx="108">
                  <c:v>1202.264</c:v>
                </c:pt>
                <c:pt idx="109">
                  <c:v>1230.269</c:v>
                </c:pt>
                <c:pt idx="110">
                  <c:v>1258.925</c:v>
                </c:pt>
                <c:pt idx="111">
                  <c:v>1288.25</c:v>
                </c:pt>
                <c:pt idx="112">
                  <c:v>1318.257</c:v>
                </c:pt>
                <c:pt idx="113">
                  <c:v>1348.963</c:v>
                </c:pt>
                <c:pt idx="114">
                  <c:v>1380.384</c:v>
                </c:pt>
                <c:pt idx="115">
                  <c:v>1412.538</c:v>
                </c:pt>
                <c:pt idx="116">
                  <c:v>1445.44</c:v>
                </c:pt>
                <c:pt idx="117">
                  <c:v>1479.108</c:v>
                </c:pt>
                <c:pt idx="118">
                  <c:v>1513.561</c:v>
                </c:pt>
                <c:pt idx="119">
                  <c:v>1548.817</c:v>
                </c:pt>
                <c:pt idx="120">
                  <c:v>1584.893</c:v>
                </c:pt>
                <c:pt idx="121">
                  <c:v>1621.81</c:v>
                </c:pt>
                <c:pt idx="122">
                  <c:v>1659.587</c:v>
                </c:pt>
                <c:pt idx="123">
                  <c:v>1698.244</c:v>
                </c:pt>
                <c:pt idx="124">
                  <c:v>1737.801</c:v>
                </c:pt>
                <c:pt idx="125">
                  <c:v>1778.279</c:v>
                </c:pt>
                <c:pt idx="126">
                  <c:v>1819.701</c:v>
                </c:pt>
                <c:pt idx="127">
                  <c:v>1862.087</c:v>
                </c:pt>
                <c:pt idx="128">
                  <c:v>1905.461</c:v>
                </c:pt>
                <c:pt idx="129">
                  <c:v>1949.845</c:v>
                </c:pt>
                <c:pt idx="130">
                  <c:v>1995.262</c:v>
                </c:pt>
                <c:pt idx="131">
                  <c:v>2041.738</c:v>
                </c:pt>
                <c:pt idx="132">
                  <c:v>2089.296</c:v>
                </c:pt>
                <c:pt idx="133">
                  <c:v>2137.962</c:v>
                </c:pt>
                <c:pt idx="134">
                  <c:v>2187.762</c:v>
                </c:pt>
                <c:pt idx="135">
                  <c:v>2238.721</c:v>
                </c:pt>
                <c:pt idx="136">
                  <c:v>2290.868</c:v>
                </c:pt>
                <c:pt idx="137">
                  <c:v>2344.229</c:v>
                </c:pt>
                <c:pt idx="138">
                  <c:v>2398.833</c:v>
                </c:pt>
                <c:pt idx="139">
                  <c:v>2454.709</c:v>
                </c:pt>
                <c:pt idx="140">
                  <c:v>2511.886</c:v>
                </c:pt>
                <c:pt idx="141">
                  <c:v>2570.396</c:v>
                </c:pt>
                <c:pt idx="142">
                  <c:v>2630.268</c:v>
                </c:pt>
                <c:pt idx="143">
                  <c:v>2691.535</c:v>
                </c:pt>
                <c:pt idx="144">
                  <c:v>2754.229</c:v>
                </c:pt>
                <c:pt idx="145">
                  <c:v>2818.383</c:v>
                </c:pt>
                <c:pt idx="146">
                  <c:v>2884.032</c:v>
                </c:pt>
                <c:pt idx="147">
                  <c:v>2951.209</c:v>
                </c:pt>
                <c:pt idx="148">
                  <c:v>3019.952</c:v>
                </c:pt>
                <c:pt idx="149">
                  <c:v>3090.295</c:v>
                </c:pt>
                <c:pt idx="150">
                  <c:v>3162.278</c:v>
                </c:pt>
                <c:pt idx="151">
                  <c:v>3235.937</c:v>
                </c:pt>
                <c:pt idx="152">
                  <c:v>3311.311</c:v>
                </c:pt>
                <c:pt idx="153">
                  <c:v>3388.442</c:v>
                </c:pt>
                <c:pt idx="154">
                  <c:v>3467.369</c:v>
                </c:pt>
                <c:pt idx="155">
                  <c:v>3548.134</c:v>
                </c:pt>
                <c:pt idx="156">
                  <c:v>3630.781</c:v>
                </c:pt>
                <c:pt idx="157">
                  <c:v>3715.352</c:v>
                </c:pt>
                <c:pt idx="158">
                  <c:v>3801.894</c:v>
                </c:pt>
                <c:pt idx="159">
                  <c:v>3890.451</c:v>
                </c:pt>
                <c:pt idx="160">
                  <c:v>3981.072</c:v>
                </c:pt>
                <c:pt idx="161">
                  <c:v>4073.803</c:v>
                </c:pt>
                <c:pt idx="162">
                  <c:v>4168.694</c:v>
                </c:pt>
                <c:pt idx="163">
                  <c:v>4265.795</c:v>
                </c:pt>
                <c:pt idx="164">
                  <c:v>4365.158</c:v>
                </c:pt>
                <c:pt idx="165">
                  <c:v>4466.836</c:v>
                </c:pt>
                <c:pt idx="166">
                  <c:v>4570.882</c:v>
                </c:pt>
                <c:pt idx="167">
                  <c:v>4677.351</c:v>
                </c:pt>
                <c:pt idx="168">
                  <c:v>4786.301</c:v>
                </c:pt>
                <c:pt idx="169">
                  <c:v>4897.788</c:v>
                </c:pt>
                <c:pt idx="170">
                  <c:v>5011.872</c:v>
                </c:pt>
                <c:pt idx="171">
                  <c:v>5128.614</c:v>
                </c:pt>
                <c:pt idx="172">
                  <c:v>5248.075</c:v>
                </c:pt>
                <c:pt idx="173">
                  <c:v>5370.318</c:v>
                </c:pt>
                <c:pt idx="174">
                  <c:v>5495.409</c:v>
                </c:pt>
                <c:pt idx="175">
                  <c:v>5623.413</c:v>
                </c:pt>
                <c:pt idx="176">
                  <c:v>5754.399</c:v>
                </c:pt>
                <c:pt idx="177">
                  <c:v>5888.437</c:v>
                </c:pt>
                <c:pt idx="178">
                  <c:v>6025.596</c:v>
                </c:pt>
                <c:pt idx="179">
                  <c:v>6165.95</c:v>
                </c:pt>
                <c:pt idx="180">
                  <c:v>6309.573</c:v>
                </c:pt>
                <c:pt idx="181">
                  <c:v>6456.542</c:v>
                </c:pt>
                <c:pt idx="182">
                  <c:v>6606.934</c:v>
                </c:pt>
                <c:pt idx="183">
                  <c:v>6760.83</c:v>
                </c:pt>
                <c:pt idx="184">
                  <c:v>6918.31</c:v>
                </c:pt>
                <c:pt idx="185">
                  <c:v>7079.458</c:v>
                </c:pt>
                <c:pt idx="186">
                  <c:v>7244.36</c:v>
                </c:pt>
                <c:pt idx="187">
                  <c:v>7413.102</c:v>
                </c:pt>
                <c:pt idx="188">
                  <c:v>7585.776</c:v>
                </c:pt>
                <c:pt idx="189">
                  <c:v>7762.471</c:v>
                </c:pt>
                <c:pt idx="190">
                  <c:v>7943.282</c:v>
                </c:pt>
                <c:pt idx="191">
                  <c:v>8128.305</c:v>
                </c:pt>
                <c:pt idx="192">
                  <c:v>8317.638</c:v>
                </c:pt>
                <c:pt idx="193">
                  <c:v>8511.38</c:v>
                </c:pt>
                <c:pt idx="194">
                  <c:v>8709.636</c:v>
                </c:pt>
                <c:pt idx="195">
                  <c:v>8912.509</c:v>
                </c:pt>
                <c:pt idx="196">
                  <c:v>9120.108</c:v>
                </c:pt>
                <c:pt idx="197">
                  <c:v>9332.543</c:v>
                </c:pt>
                <c:pt idx="198">
                  <c:v>9549.926</c:v>
                </c:pt>
                <c:pt idx="199">
                  <c:v>9772.372</c:v>
                </c:pt>
                <c:pt idx="200">
                  <c:v>10000</c:v>
                </c:pt>
                <c:pt idx="201">
                  <c:v>10232.93</c:v>
                </c:pt>
                <c:pt idx="202">
                  <c:v>10471.285</c:v>
                </c:pt>
                <c:pt idx="203">
                  <c:v>10715.193</c:v>
                </c:pt>
                <c:pt idx="204">
                  <c:v>10964.782</c:v>
                </c:pt>
                <c:pt idx="205">
                  <c:v>11220.185</c:v>
                </c:pt>
                <c:pt idx="206">
                  <c:v>11481.536</c:v>
                </c:pt>
                <c:pt idx="207">
                  <c:v>11748.976</c:v>
                </c:pt>
                <c:pt idx="208">
                  <c:v>12022.644</c:v>
                </c:pt>
                <c:pt idx="209">
                  <c:v>12302.688</c:v>
                </c:pt>
                <c:pt idx="210">
                  <c:v>12589.254</c:v>
                </c:pt>
                <c:pt idx="211">
                  <c:v>12882.496</c:v>
                </c:pt>
                <c:pt idx="212">
                  <c:v>13182.567</c:v>
                </c:pt>
                <c:pt idx="213">
                  <c:v>13489.629</c:v>
                </c:pt>
                <c:pt idx="214">
                  <c:v>13803.843</c:v>
                </c:pt>
                <c:pt idx="215">
                  <c:v>14125.375</c:v>
                </c:pt>
                <c:pt idx="216">
                  <c:v>14454.398</c:v>
                </c:pt>
                <c:pt idx="217">
                  <c:v>14791.084</c:v>
                </c:pt>
                <c:pt idx="218">
                  <c:v>15135.612</c:v>
                </c:pt>
                <c:pt idx="219">
                  <c:v>15488.166</c:v>
                </c:pt>
                <c:pt idx="220">
                  <c:v>15848.932</c:v>
                </c:pt>
                <c:pt idx="221">
                  <c:v>16218.101</c:v>
                </c:pt>
                <c:pt idx="222">
                  <c:v>16595.869</c:v>
                </c:pt>
                <c:pt idx="223">
                  <c:v>16982.437</c:v>
                </c:pt>
                <c:pt idx="224">
                  <c:v>17378.008</c:v>
                </c:pt>
                <c:pt idx="225">
                  <c:v>17782.794</c:v>
                </c:pt>
                <c:pt idx="226">
                  <c:v>18197.009</c:v>
                </c:pt>
                <c:pt idx="227">
                  <c:v>18620.871</c:v>
                </c:pt>
                <c:pt idx="228">
                  <c:v>19054.607</c:v>
                </c:pt>
                <c:pt idx="229">
                  <c:v>19498.446</c:v>
                </c:pt>
                <c:pt idx="230">
                  <c:v>19952.623</c:v>
                </c:pt>
                <c:pt idx="231">
                  <c:v>20417.379</c:v>
                </c:pt>
                <c:pt idx="232">
                  <c:v>20892.961</c:v>
                </c:pt>
                <c:pt idx="233">
                  <c:v>21379.621</c:v>
                </c:pt>
                <c:pt idx="234">
                  <c:v>21877.616</c:v>
                </c:pt>
                <c:pt idx="235">
                  <c:v>22387.211</c:v>
                </c:pt>
                <c:pt idx="236">
                  <c:v>22908.677</c:v>
                </c:pt>
                <c:pt idx="237">
                  <c:v>23442.288</c:v>
                </c:pt>
                <c:pt idx="238">
                  <c:v>23988.329</c:v>
                </c:pt>
                <c:pt idx="239">
                  <c:v>24547.089</c:v>
                </c:pt>
                <c:pt idx="240">
                  <c:v>25118.864</c:v>
                </c:pt>
                <c:pt idx="241">
                  <c:v>25703.958</c:v>
                </c:pt>
                <c:pt idx="242">
                  <c:v>26302.68</c:v>
                </c:pt>
                <c:pt idx="243">
                  <c:v>26915.348</c:v>
                </c:pt>
                <c:pt idx="244">
                  <c:v>27542.287</c:v>
                </c:pt>
                <c:pt idx="245">
                  <c:v>28183.829</c:v>
                </c:pt>
                <c:pt idx="246">
                  <c:v>28840.315</c:v>
                </c:pt>
                <c:pt idx="247">
                  <c:v>29512.092</c:v>
                </c:pt>
                <c:pt idx="248">
                  <c:v>30199.517</c:v>
                </c:pt>
                <c:pt idx="249">
                  <c:v>30902.954</c:v>
                </c:pt>
                <c:pt idx="250">
                  <c:v>31622.777</c:v>
                </c:pt>
                <c:pt idx="251">
                  <c:v>32359.366</c:v>
                </c:pt>
                <c:pt idx="252">
                  <c:v>33113.112</c:v>
                </c:pt>
                <c:pt idx="253">
                  <c:v>33884.416</c:v>
                </c:pt>
                <c:pt idx="254">
                  <c:v>34673.685</c:v>
                </c:pt>
                <c:pt idx="255">
                  <c:v>35481.339</c:v>
                </c:pt>
                <c:pt idx="256">
                  <c:v>36307.805</c:v>
                </c:pt>
                <c:pt idx="257">
                  <c:v>37153.523</c:v>
                </c:pt>
                <c:pt idx="258">
                  <c:v>38018.94</c:v>
                </c:pt>
                <c:pt idx="259">
                  <c:v>38904.514</c:v>
                </c:pt>
                <c:pt idx="260">
                  <c:v>39810.717</c:v>
                </c:pt>
                <c:pt idx="261">
                  <c:v>40738.028</c:v>
                </c:pt>
                <c:pt idx="262">
                  <c:v>41686.938</c:v>
                </c:pt>
                <c:pt idx="263">
                  <c:v>42657.952</c:v>
                </c:pt>
                <c:pt idx="264">
                  <c:v>43651.583</c:v>
                </c:pt>
                <c:pt idx="265">
                  <c:v>44668.359</c:v>
                </c:pt>
                <c:pt idx="266">
                  <c:v>45708.819</c:v>
                </c:pt>
                <c:pt idx="267">
                  <c:v>46773.514</c:v>
                </c:pt>
                <c:pt idx="268">
                  <c:v>47863.009</c:v>
                </c:pt>
                <c:pt idx="269">
                  <c:v>48977.882</c:v>
                </c:pt>
                <c:pt idx="270">
                  <c:v>50118.723</c:v>
                </c:pt>
                <c:pt idx="271">
                  <c:v>51286.138</c:v>
                </c:pt>
                <c:pt idx="272">
                  <c:v>52480.746</c:v>
                </c:pt>
                <c:pt idx="273">
                  <c:v>53703.18</c:v>
                </c:pt>
                <c:pt idx="274">
                  <c:v>54954.087</c:v>
                </c:pt>
                <c:pt idx="275">
                  <c:v>56234.133</c:v>
                </c:pt>
                <c:pt idx="276">
                  <c:v>57543.994</c:v>
                </c:pt>
                <c:pt idx="277">
                  <c:v>58884.366</c:v>
                </c:pt>
                <c:pt idx="278">
                  <c:v>60255.959</c:v>
                </c:pt>
                <c:pt idx="279">
                  <c:v>61659.5</c:v>
                </c:pt>
                <c:pt idx="280">
                  <c:v>63095.734</c:v>
                </c:pt>
                <c:pt idx="281">
                  <c:v>64565.423</c:v>
                </c:pt>
                <c:pt idx="282">
                  <c:v>66069.345</c:v>
                </c:pt>
                <c:pt idx="283">
                  <c:v>67608.298</c:v>
                </c:pt>
                <c:pt idx="284">
                  <c:v>69183.097</c:v>
                </c:pt>
                <c:pt idx="285">
                  <c:v>70794.578</c:v>
                </c:pt>
                <c:pt idx="286">
                  <c:v>72443.596</c:v>
                </c:pt>
                <c:pt idx="287">
                  <c:v>74131.024</c:v>
                </c:pt>
                <c:pt idx="288">
                  <c:v>75857.758</c:v>
                </c:pt>
                <c:pt idx="289">
                  <c:v>77624.712</c:v>
                </c:pt>
                <c:pt idx="290">
                  <c:v>79432.823</c:v>
                </c:pt>
                <c:pt idx="291">
                  <c:v>81283.052</c:v>
                </c:pt>
                <c:pt idx="292">
                  <c:v>83176.377</c:v>
                </c:pt>
                <c:pt idx="293">
                  <c:v>85113.804</c:v>
                </c:pt>
                <c:pt idx="294">
                  <c:v>87096.359</c:v>
                </c:pt>
                <c:pt idx="295">
                  <c:v>89125.094</c:v>
                </c:pt>
                <c:pt idx="296">
                  <c:v>91201.084</c:v>
                </c:pt>
                <c:pt idx="297">
                  <c:v>93325.43</c:v>
                </c:pt>
                <c:pt idx="298">
                  <c:v>95499.259</c:v>
                </c:pt>
                <c:pt idx="299">
                  <c:v>97723.722</c:v>
                </c:pt>
                <c:pt idx="300">
                  <c:v>100000</c:v>
                </c:pt>
                <c:pt idx="301">
                  <c:v>102329.299</c:v>
                </c:pt>
                <c:pt idx="302">
                  <c:v>104712.855</c:v>
                </c:pt>
                <c:pt idx="303">
                  <c:v>107151.931</c:v>
                </c:pt>
                <c:pt idx="304">
                  <c:v>109647.82</c:v>
                </c:pt>
                <c:pt idx="305">
                  <c:v>112201.845</c:v>
                </c:pt>
                <c:pt idx="306">
                  <c:v>114815.362</c:v>
                </c:pt>
                <c:pt idx="307">
                  <c:v>117489.755</c:v>
                </c:pt>
                <c:pt idx="308">
                  <c:v>120226.443</c:v>
                </c:pt>
                <c:pt idx="309">
                  <c:v>123026.877</c:v>
                </c:pt>
                <c:pt idx="310">
                  <c:v>125892.541</c:v>
                </c:pt>
                <c:pt idx="311">
                  <c:v>128824.955</c:v>
                </c:pt>
                <c:pt idx="312">
                  <c:v>131825.674</c:v>
                </c:pt>
                <c:pt idx="313">
                  <c:v>134896.288</c:v>
                </c:pt>
                <c:pt idx="314">
                  <c:v>138038.426</c:v>
                </c:pt>
                <c:pt idx="315">
                  <c:v>141253.754</c:v>
                </c:pt>
                <c:pt idx="316">
                  <c:v>144543.977</c:v>
                </c:pt>
                <c:pt idx="317">
                  <c:v>147910.839</c:v>
                </c:pt>
                <c:pt idx="318">
                  <c:v>151356.125</c:v>
                </c:pt>
                <c:pt idx="319">
                  <c:v>154881.662</c:v>
                </c:pt>
                <c:pt idx="320">
                  <c:v>158489.319</c:v>
                </c:pt>
                <c:pt idx="321">
                  <c:v>162181.01</c:v>
                </c:pt>
                <c:pt idx="322">
                  <c:v>165958.691</c:v>
                </c:pt>
                <c:pt idx="323">
                  <c:v>169824.365</c:v>
                </c:pt>
                <c:pt idx="324">
                  <c:v>173780.083</c:v>
                </c:pt>
                <c:pt idx="325">
                  <c:v>177827.941</c:v>
                </c:pt>
                <c:pt idx="326">
                  <c:v>181970.086</c:v>
                </c:pt>
                <c:pt idx="327">
                  <c:v>186208.714</c:v>
                </c:pt>
                <c:pt idx="328">
                  <c:v>190546.072</c:v>
                </c:pt>
                <c:pt idx="329">
                  <c:v>194984.46</c:v>
                </c:pt>
                <c:pt idx="330">
                  <c:v>199526.231</c:v>
                </c:pt>
                <c:pt idx="331">
                  <c:v>204173.794</c:v>
                </c:pt>
                <c:pt idx="332">
                  <c:v>208929.613</c:v>
                </c:pt>
                <c:pt idx="333">
                  <c:v>213796.209</c:v>
                </c:pt>
                <c:pt idx="334">
                  <c:v>218776.162</c:v>
                </c:pt>
                <c:pt idx="335">
                  <c:v>223872.114</c:v>
                </c:pt>
                <c:pt idx="336">
                  <c:v>229086.765</c:v>
                </c:pt>
                <c:pt idx="337">
                  <c:v>234422.882</c:v>
                </c:pt>
                <c:pt idx="338">
                  <c:v>239883.292</c:v>
                </c:pt>
                <c:pt idx="339">
                  <c:v>245470.892</c:v>
                </c:pt>
                <c:pt idx="340">
                  <c:v>251188.643</c:v>
                </c:pt>
                <c:pt idx="341">
                  <c:v>257039.578</c:v>
                </c:pt>
                <c:pt idx="342">
                  <c:v>263026.799</c:v>
                </c:pt>
                <c:pt idx="343">
                  <c:v>269153.48</c:v>
                </c:pt>
                <c:pt idx="344">
                  <c:v>275422.87</c:v>
                </c:pt>
                <c:pt idx="345">
                  <c:v>281838.293</c:v>
                </c:pt>
                <c:pt idx="346">
                  <c:v>288403.15</c:v>
                </c:pt>
                <c:pt idx="347">
                  <c:v>295120.923</c:v>
                </c:pt>
                <c:pt idx="348">
                  <c:v>301995.172</c:v>
                </c:pt>
                <c:pt idx="349">
                  <c:v>309029.543</c:v>
                </c:pt>
                <c:pt idx="350">
                  <c:v>316227.766</c:v>
                </c:pt>
                <c:pt idx="351">
                  <c:v>323593.657</c:v>
                </c:pt>
                <c:pt idx="352">
                  <c:v>331131.121</c:v>
                </c:pt>
                <c:pt idx="353">
                  <c:v>338844.156</c:v>
                </c:pt>
                <c:pt idx="354">
                  <c:v>346736.85</c:v>
                </c:pt>
                <c:pt idx="355">
                  <c:v>354813.389</c:v>
                </c:pt>
                <c:pt idx="356">
                  <c:v>363078.055</c:v>
                </c:pt>
                <c:pt idx="357">
                  <c:v>371535.229</c:v>
                </c:pt>
                <c:pt idx="358">
                  <c:v>380189.396</c:v>
                </c:pt>
                <c:pt idx="359">
                  <c:v>389045.145</c:v>
                </c:pt>
                <c:pt idx="360">
                  <c:v>398107.171</c:v>
                </c:pt>
                <c:pt idx="361">
                  <c:v>407380.278</c:v>
                </c:pt>
                <c:pt idx="362">
                  <c:v>416869.383</c:v>
                </c:pt>
                <c:pt idx="363">
                  <c:v>426579.519</c:v>
                </c:pt>
                <c:pt idx="364">
                  <c:v>436515.832</c:v>
                </c:pt>
                <c:pt idx="365">
                  <c:v>446683.592</c:v>
                </c:pt>
                <c:pt idx="366">
                  <c:v>457088.19</c:v>
                </c:pt>
                <c:pt idx="367">
                  <c:v>467735.141</c:v>
                </c:pt>
                <c:pt idx="368">
                  <c:v>478630.092</c:v>
                </c:pt>
                <c:pt idx="369">
                  <c:v>489778.819</c:v>
                </c:pt>
                <c:pt idx="370">
                  <c:v>501187.234</c:v>
                </c:pt>
                <c:pt idx="371">
                  <c:v>512861.384</c:v>
                </c:pt>
                <c:pt idx="372">
                  <c:v>524807.46</c:v>
                </c:pt>
                <c:pt idx="373">
                  <c:v>537031.796</c:v>
                </c:pt>
                <c:pt idx="374">
                  <c:v>549540.874</c:v>
                </c:pt>
                <c:pt idx="375">
                  <c:v>562341.325</c:v>
                </c:pt>
                <c:pt idx="376">
                  <c:v>575439.937</c:v>
                </c:pt>
                <c:pt idx="377">
                  <c:v>588843.655</c:v>
                </c:pt>
                <c:pt idx="378">
                  <c:v>602559.586</c:v>
                </c:pt>
                <c:pt idx="379">
                  <c:v>616595.002</c:v>
                </c:pt>
                <c:pt idx="380">
                  <c:v>630957.344</c:v>
                </c:pt>
                <c:pt idx="381">
                  <c:v>645654.229</c:v>
                </c:pt>
                <c:pt idx="382">
                  <c:v>660693.448</c:v>
                </c:pt>
                <c:pt idx="383">
                  <c:v>676082.975</c:v>
                </c:pt>
                <c:pt idx="384">
                  <c:v>691830.971</c:v>
                </c:pt>
                <c:pt idx="385">
                  <c:v>707945.784</c:v>
                </c:pt>
                <c:pt idx="386">
                  <c:v>724435.96</c:v>
                </c:pt>
                <c:pt idx="387">
                  <c:v>741310.241</c:v>
                </c:pt>
                <c:pt idx="388">
                  <c:v>758577.575</c:v>
                </c:pt>
                <c:pt idx="389">
                  <c:v>776247.117</c:v>
                </c:pt>
                <c:pt idx="390">
                  <c:v>794328.235</c:v>
                </c:pt>
                <c:pt idx="391">
                  <c:v>812830.516</c:v>
                </c:pt>
                <c:pt idx="392">
                  <c:v>831763.771</c:v>
                </c:pt>
                <c:pt idx="393">
                  <c:v>851138.038</c:v>
                </c:pt>
                <c:pt idx="394">
                  <c:v>870963.59</c:v>
                </c:pt>
                <c:pt idx="395">
                  <c:v>891250.938</c:v>
                </c:pt>
                <c:pt idx="396">
                  <c:v>912010.839</c:v>
                </c:pt>
                <c:pt idx="397">
                  <c:v>933254.301</c:v>
                </c:pt>
                <c:pt idx="398">
                  <c:v>954992.586</c:v>
                </c:pt>
                <c:pt idx="399">
                  <c:v>977237.221</c:v>
                </c:pt>
              </c:numCache>
            </c:numRef>
          </c:xVal>
          <c:yVal>
            <c:numRef>
              <c:f>'Bode Plots Calculations'!$BV$10:$BV$409</c:f>
              <c:numCache>
                <c:formatCode>General</c:formatCode>
                <c:ptCount val="400"/>
                <c:pt idx="0">
                  <c:v>-267.6677</c:v>
                </c:pt>
                <c:pt idx="1">
                  <c:v>-265.9149</c:v>
                </c:pt>
                <c:pt idx="2">
                  <c:v>-264.9322</c:v>
                </c:pt>
                <c:pt idx="3">
                  <c:v>-262.3057</c:v>
                </c:pt>
                <c:pt idx="4">
                  <c:v>-262.7662</c:v>
                </c:pt>
                <c:pt idx="5">
                  <c:v>-267.0128</c:v>
                </c:pt>
                <c:pt idx="6">
                  <c:v>-266.2048</c:v>
                </c:pt>
                <c:pt idx="7">
                  <c:v>-264.9049</c:v>
                </c:pt>
                <c:pt idx="8">
                  <c:v>-269.9808</c:v>
                </c:pt>
                <c:pt idx="9">
                  <c:v>-265.7341</c:v>
                </c:pt>
                <c:pt idx="10">
                  <c:v>-266.3711</c:v>
                </c:pt>
                <c:pt idx="11">
                  <c:v>-268.0596</c:v>
                </c:pt>
                <c:pt idx="12">
                  <c:v>-263.3605</c:v>
                </c:pt>
                <c:pt idx="13">
                  <c:v>-269.4654</c:v>
                </c:pt>
                <c:pt idx="14">
                  <c:v>-267.9507</c:v>
                </c:pt>
                <c:pt idx="15">
                  <c:v>-263.1143</c:v>
                </c:pt>
                <c:pt idx="16">
                  <c:v>-266.2885</c:v>
                </c:pt>
                <c:pt idx="17">
                  <c:v>-266.3463</c:v>
                </c:pt>
                <c:pt idx="18">
                  <c:v>-267.0283</c:v>
                </c:pt>
                <c:pt idx="19">
                  <c:v>-260.6973</c:v>
                </c:pt>
                <c:pt idx="20">
                  <c:v>-259.869</c:v>
                </c:pt>
                <c:pt idx="21">
                  <c:v>-262.3986</c:v>
                </c:pt>
                <c:pt idx="22">
                  <c:v>-264.8295</c:v>
                </c:pt>
                <c:pt idx="23">
                  <c:v>-267.7277</c:v>
                </c:pt>
                <c:pt idx="24">
                  <c:v>-269.952</c:v>
                </c:pt>
                <c:pt idx="25">
                  <c:v>-271.5601</c:v>
                </c:pt>
                <c:pt idx="26">
                  <c:v>-268.8459</c:v>
                </c:pt>
                <c:pt idx="27">
                  <c:v>-265.3796</c:v>
                </c:pt>
                <c:pt idx="28">
                  <c:v>-265.8945</c:v>
                </c:pt>
                <c:pt idx="29">
                  <c:v>-265.6327</c:v>
                </c:pt>
                <c:pt idx="30">
                  <c:v>-267.8015</c:v>
                </c:pt>
                <c:pt idx="31">
                  <c:v>-264.1684</c:v>
                </c:pt>
                <c:pt idx="32">
                  <c:v>-267.6911</c:v>
                </c:pt>
                <c:pt idx="33">
                  <c:v>-266.9667</c:v>
                </c:pt>
                <c:pt idx="34">
                  <c:v>-263.5369</c:v>
                </c:pt>
                <c:pt idx="35">
                  <c:v>-265.1945</c:v>
                </c:pt>
                <c:pt idx="36">
                  <c:v>-266.7544</c:v>
                </c:pt>
                <c:pt idx="37">
                  <c:v>-266.7612</c:v>
                </c:pt>
                <c:pt idx="38">
                  <c:v>-267.5957</c:v>
                </c:pt>
                <c:pt idx="39">
                  <c:v>-266.8096</c:v>
                </c:pt>
                <c:pt idx="40">
                  <c:v>-265.9205</c:v>
                </c:pt>
                <c:pt idx="41">
                  <c:v>-267.6031</c:v>
                </c:pt>
                <c:pt idx="42">
                  <c:v>-267.3229</c:v>
                </c:pt>
                <c:pt idx="43">
                  <c:v>-265.677</c:v>
                </c:pt>
                <c:pt idx="44">
                  <c:v>-266.4657</c:v>
                </c:pt>
                <c:pt idx="45">
                  <c:v>-266.6757</c:v>
                </c:pt>
                <c:pt idx="46">
                  <c:v>-268.0599</c:v>
                </c:pt>
                <c:pt idx="47">
                  <c:v>-265.88</c:v>
                </c:pt>
                <c:pt idx="48">
                  <c:v>-267.1358</c:v>
                </c:pt>
                <c:pt idx="49">
                  <c:v>-265.0361</c:v>
                </c:pt>
                <c:pt idx="50">
                  <c:v>-265.2184</c:v>
                </c:pt>
                <c:pt idx="51">
                  <c:v>-266.9949</c:v>
                </c:pt>
                <c:pt idx="52">
                  <c:v>-265.0934</c:v>
                </c:pt>
                <c:pt idx="53">
                  <c:v>-266.4201</c:v>
                </c:pt>
                <c:pt idx="54">
                  <c:v>-265.8794</c:v>
                </c:pt>
                <c:pt idx="55">
                  <c:v>-265.9549</c:v>
                </c:pt>
                <c:pt idx="56">
                  <c:v>-265.3916</c:v>
                </c:pt>
                <c:pt idx="57">
                  <c:v>-265.2439</c:v>
                </c:pt>
                <c:pt idx="58">
                  <c:v>-265.4987</c:v>
                </c:pt>
                <c:pt idx="59">
                  <c:v>-266.0672</c:v>
                </c:pt>
                <c:pt idx="60">
                  <c:v>-265.2319</c:v>
                </c:pt>
                <c:pt idx="61">
                  <c:v>-265.7319</c:v>
                </c:pt>
                <c:pt idx="62">
                  <c:v>-265.2494</c:v>
                </c:pt>
                <c:pt idx="63">
                  <c:v>-265.1406</c:v>
                </c:pt>
                <c:pt idx="64">
                  <c:v>-264.9151</c:v>
                </c:pt>
                <c:pt idx="65">
                  <c:v>-265.3082</c:v>
                </c:pt>
                <c:pt idx="66">
                  <c:v>-265.6514</c:v>
                </c:pt>
                <c:pt idx="67">
                  <c:v>-265.0501</c:v>
                </c:pt>
                <c:pt idx="68">
                  <c:v>-264.3513</c:v>
                </c:pt>
                <c:pt idx="69">
                  <c:v>-263.9108</c:v>
                </c:pt>
                <c:pt idx="70">
                  <c:v>-264.7826</c:v>
                </c:pt>
                <c:pt idx="71">
                  <c:v>-265.043</c:v>
                </c:pt>
                <c:pt idx="72">
                  <c:v>-263.9557</c:v>
                </c:pt>
                <c:pt idx="73">
                  <c:v>-264.5682</c:v>
                </c:pt>
                <c:pt idx="74">
                  <c:v>-264.4762</c:v>
                </c:pt>
                <c:pt idx="75">
                  <c:v>-264.604</c:v>
                </c:pt>
                <c:pt idx="76">
                  <c:v>-264.9076</c:v>
                </c:pt>
                <c:pt idx="77">
                  <c:v>-263.8817</c:v>
                </c:pt>
                <c:pt idx="78">
                  <c:v>-264.0026</c:v>
                </c:pt>
                <c:pt idx="79">
                  <c:v>-264.1331</c:v>
                </c:pt>
                <c:pt idx="80">
                  <c:v>-263.7485</c:v>
                </c:pt>
                <c:pt idx="81">
                  <c:v>-263.7636</c:v>
                </c:pt>
                <c:pt idx="82">
                  <c:v>-263.6098</c:v>
                </c:pt>
                <c:pt idx="83">
                  <c:v>-263.3252</c:v>
                </c:pt>
                <c:pt idx="84">
                  <c:v>-263.5782</c:v>
                </c:pt>
                <c:pt idx="85">
                  <c:v>-262.8499</c:v>
                </c:pt>
                <c:pt idx="86">
                  <c:v>-262.8169</c:v>
                </c:pt>
                <c:pt idx="87">
                  <c:v>-262.1972</c:v>
                </c:pt>
                <c:pt idx="88">
                  <c:v>-262.5669</c:v>
                </c:pt>
                <c:pt idx="89">
                  <c:v>-262.7177</c:v>
                </c:pt>
                <c:pt idx="90">
                  <c:v>-262.7938</c:v>
                </c:pt>
                <c:pt idx="91">
                  <c:v>-262.2369</c:v>
                </c:pt>
                <c:pt idx="92">
                  <c:v>-262.3432</c:v>
                </c:pt>
                <c:pt idx="93">
                  <c:v>-262.197</c:v>
                </c:pt>
                <c:pt idx="94">
                  <c:v>-261.768</c:v>
                </c:pt>
                <c:pt idx="95">
                  <c:v>-261.3831</c:v>
                </c:pt>
                <c:pt idx="96">
                  <c:v>-261.7487</c:v>
                </c:pt>
                <c:pt idx="97">
                  <c:v>-261.2073</c:v>
                </c:pt>
                <c:pt idx="98">
                  <c:v>-261.2661</c:v>
                </c:pt>
                <c:pt idx="99">
                  <c:v>-260.9324</c:v>
                </c:pt>
                <c:pt idx="100">
                  <c:v>-260.5154</c:v>
                </c:pt>
                <c:pt idx="101">
                  <c:v>-261.1239</c:v>
                </c:pt>
                <c:pt idx="102">
                  <c:v>-260.4077</c:v>
                </c:pt>
                <c:pt idx="103">
                  <c:v>-260.5301</c:v>
                </c:pt>
                <c:pt idx="104">
                  <c:v>-260.5471</c:v>
                </c:pt>
                <c:pt idx="105">
                  <c:v>-259.931</c:v>
                </c:pt>
                <c:pt idx="106">
                  <c:v>-259.948</c:v>
                </c:pt>
                <c:pt idx="107">
                  <c:v>-260.1987</c:v>
                </c:pt>
                <c:pt idx="108">
                  <c:v>-259.341</c:v>
                </c:pt>
                <c:pt idx="109">
                  <c:v>-259.551</c:v>
                </c:pt>
                <c:pt idx="110">
                  <c:v>-259.272</c:v>
                </c:pt>
                <c:pt idx="111">
                  <c:v>-258.861</c:v>
                </c:pt>
                <c:pt idx="112">
                  <c:v>-258.683</c:v>
                </c:pt>
                <c:pt idx="113">
                  <c:v>-258.797</c:v>
                </c:pt>
                <c:pt idx="114">
                  <c:v>-258.41</c:v>
                </c:pt>
                <c:pt idx="115">
                  <c:v>-258.136</c:v>
                </c:pt>
                <c:pt idx="116">
                  <c:v>-257.929</c:v>
                </c:pt>
                <c:pt idx="117">
                  <c:v>-257.745</c:v>
                </c:pt>
                <c:pt idx="118">
                  <c:v>-257.61</c:v>
                </c:pt>
                <c:pt idx="119">
                  <c:v>-257.471</c:v>
                </c:pt>
                <c:pt idx="120">
                  <c:v>-256.942</c:v>
                </c:pt>
                <c:pt idx="121">
                  <c:v>-256.753</c:v>
                </c:pt>
                <c:pt idx="122">
                  <c:v>-256.857</c:v>
                </c:pt>
                <c:pt idx="123">
                  <c:v>-256.313</c:v>
                </c:pt>
                <c:pt idx="124">
                  <c:v>-256.379</c:v>
                </c:pt>
                <c:pt idx="125">
                  <c:v>-256.015</c:v>
                </c:pt>
                <c:pt idx="126">
                  <c:v>-255.833</c:v>
                </c:pt>
                <c:pt idx="127">
                  <c:v>-255.47</c:v>
                </c:pt>
                <c:pt idx="128">
                  <c:v>-255.059</c:v>
                </c:pt>
                <c:pt idx="129">
                  <c:v>-254.971</c:v>
                </c:pt>
                <c:pt idx="130">
                  <c:v>-254.804</c:v>
                </c:pt>
                <c:pt idx="131">
                  <c:v>-254.411</c:v>
                </c:pt>
                <c:pt idx="132">
                  <c:v>-254.113</c:v>
                </c:pt>
                <c:pt idx="133">
                  <c:v>-254.34</c:v>
                </c:pt>
                <c:pt idx="134">
                  <c:v>-253.785</c:v>
                </c:pt>
                <c:pt idx="135">
                  <c:v>-253.783</c:v>
                </c:pt>
                <c:pt idx="136">
                  <c:v>-253.62</c:v>
                </c:pt>
                <c:pt idx="137">
                  <c:v>-253.171</c:v>
                </c:pt>
                <c:pt idx="138">
                  <c:v>-252.658</c:v>
                </c:pt>
                <c:pt idx="139">
                  <c:v>-251.974</c:v>
                </c:pt>
                <c:pt idx="140">
                  <c:v>-252.252</c:v>
                </c:pt>
                <c:pt idx="141">
                  <c:v>-251.702</c:v>
                </c:pt>
                <c:pt idx="142">
                  <c:v>-251.401</c:v>
                </c:pt>
                <c:pt idx="143">
                  <c:v>-251.244</c:v>
                </c:pt>
                <c:pt idx="144">
                  <c:v>-251.051</c:v>
                </c:pt>
                <c:pt idx="145">
                  <c:v>-250.48</c:v>
                </c:pt>
                <c:pt idx="146">
                  <c:v>-250.202</c:v>
                </c:pt>
                <c:pt idx="147">
                  <c:v>-249.926</c:v>
                </c:pt>
                <c:pt idx="148">
                  <c:v>-249.651</c:v>
                </c:pt>
                <c:pt idx="149">
                  <c:v>-248.418</c:v>
                </c:pt>
                <c:pt idx="150">
                  <c:v>-248.626</c:v>
                </c:pt>
                <c:pt idx="151">
                  <c:v>-248.575</c:v>
                </c:pt>
                <c:pt idx="152">
                  <c:v>-247.758</c:v>
                </c:pt>
                <c:pt idx="153">
                  <c:v>-247.756</c:v>
                </c:pt>
                <c:pt idx="154">
                  <c:v>-247.513</c:v>
                </c:pt>
                <c:pt idx="155">
                  <c:v>-246.726</c:v>
                </c:pt>
                <c:pt idx="156">
                  <c:v>-246.212</c:v>
                </c:pt>
                <c:pt idx="157">
                  <c:v>-245.97</c:v>
                </c:pt>
                <c:pt idx="158">
                  <c:v>-245.169</c:v>
                </c:pt>
                <c:pt idx="159">
                  <c:v>-244.768</c:v>
                </c:pt>
                <c:pt idx="160">
                  <c:v>-244.315</c:v>
                </c:pt>
                <c:pt idx="161">
                  <c:v>-244.142</c:v>
                </c:pt>
                <c:pt idx="162">
                  <c:v>-243.709</c:v>
                </c:pt>
                <c:pt idx="163">
                  <c:v>-243.324</c:v>
                </c:pt>
                <c:pt idx="164">
                  <c:v>-242.172</c:v>
                </c:pt>
                <c:pt idx="165">
                  <c:v>-240.903</c:v>
                </c:pt>
                <c:pt idx="166">
                  <c:v>-241.252</c:v>
                </c:pt>
                <c:pt idx="167">
                  <c:v>-240.638</c:v>
                </c:pt>
                <c:pt idx="168">
                  <c:v>-240.031</c:v>
                </c:pt>
                <c:pt idx="169">
                  <c:v>-239.481</c:v>
                </c:pt>
                <c:pt idx="170">
                  <c:v>-238.507</c:v>
                </c:pt>
                <c:pt idx="171">
                  <c:v>-237.881</c:v>
                </c:pt>
                <c:pt idx="172">
                  <c:v>-238.28</c:v>
                </c:pt>
                <c:pt idx="173">
                  <c:v>-237.347</c:v>
                </c:pt>
                <c:pt idx="174">
                  <c:v>-235.612</c:v>
                </c:pt>
                <c:pt idx="175">
                  <c:v>-235.138</c:v>
                </c:pt>
                <c:pt idx="176">
                  <c:v>-234.689</c:v>
                </c:pt>
                <c:pt idx="177">
                  <c:v>-233.954</c:v>
                </c:pt>
                <c:pt idx="178">
                  <c:v>-234.147</c:v>
                </c:pt>
                <c:pt idx="179">
                  <c:v>-232.056</c:v>
                </c:pt>
                <c:pt idx="180">
                  <c:v>-231.369</c:v>
                </c:pt>
                <c:pt idx="181">
                  <c:v>-230.779</c:v>
                </c:pt>
                <c:pt idx="182">
                  <c:v>-229.609</c:v>
                </c:pt>
                <c:pt idx="183">
                  <c:v>-229.1</c:v>
                </c:pt>
                <c:pt idx="184">
                  <c:v>-228.376</c:v>
                </c:pt>
                <c:pt idx="185">
                  <c:v>-227.044</c:v>
                </c:pt>
                <c:pt idx="186">
                  <c:v>-226.239</c:v>
                </c:pt>
                <c:pt idx="187">
                  <c:v>-225.834</c:v>
                </c:pt>
                <c:pt idx="188">
                  <c:v>-224.429</c:v>
                </c:pt>
                <c:pt idx="189">
                  <c:v>-223.255</c:v>
                </c:pt>
                <c:pt idx="190">
                  <c:v>-223.135</c:v>
                </c:pt>
                <c:pt idx="191">
                  <c:v>-221.982</c:v>
                </c:pt>
                <c:pt idx="192">
                  <c:v>-220.932</c:v>
                </c:pt>
                <c:pt idx="193">
                  <c:v>-219.996</c:v>
                </c:pt>
                <c:pt idx="194">
                  <c:v>-218.722</c:v>
                </c:pt>
                <c:pt idx="195">
                  <c:v>-217.619</c:v>
                </c:pt>
                <c:pt idx="196">
                  <c:v>-216.501</c:v>
                </c:pt>
                <c:pt idx="197">
                  <c:v>-215.836</c:v>
                </c:pt>
                <c:pt idx="198">
                  <c:v>-215.499</c:v>
                </c:pt>
                <c:pt idx="199">
                  <c:v>-212.987</c:v>
                </c:pt>
                <c:pt idx="200">
                  <c:v>-213.047</c:v>
                </c:pt>
                <c:pt idx="201">
                  <c:v>-211.715</c:v>
                </c:pt>
                <c:pt idx="202">
                  <c:v>-211.891</c:v>
                </c:pt>
                <c:pt idx="203">
                  <c:v>-209.68</c:v>
                </c:pt>
                <c:pt idx="204">
                  <c:v>-209.525</c:v>
                </c:pt>
                <c:pt idx="205">
                  <c:v>-207.815</c:v>
                </c:pt>
                <c:pt idx="206">
                  <c:v>-207.916</c:v>
                </c:pt>
                <c:pt idx="207">
                  <c:v>-206.257</c:v>
                </c:pt>
                <c:pt idx="208">
                  <c:v>-205.796</c:v>
                </c:pt>
                <c:pt idx="209">
                  <c:v>-205.58</c:v>
                </c:pt>
                <c:pt idx="210">
                  <c:v>-203.78</c:v>
                </c:pt>
                <c:pt idx="211">
                  <c:v>-201.719</c:v>
                </c:pt>
                <c:pt idx="212">
                  <c:v>-198.276</c:v>
                </c:pt>
                <c:pt idx="213">
                  <c:v>-197.578</c:v>
                </c:pt>
                <c:pt idx="214">
                  <c:v>-195.646</c:v>
                </c:pt>
                <c:pt idx="215">
                  <c:v>-192.582</c:v>
                </c:pt>
                <c:pt idx="216">
                  <c:v>-192.254</c:v>
                </c:pt>
                <c:pt idx="217">
                  <c:v>-191.026</c:v>
                </c:pt>
                <c:pt idx="218">
                  <c:v>-189.453</c:v>
                </c:pt>
                <c:pt idx="219">
                  <c:v>-188.481</c:v>
                </c:pt>
                <c:pt idx="220">
                  <c:v>-186.144</c:v>
                </c:pt>
                <c:pt idx="221">
                  <c:v>-185.626</c:v>
                </c:pt>
                <c:pt idx="222">
                  <c:v>-184.431</c:v>
                </c:pt>
                <c:pt idx="223">
                  <c:v>-182.722</c:v>
                </c:pt>
                <c:pt idx="224">
                  <c:v>-181.726</c:v>
                </c:pt>
                <c:pt idx="225">
                  <c:v>-180.351</c:v>
                </c:pt>
                <c:pt idx="226">
                  <c:v>-179.43</c:v>
                </c:pt>
                <c:pt idx="227">
                  <c:v>-178.091</c:v>
                </c:pt>
                <c:pt idx="228">
                  <c:v>-176.916</c:v>
                </c:pt>
                <c:pt idx="229">
                  <c:v>-175.511</c:v>
                </c:pt>
                <c:pt idx="230">
                  <c:v>-174.244</c:v>
                </c:pt>
                <c:pt idx="231">
                  <c:v>-173.369</c:v>
                </c:pt>
                <c:pt idx="232">
                  <c:v>-172.084</c:v>
                </c:pt>
                <c:pt idx="233">
                  <c:v>-170.629</c:v>
                </c:pt>
                <c:pt idx="234">
                  <c:v>-169.465</c:v>
                </c:pt>
                <c:pt idx="235">
                  <c:v>-168.343</c:v>
                </c:pt>
                <c:pt idx="236">
                  <c:v>-167.039</c:v>
                </c:pt>
                <c:pt idx="237">
                  <c:v>-165.876</c:v>
                </c:pt>
                <c:pt idx="238">
                  <c:v>-164.703</c:v>
                </c:pt>
                <c:pt idx="239">
                  <c:v>-163.651</c:v>
                </c:pt>
                <c:pt idx="240">
                  <c:v>-162.522</c:v>
                </c:pt>
                <c:pt idx="241">
                  <c:v>-161.326</c:v>
                </c:pt>
                <c:pt idx="242">
                  <c:v>-160.23</c:v>
                </c:pt>
                <c:pt idx="243">
                  <c:v>-159.276</c:v>
                </c:pt>
                <c:pt idx="244">
                  <c:v>-158.108</c:v>
                </c:pt>
                <c:pt idx="245">
                  <c:v>-157.063</c:v>
                </c:pt>
                <c:pt idx="246">
                  <c:v>-156.01</c:v>
                </c:pt>
                <c:pt idx="247">
                  <c:v>-155.032</c:v>
                </c:pt>
                <c:pt idx="248">
                  <c:v>-154.002</c:v>
                </c:pt>
                <c:pt idx="249">
                  <c:v>-152.994</c:v>
                </c:pt>
                <c:pt idx="250">
                  <c:v>-152.041</c:v>
                </c:pt>
                <c:pt idx="251">
                  <c:v>-151.05</c:v>
                </c:pt>
                <c:pt idx="252">
                  <c:v>-150.174</c:v>
                </c:pt>
                <c:pt idx="253">
                  <c:v>-149.483</c:v>
                </c:pt>
                <c:pt idx="254">
                  <c:v>-148.328</c:v>
                </c:pt>
                <c:pt idx="255">
                  <c:v>-147.47</c:v>
                </c:pt>
                <c:pt idx="256">
                  <c:v>-146.525</c:v>
                </c:pt>
                <c:pt idx="257">
                  <c:v>-145.744</c:v>
                </c:pt>
                <c:pt idx="258">
                  <c:v>-144.868</c:v>
                </c:pt>
                <c:pt idx="259">
                  <c:v>-144.06</c:v>
                </c:pt>
                <c:pt idx="260">
                  <c:v>-143.23</c:v>
                </c:pt>
                <c:pt idx="261">
                  <c:v>-142.314</c:v>
                </c:pt>
                <c:pt idx="262">
                  <c:v>-141.465</c:v>
                </c:pt>
                <c:pt idx="263">
                  <c:v>-140.391</c:v>
                </c:pt>
                <c:pt idx="264">
                  <c:v>-139.065</c:v>
                </c:pt>
                <c:pt idx="265">
                  <c:v>-136.587</c:v>
                </c:pt>
                <c:pt idx="266">
                  <c:v>-135.751</c:v>
                </c:pt>
                <c:pt idx="267">
                  <c:v>-137.576</c:v>
                </c:pt>
                <c:pt idx="268">
                  <c:v>-138.25</c:v>
                </c:pt>
                <c:pt idx="269">
                  <c:v>-138.079</c:v>
                </c:pt>
                <c:pt idx="270">
                  <c:v>-137.591</c:v>
                </c:pt>
                <c:pt idx="271">
                  <c:v>-137.087</c:v>
                </c:pt>
                <c:pt idx="272">
                  <c:v>-136.553</c:v>
                </c:pt>
                <c:pt idx="273">
                  <c:v>-136.001</c:v>
                </c:pt>
                <c:pt idx="274">
                  <c:v>-135.524</c:v>
                </c:pt>
                <c:pt idx="275">
                  <c:v>-134.983</c:v>
                </c:pt>
                <c:pt idx="276">
                  <c:v>-134.522</c:v>
                </c:pt>
                <c:pt idx="277">
                  <c:v>-134.059</c:v>
                </c:pt>
                <c:pt idx="278">
                  <c:v>-133.651</c:v>
                </c:pt>
                <c:pt idx="279">
                  <c:v>-133.248</c:v>
                </c:pt>
                <c:pt idx="280">
                  <c:v>-132.866</c:v>
                </c:pt>
                <c:pt idx="281">
                  <c:v>-132.498</c:v>
                </c:pt>
                <c:pt idx="282">
                  <c:v>-132.279</c:v>
                </c:pt>
                <c:pt idx="283">
                  <c:v>-132.034</c:v>
                </c:pt>
                <c:pt idx="284">
                  <c:v>-131.408</c:v>
                </c:pt>
                <c:pt idx="285">
                  <c:v>-131.172</c:v>
                </c:pt>
                <c:pt idx="286">
                  <c:v>-130.929</c:v>
                </c:pt>
                <c:pt idx="287">
                  <c:v>-130.889</c:v>
                </c:pt>
                <c:pt idx="288">
                  <c:v>-130.622</c:v>
                </c:pt>
                <c:pt idx="289">
                  <c:v>-130.361</c:v>
                </c:pt>
                <c:pt idx="290">
                  <c:v>-130.174</c:v>
                </c:pt>
                <c:pt idx="291">
                  <c:v>-130.057</c:v>
                </c:pt>
                <c:pt idx="292">
                  <c:v>-130.116</c:v>
                </c:pt>
                <c:pt idx="293">
                  <c:v>-129.973</c:v>
                </c:pt>
                <c:pt idx="294">
                  <c:v>-129.962</c:v>
                </c:pt>
                <c:pt idx="295">
                  <c:v>-129.731</c:v>
                </c:pt>
                <c:pt idx="296">
                  <c:v>-129.683</c:v>
                </c:pt>
                <c:pt idx="297">
                  <c:v>-129.644</c:v>
                </c:pt>
                <c:pt idx="298">
                  <c:v>-129.63</c:v>
                </c:pt>
                <c:pt idx="299">
                  <c:v>-129.621</c:v>
                </c:pt>
                <c:pt idx="300">
                  <c:v>-129.59</c:v>
                </c:pt>
                <c:pt idx="301">
                  <c:v>-129.611</c:v>
                </c:pt>
                <c:pt idx="302">
                  <c:v>-129.617</c:v>
                </c:pt>
                <c:pt idx="303">
                  <c:v>-129.576</c:v>
                </c:pt>
                <c:pt idx="304">
                  <c:v>-129.528</c:v>
                </c:pt>
                <c:pt idx="305">
                  <c:v>-129.443</c:v>
                </c:pt>
                <c:pt idx="306">
                  <c:v>-129.585</c:v>
                </c:pt>
                <c:pt idx="307">
                  <c:v>-129.617</c:v>
                </c:pt>
                <c:pt idx="308">
                  <c:v>-129.863</c:v>
                </c:pt>
                <c:pt idx="309">
                  <c:v>-130.313</c:v>
                </c:pt>
                <c:pt idx="310">
                  <c:v>-130.771</c:v>
                </c:pt>
                <c:pt idx="311">
                  <c:v>-131.426</c:v>
                </c:pt>
                <c:pt idx="312">
                  <c:v>-132.064</c:v>
                </c:pt>
                <c:pt idx="313">
                  <c:v>-132.629</c:v>
                </c:pt>
                <c:pt idx="314">
                  <c:v>-133.267</c:v>
                </c:pt>
                <c:pt idx="315">
                  <c:v>-133.959</c:v>
                </c:pt>
                <c:pt idx="316">
                  <c:v>-134.752</c:v>
                </c:pt>
                <c:pt idx="317">
                  <c:v>-135.724</c:v>
                </c:pt>
                <c:pt idx="318">
                  <c:v>-136.342</c:v>
                </c:pt>
                <c:pt idx="319">
                  <c:v>-136.816</c:v>
                </c:pt>
                <c:pt idx="320">
                  <c:v>-137.47</c:v>
                </c:pt>
                <c:pt idx="321">
                  <c:v>-137.469</c:v>
                </c:pt>
                <c:pt idx="322">
                  <c:v>-138.312</c:v>
                </c:pt>
                <c:pt idx="323">
                  <c:v>-140.114</c:v>
                </c:pt>
                <c:pt idx="324">
                  <c:v>-141.173</c:v>
                </c:pt>
                <c:pt idx="325">
                  <c:v>-141.862</c:v>
                </c:pt>
                <c:pt idx="326">
                  <c:v>-143.414</c:v>
                </c:pt>
                <c:pt idx="327">
                  <c:v>-144.279</c:v>
                </c:pt>
                <c:pt idx="328">
                  <c:v>-145.408</c:v>
                </c:pt>
                <c:pt idx="329">
                  <c:v>-146.886</c:v>
                </c:pt>
                <c:pt idx="330">
                  <c:v>-147.237</c:v>
                </c:pt>
                <c:pt idx="331">
                  <c:v>-148.923</c:v>
                </c:pt>
                <c:pt idx="332">
                  <c:v>-149.921</c:v>
                </c:pt>
                <c:pt idx="333">
                  <c:v>-151.101</c:v>
                </c:pt>
                <c:pt idx="334">
                  <c:v>-153.087</c:v>
                </c:pt>
                <c:pt idx="335">
                  <c:v>-154.707</c:v>
                </c:pt>
                <c:pt idx="336">
                  <c:v>-156.46</c:v>
                </c:pt>
                <c:pt idx="337">
                  <c:v>-158.775</c:v>
                </c:pt>
                <c:pt idx="338">
                  <c:v>-161.529</c:v>
                </c:pt>
                <c:pt idx="339">
                  <c:v>-163.597</c:v>
                </c:pt>
                <c:pt idx="340">
                  <c:v>-165.896</c:v>
                </c:pt>
                <c:pt idx="341">
                  <c:v>-168.07</c:v>
                </c:pt>
                <c:pt idx="342">
                  <c:v>-170.824</c:v>
                </c:pt>
                <c:pt idx="343">
                  <c:v>-173.353</c:v>
                </c:pt>
                <c:pt idx="344">
                  <c:v>-175.807</c:v>
                </c:pt>
                <c:pt idx="345">
                  <c:v>-177.724</c:v>
                </c:pt>
                <c:pt idx="346">
                  <c:v>-178.921</c:v>
                </c:pt>
                <c:pt idx="347">
                  <c:v>-181.99</c:v>
                </c:pt>
                <c:pt idx="348">
                  <c:v>-183.361</c:v>
                </c:pt>
                <c:pt idx="349">
                  <c:v>-186.209</c:v>
                </c:pt>
                <c:pt idx="350">
                  <c:v>-189.75</c:v>
                </c:pt>
                <c:pt idx="351">
                  <c:v>-192.398</c:v>
                </c:pt>
                <c:pt idx="352">
                  <c:v>-194.603</c:v>
                </c:pt>
                <c:pt idx="353">
                  <c:v>-197.853</c:v>
                </c:pt>
                <c:pt idx="354">
                  <c:v>-200.482</c:v>
                </c:pt>
                <c:pt idx="355">
                  <c:v>-203.332</c:v>
                </c:pt>
                <c:pt idx="356">
                  <c:v>-205.195</c:v>
                </c:pt>
                <c:pt idx="357">
                  <c:v>-207.41</c:v>
                </c:pt>
                <c:pt idx="358">
                  <c:v>-210.394</c:v>
                </c:pt>
                <c:pt idx="359">
                  <c:v>-213.043</c:v>
                </c:pt>
                <c:pt idx="360">
                  <c:v>-214.585</c:v>
                </c:pt>
                <c:pt idx="361">
                  <c:v>-217.343</c:v>
                </c:pt>
                <c:pt idx="362">
                  <c:v>-219.017</c:v>
                </c:pt>
                <c:pt idx="363">
                  <c:v>-221.394</c:v>
                </c:pt>
                <c:pt idx="364">
                  <c:v>-223.214</c:v>
                </c:pt>
                <c:pt idx="365">
                  <c:v>-225.053</c:v>
                </c:pt>
                <c:pt idx="366">
                  <c:v>-226.502</c:v>
                </c:pt>
                <c:pt idx="367">
                  <c:v>131.817</c:v>
                </c:pt>
                <c:pt idx="368">
                  <c:v>129.957</c:v>
                </c:pt>
                <c:pt idx="369">
                  <c:v>126.418</c:v>
                </c:pt>
                <c:pt idx="370">
                  <c:v>125.409</c:v>
                </c:pt>
                <c:pt idx="371">
                  <c:v>124.027</c:v>
                </c:pt>
                <c:pt idx="372">
                  <c:v>122.795</c:v>
                </c:pt>
                <c:pt idx="373">
                  <c:v>121.763</c:v>
                </c:pt>
                <c:pt idx="374">
                  <c:v>121.762</c:v>
                </c:pt>
                <c:pt idx="375">
                  <c:v>119.894</c:v>
                </c:pt>
                <c:pt idx="376">
                  <c:v>119.196</c:v>
                </c:pt>
                <c:pt idx="377">
                  <c:v>116.889</c:v>
                </c:pt>
                <c:pt idx="378">
                  <c:v>117.324</c:v>
                </c:pt>
                <c:pt idx="379">
                  <c:v>115.142</c:v>
                </c:pt>
                <c:pt idx="380">
                  <c:v>115.247</c:v>
                </c:pt>
                <c:pt idx="381">
                  <c:v>113.164</c:v>
                </c:pt>
                <c:pt idx="382">
                  <c:v>112.872</c:v>
                </c:pt>
                <c:pt idx="383">
                  <c:v>110.592</c:v>
                </c:pt>
                <c:pt idx="384">
                  <c:v>111.013</c:v>
                </c:pt>
                <c:pt idx="385">
                  <c:v>109.21</c:v>
                </c:pt>
                <c:pt idx="386">
                  <c:v>107.553</c:v>
                </c:pt>
                <c:pt idx="387">
                  <c:v>107.324</c:v>
                </c:pt>
                <c:pt idx="388">
                  <c:v>105.507</c:v>
                </c:pt>
                <c:pt idx="389">
                  <c:v>105.287</c:v>
                </c:pt>
                <c:pt idx="390">
                  <c:v>105.286</c:v>
                </c:pt>
                <c:pt idx="391">
                  <c:v>105.187</c:v>
                </c:pt>
                <c:pt idx="392">
                  <c:v>104.541</c:v>
                </c:pt>
                <c:pt idx="393">
                  <c:v>103.205</c:v>
                </c:pt>
                <c:pt idx="394">
                  <c:v>103.91</c:v>
                </c:pt>
                <c:pt idx="395">
                  <c:v>102.337</c:v>
                </c:pt>
                <c:pt idx="396">
                  <c:v>100.335</c:v>
                </c:pt>
                <c:pt idx="397">
                  <c:v>100.204</c:v>
                </c:pt>
                <c:pt idx="398">
                  <c:v>99.9566</c:v>
                </c:pt>
                <c:pt idx="399">
                  <c:v>98.6996</c:v>
                </c:pt>
              </c:numCache>
            </c:numRef>
          </c:yVal>
        </c:ser>
        <c:axId val="8563"/>
        <c:axId val="21609"/>
      </c:scatterChart>
      <c:valAx>
        <c:axId val="15485"/>
        <c:scaling>
          <c:orientation val="minMax"/>
          <c:logBase val="10"/>
          <c:max val="10000000"/>
          <c:min val="1000"/>
        </c:scaling>
        <c:delete val="0"/>
        <c:axPos val="b"/>
        <c:title>
          <c:tx>
            <c:rich>
              <a:bodyPr/>
              <a:lstStyle/>
              <a:p>
                <a:pPr>
                  <a:defRPr/>
                </a:pPr>
                <a:r>
                  <a:rPr b="1" sz="800">
                    <a:solidFill>
                      <a:srgbClr val="000000"/>
                    </a:solidFill>
                    <a:latin typeface="Arial"/>
                    <a:ea typeface="Arial"/>
                  </a:rPr>
                  <a:t>Frequency (Hz)</a:t>
                </a:r>
              </a:p>
            </c:rich>
          </c:tx>
          <c:layout/>
        </c:title>
        <c:majorTickMark val="out"/>
        <c:minorTickMark val="in"/>
        <c:tickLblPos val="nextTo"/>
        <c:spPr>
          <a:ln w="3240">
            <a:solidFill>
              <a:srgbClr val="000000"/>
            </a:solidFill>
            <a:round/>
          </a:ln>
        </c:spPr>
        <c:crossAx val="15205"/>
        <c:crossesAt val="-80"/>
      </c:valAx>
      <c:valAx>
        <c:axId val="15205"/>
        <c:scaling>
          <c:orientation val="minMax"/>
          <c:min val="-60"/>
        </c:scaling>
        <c:delete val="0"/>
        <c:axPos val="l"/>
        <c:majorGridlines>
          <c:spPr>
            <a:ln w="3240">
              <a:solidFill>
                <a:srgbClr val="000000"/>
              </a:solidFill>
              <a:round/>
            </a:ln>
          </c:spPr>
        </c:majorGridlines>
        <c:title>
          <c:tx>
            <c:rich>
              <a:bodyPr/>
              <a:lstStyle/>
              <a:p>
                <a:pPr>
                  <a:defRPr/>
                </a:pPr>
                <a:r>
                  <a:rPr b="1" sz="800">
                    <a:solidFill>
                      <a:srgbClr val="000000"/>
                    </a:solidFill>
                    <a:latin typeface="Arial"/>
                    <a:ea typeface="Arial"/>
                  </a:rPr>
                  <a:t>Gain (db)</a:t>
                </a:r>
              </a:p>
            </c:rich>
          </c:tx>
          <c:layout/>
        </c:title>
        <c:majorTickMark val="out"/>
        <c:minorTickMark val="none"/>
        <c:tickLblPos val="nextTo"/>
        <c:spPr>
          <a:ln w="3240">
            <a:solidFill>
              <a:srgbClr val="000000"/>
            </a:solidFill>
            <a:round/>
          </a:ln>
        </c:spPr>
        <c:crossAx val="15485"/>
        <c:crossesAt val="1"/>
      </c:valAx>
      <c:valAx>
        <c:axId val="8563"/>
        <c:scaling>
          <c:orientation val="minMax"/>
          <c:logBase val="10"/>
          <c:max val="10000000"/>
          <c:min val="1000"/>
        </c:scaling>
        <c:delete val="0"/>
        <c:axPos val="b"/>
        <c:title>
          <c:tx>
            <c:rich>
              <a:bodyPr/>
              <a:lstStyle/>
              <a:p>
                <a:pPr>
                  <a:defRPr/>
                </a:pPr>
                <a:r>
                  <a:rPr b="1" sz="800">
                    <a:solidFill>
                      <a:srgbClr val="000000"/>
                    </a:solidFill>
                    <a:latin typeface="Arial"/>
                    <a:ea typeface="Arial"/>
                  </a:rPr>
                  <a:t>Frequency (Hz)</a:t>
                </a:r>
              </a:p>
            </c:rich>
          </c:tx>
          <c:layout/>
        </c:title>
        <c:majorTickMark val="out"/>
        <c:minorTickMark val="in"/>
        <c:tickLblPos val="nextTo"/>
        <c:spPr>
          <a:ln w="3240">
            <a:solidFill>
              <a:srgbClr val="000000"/>
            </a:solidFill>
            <a:round/>
          </a:ln>
        </c:spPr>
        <c:crossAx val="21609"/>
        <c:crossesAt val="-80"/>
      </c:valAx>
      <c:valAx>
        <c:axId val="21609"/>
        <c:scaling>
          <c:orientation val="minMax"/>
        </c:scaling>
        <c:delete val="0"/>
        <c:axPos val="l"/>
        <c:title>
          <c:tx>
            <c:rich>
              <a:bodyPr/>
              <a:lstStyle/>
              <a:p>
                <a:pPr>
                  <a:defRPr/>
                </a:pPr>
                <a:r>
                  <a:rPr b="1" sz="800">
                    <a:solidFill>
                      <a:srgbClr val="000000"/>
                    </a:solidFill>
                    <a:latin typeface="Arial"/>
                    <a:ea typeface="Arial"/>
                  </a:rPr>
                  <a:t>Phase Margin (Deg)</a:t>
                </a:r>
              </a:p>
            </c:rich>
          </c:tx>
          <c:layout/>
        </c:title>
        <c:majorTickMark val="cross"/>
        <c:minorTickMark val="none"/>
        <c:tickLblPos val="nextTo"/>
        <c:spPr>
          <a:ln w="3240">
            <a:solidFill>
              <a:srgbClr val="000000"/>
            </a:solidFill>
            <a:round/>
          </a:ln>
        </c:spPr>
        <c:crossAx val="8563"/>
        <c:crosses val="max"/>
      </c:valAx>
      <c:spPr>
        <a:noFill/>
        <a:ln w="12600">
          <a:solidFill>
            <a:srgbClr val="808080"/>
          </a:solidFill>
          <a:round/>
        </a:ln>
      </c:spPr>
    </c:plotArea>
    <c:legend>
      <c:legendPos val="t"/>
      <c:overlay val="0"/>
      <c:spPr>
        <a:solidFill>
          <a:srgbClr val="ffffff"/>
        </a:solidFill>
        <a:ln w="3240">
          <a:solidFill>
            <a:srgbClr val="000000"/>
          </a:solidFill>
          <a:round/>
        </a:ln>
      </c:spPr>
    </c:legend>
    <c:plotVisOnly val="1"/>
  </c:chart>
  <c:spPr>
    <a:solidFill>
      <a:srgbClr val="ffffff"/>
    </a:solidFill>
    <a:ln w="25560">
      <a:solidFill>
        <a:srgbClr val="000000"/>
      </a:solidFill>
      <a:round/>
    </a:ln>
  </c:spPr>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b="1" sz="1075">
                <a:solidFill>
                  <a:srgbClr val="000000"/>
                </a:solidFill>
                <a:latin typeface="Arial"/>
                <a:ea typeface="Arial"/>
              </a:rPr>
              <a:t> FET Temp Rise</a:t>
            </a:r>
          </a:p>
        </c:rich>
      </c:tx>
      <c:layout/>
    </c:title>
    <c:plotArea>
      <c:layout/>
      <c:scatterChart>
        <c:scatterStyle val="lineMarker"/>
        <c:varyColors val="0"/>
        <c:ser>
          <c:idx val="0"/>
          <c:order val="0"/>
          <c:tx>
            <c:strRef>
              <c:f>"Top FET"</c:f>
              <c:strCache>
                <c:ptCount val="1"/>
                <c:pt idx="0">
                  <c:v>Top FET</c:v>
                </c:pt>
              </c:strCache>
            </c:strRef>
          </c:tx>
          <c:spPr>
            <a:solidFill>
              <a:srgbClr val="000080"/>
            </a:solidFill>
            <a:ln w="38160">
              <a:solidFill>
                <a:srgbClr val="000080"/>
              </a:solidFill>
              <a:round/>
            </a:ln>
          </c:spPr>
          <c:marker>
            <c:symbol val="none"/>
          </c:marker>
          <c:xVal>
            <c:numRef>
              <c:f>'Power Calculations'!$H$9:$H$109</c:f>
              <c:numCache>
                <c:formatCode>General</c:formatCode>
                <c:ptCount val="101"/>
                <c:pt idx="0">
                  <c:v>0</c:v>
                </c:pt>
                <c:pt idx="1">
                  <c:v>0.02</c:v>
                </c:pt>
                <c:pt idx="2">
                  <c:v>0.04</c:v>
                </c:pt>
                <c:pt idx="3">
                  <c:v>0.06</c:v>
                </c:pt>
                <c:pt idx="4">
                  <c:v>0.08</c:v>
                </c:pt>
                <c:pt idx="5">
                  <c:v>0.1</c:v>
                </c:pt>
                <c:pt idx="6">
                  <c:v>0.12</c:v>
                </c:pt>
                <c:pt idx="7">
                  <c:v>0.14</c:v>
                </c:pt>
                <c:pt idx="8">
                  <c:v>0.16</c:v>
                </c:pt>
                <c:pt idx="9">
                  <c:v>0.18</c:v>
                </c:pt>
                <c:pt idx="10">
                  <c:v>0.2</c:v>
                </c:pt>
                <c:pt idx="11">
                  <c:v>0.22</c:v>
                </c:pt>
                <c:pt idx="12">
                  <c:v>0.24</c:v>
                </c:pt>
                <c:pt idx="13">
                  <c:v>0.26</c:v>
                </c:pt>
                <c:pt idx="14">
                  <c:v>0.28</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c:v>
                </c:pt>
                <c:pt idx="29">
                  <c:v>0.58</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c:v>
                </c:pt>
                <c:pt idx="56">
                  <c:v>1.12</c:v>
                </c:pt>
                <c:pt idx="57">
                  <c:v>1.14</c:v>
                </c:pt>
                <c:pt idx="58">
                  <c:v>1.16</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xVal>
          <c:yVal>
            <c:numRef>
              <c:f>'Power Calculations'!$AM$9:$AM$109</c:f>
              <c:numCache>
                <c:formatCode>General</c:formatCode>
                <c:ptCount val="101"/>
                <c:pt idx="0">
                  <c:v>0.254908922567509</c:v>
                </c:pt>
                <c:pt idx="1">
                  <c:v>0.28854518504822</c:v>
                </c:pt>
                <c:pt idx="2">
                  <c:v>0.32224822816533</c:v>
                </c:pt>
                <c:pt idx="3">
                  <c:v>0.356018095972714</c:v>
                </c:pt>
                <c:pt idx="4">
                  <c:v>0.389854832640768</c:v>
                </c:pt>
                <c:pt idx="5">
                  <c:v>0.42375848245658</c:v>
                </c:pt>
                <c:pt idx="6">
                  <c:v>0.457729089824084</c:v>
                </c:pt>
                <c:pt idx="7">
                  <c:v>0.491766699264236</c:v>
                </c:pt>
                <c:pt idx="8">
                  <c:v>0.52587135541517</c:v>
                </c:pt>
                <c:pt idx="9">
                  <c:v>0.56004310303237</c:v>
                </c:pt>
                <c:pt idx="10">
                  <c:v>0.594281986988836</c:v>
                </c:pt>
                <c:pt idx="11">
                  <c:v>0.628588052275246</c:v>
                </c:pt>
                <c:pt idx="12">
                  <c:v>0.662961344000131</c:v>
                </c:pt>
                <c:pt idx="13">
                  <c:v>0.697401907390037</c:v>
                </c:pt>
                <c:pt idx="14">
                  <c:v>0.731909787789697</c:v>
                </c:pt>
                <c:pt idx="15">
                  <c:v>0.766485030662199</c:v>
                </c:pt>
                <c:pt idx="16">
                  <c:v>0.801127681589155</c:v>
                </c:pt>
                <c:pt idx="17">
                  <c:v>0.835837786270875</c:v>
                </c:pt>
                <c:pt idx="18">
                  <c:v>0.870615390526532</c:v>
                </c:pt>
                <c:pt idx="19">
                  <c:v>0.905460540294338</c:v>
                </c:pt>
                <c:pt idx="20">
                  <c:v>0.940373281631715</c:v>
                </c:pt>
                <c:pt idx="21">
                  <c:v>0.975353660715465</c:v>
                </c:pt>
                <c:pt idx="22">
                  <c:v>1.02173574794144</c:v>
                </c:pt>
                <c:pt idx="23">
                  <c:v>1.06873145749434</c:v>
                </c:pt>
                <c:pt idx="24">
                  <c:v>1.11579509637744</c:v>
                </c:pt>
                <c:pt idx="25">
                  <c:v>1.16292672081362</c:v>
                </c:pt>
                <c:pt idx="26">
                  <c:v>1.21012638714977</c:v>
                </c:pt>
                <c:pt idx="27">
                  <c:v>1.25739415185693</c:v>
                </c:pt>
                <c:pt idx="28">
                  <c:v>1.30473007153056</c:v>
                </c:pt>
                <c:pt idx="29">
                  <c:v>1.35213420289072</c:v>
                </c:pt>
                <c:pt idx="30">
                  <c:v>1.39960660278224</c:v>
                </c:pt>
                <c:pt idx="31">
                  <c:v>1.44714732817498</c:v>
                </c:pt>
                <c:pt idx="32">
                  <c:v>1.49475643616399</c:v>
                </c:pt>
                <c:pt idx="33">
                  <c:v>1.54243398396974</c:v>
                </c:pt>
                <c:pt idx="34">
                  <c:v>1.59018002893833</c:v>
                </c:pt>
                <c:pt idx="35">
                  <c:v>1.63799462854165</c:v>
                </c:pt>
                <c:pt idx="36">
                  <c:v>1.68587784037767</c:v>
                </c:pt>
                <c:pt idx="37">
                  <c:v>1.73382972217055</c:v>
                </c:pt>
                <c:pt idx="38">
                  <c:v>1.78185033177094</c:v>
                </c:pt>
                <c:pt idx="39">
                  <c:v>1.82993972715613</c:v>
                </c:pt>
                <c:pt idx="40">
                  <c:v>1.87809796643027</c:v>
                </c:pt>
                <c:pt idx="41">
                  <c:v>1.92632510782459</c:v>
                </c:pt>
                <c:pt idx="42">
                  <c:v>1.97462120969762</c:v>
                </c:pt>
                <c:pt idx="43">
                  <c:v>2.02298633053538</c:v>
                </c:pt>
                <c:pt idx="44">
                  <c:v>2.07142052895159</c:v>
                </c:pt>
                <c:pt idx="45">
                  <c:v>2.11992386368791</c:v>
                </c:pt>
                <c:pt idx="46">
                  <c:v>2.16849639361412</c:v>
                </c:pt>
                <c:pt idx="47">
                  <c:v>2.21713817772837</c:v>
                </c:pt>
                <c:pt idx="48">
                  <c:v>2.26584927515737</c:v>
                </c:pt>
                <c:pt idx="49">
                  <c:v>2.31462974515659</c:v>
                </c:pt>
                <c:pt idx="50">
                  <c:v>2.36347964711051</c:v>
                </c:pt>
                <c:pt idx="51">
                  <c:v>2.41239904053282</c:v>
                </c:pt>
                <c:pt idx="52">
                  <c:v>2.46138798506665</c:v>
                </c:pt>
                <c:pt idx="53">
                  <c:v>2.51044654048475</c:v>
                </c:pt>
                <c:pt idx="54">
                  <c:v>2.55957476668976</c:v>
                </c:pt>
                <c:pt idx="55">
                  <c:v>2.60877272371438</c:v>
                </c:pt>
                <c:pt idx="56">
                  <c:v>2.65804047172163</c:v>
                </c:pt>
                <c:pt idx="57">
                  <c:v>2.70737807100504</c:v>
                </c:pt>
                <c:pt idx="58">
                  <c:v>2.75678558198889</c:v>
                </c:pt>
                <c:pt idx="59">
                  <c:v>2.80626306522842</c:v>
                </c:pt>
                <c:pt idx="60">
                  <c:v>2.85581058141005</c:v>
                </c:pt>
                <c:pt idx="61">
                  <c:v>2.90542819135163</c:v>
                </c:pt>
                <c:pt idx="62">
                  <c:v>2.95511595600262</c:v>
                </c:pt>
                <c:pt idx="63">
                  <c:v>3.00487393644434</c:v>
                </c:pt>
                <c:pt idx="64">
                  <c:v>3.05470219389019</c:v>
                </c:pt>
                <c:pt idx="65">
                  <c:v>3.10460078968589</c:v>
                </c:pt>
                <c:pt idx="66">
                  <c:v>3.15456978530966</c:v>
                </c:pt>
                <c:pt idx="67">
                  <c:v>3.20460924237251</c:v>
                </c:pt>
                <c:pt idx="68">
                  <c:v>3.25471922261841</c:v>
                </c:pt>
                <c:pt idx="69">
                  <c:v>3.30489978792455</c:v>
                </c:pt>
                <c:pt idx="70">
                  <c:v>3.35515100030158</c:v>
                </c:pt>
                <c:pt idx="71">
                  <c:v>3.40547292189378</c:v>
                </c:pt>
                <c:pt idx="72">
                  <c:v>3.45586561497935</c:v>
                </c:pt>
                <c:pt idx="73">
                  <c:v>3.50632914197063</c:v>
                </c:pt>
                <c:pt idx="74">
                  <c:v>3.55686356541431</c:v>
                </c:pt>
                <c:pt idx="75">
                  <c:v>3.60746894799166</c:v>
                </c:pt>
                <c:pt idx="76">
                  <c:v>3.65814535251879</c:v>
                </c:pt>
                <c:pt idx="77">
                  <c:v>3.70889284194686</c:v>
                </c:pt>
                <c:pt idx="78">
                  <c:v>3.75971147936234</c:v>
                </c:pt>
                <c:pt idx="79">
                  <c:v>3.81060132798718</c:v>
                </c:pt>
                <c:pt idx="80">
                  <c:v>3.86156245117914</c:v>
                </c:pt>
                <c:pt idx="81">
                  <c:v>3.91259491243195</c:v>
                </c:pt>
                <c:pt idx="82">
                  <c:v>3.96369877537557</c:v>
                </c:pt>
                <c:pt idx="83">
                  <c:v>4.01487410377644</c:v>
                </c:pt>
                <c:pt idx="84">
                  <c:v>4.0661209615377</c:v>
                </c:pt>
                <c:pt idx="85">
                  <c:v>4.11743941269943</c:v>
                </c:pt>
                <c:pt idx="86">
                  <c:v>4.16882952143892</c:v>
                </c:pt>
                <c:pt idx="87">
                  <c:v>4.22029135207085</c:v>
                </c:pt>
                <c:pt idx="88">
                  <c:v>4.27182496904759</c:v>
                </c:pt>
                <c:pt idx="89">
                  <c:v>4.32343043695939</c:v>
                </c:pt>
                <c:pt idx="90">
                  <c:v>4.37510782053467</c:v>
                </c:pt>
                <c:pt idx="91">
                  <c:v>4.42685718464023</c:v>
                </c:pt>
                <c:pt idx="92">
                  <c:v>4.4786785942815</c:v>
                </c:pt>
                <c:pt idx="93">
                  <c:v>4.5305721146028</c:v>
                </c:pt>
                <c:pt idx="94">
                  <c:v>4.58253781088755</c:v>
                </c:pt>
                <c:pt idx="95">
                  <c:v>4.63457574855856</c:v>
                </c:pt>
                <c:pt idx="96">
                  <c:v>4.68668599317823</c:v>
                </c:pt>
                <c:pt idx="97">
                  <c:v>4.73886861044883</c:v>
                </c:pt>
                <c:pt idx="98">
                  <c:v>4.79112366621273</c:v>
                </c:pt>
                <c:pt idx="99">
                  <c:v>4.84345122645267</c:v>
                </c:pt>
                <c:pt idx="100">
                  <c:v>4.89585135729198</c:v>
                </c:pt>
              </c:numCache>
            </c:numRef>
          </c:yVal>
        </c:ser>
        <c:ser>
          <c:idx val="1"/>
          <c:order val="1"/>
          <c:tx>
            <c:strRef>
              <c:f>"Bottom FET"</c:f>
              <c:strCache>
                <c:ptCount val="1"/>
                <c:pt idx="0">
                  <c:v>Bottom FET</c:v>
                </c:pt>
              </c:strCache>
            </c:strRef>
          </c:tx>
          <c:spPr>
            <a:solidFill>
              <a:srgbClr val="ff0000"/>
            </a:solidFill>
            <a:ln w="25560">
              <a:solidFill>
                <a:srgbClr val="ff0000"/>
              </a:solidFill>
              <a:round/>
            </a:ln>
          </c:spPr>
          <c:marker>
            <c:symbol val="none"/>
          </c:marker>
          <c:xVal>
            <c:numRef>
              <c:f>'Power Calculations'!$H$9:$H$109</c:f>
              <c:numCache>
                <c:formatCode>General</c:formatCode>
                <c:ptCount val="101"/>
                <c:pt idx="0">
                  <c:v>0</c:v>
                </c:pt>
                <c:pt idx="1">
                  <c:v>0.02</c:v>
                </c:pt>
                <c:pt idx="2">
                  <c:v>0.04</c:v>
                </c:pt>
                <c:pt idx="3">
                  <c:v>0.06</c:v>
                </c:pt>
                <c:pt idx="4">
                  <c:v>0.08</c:v>
                </c:pt>
                <c:pt idx="5">
                  <c:v>0.1</c:v>
                </c:pt>
                <c:pt idx="6">
                  <c:v>0.12</c:v>
                </c:pt>
                <c:pt idx="7">
                  <c:v>0.14</c:v>
                </c:pt>
                <c:pt idx="8">
                  <c:v>0.16</c:v>
                </c:pt>
                <c:pt idx="9">
                  <c:v>0.18</c:v>
                </c:pt>
                <c:pt idx="10">
                  <c:v>0.2</c:v>
                </c:pt>
                <c:pt idx="11">
                  <c:v>0.22</c:v>
                </c:pt>
                <c:pt idx="12">
                  <c:v>0.24</c:v>
                </c:pt>
                <c:pt idx="13">
                  <c:v>0.26</c:v>
                </c:pt>
                <c:pt idx="14">
                  <c:v>0.28</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c:v>
                </c:pt>
                <c:pt idx="29">
                  <c:v>0.58</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c:v>
                </c:pt>
                <c:pt idx="56">
                  <c:v>1.12</c:v>
                </c:pt>
                <c:pt idx="57">
                  <c:v>1.14</c:v>
                </c:pt>
                <c:pt idx="58">
                  <c:v>1.16</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xVal>
          <c:yVal>
            <c:numRef>
              <c:f>'Power Calculations'!$AN$9:$AN$109</c:f>
              <c:numCache>
                <c:formatCode>General</c:formatCode>
                <c:ptCount val="101"/>
                <c:pt idx="0">
                  <c:v>0.455299346085221</c:v>
                </c:pt>
                <c:pt idx="1">
                  <c:v>0.476914329580199</c:v>
                </c:pt>
                <c:pt idx="2">
                  <c:v>0.498561376259926</c:v>
                </c:pt>
                <c:pt idx="3">
                  <c:v>0.520240490371183</c:v>
                </c:pt>
                <c:pt idx="4">
                  <c:v>0.541951676183898</c:v>
                </c:pt>
                <c:pt idx="5">
                  <c:v>0.563694937991144</c:v>
                </c:pt>
                <c:pt idx="6">
                  <c:v>0.58547028010914</c:v>
                </c:pt>
                <c:pt idx="7">
                  <c:v>0.607277706877248</c:v>
                </c:pt>
                <c:pt idx="8">
                  <c:v>0.62911722265798</c:v>
                </c:pt>
                <c:pt idx="9">
                  <c:v>0.65098883183699</c:v>
                </c:pt>
                <c:pt idx="10">
                  <c:v>0.672892538823083</c:v>
                </c:pt>
                <c:pt idx="11">
                  <c:v>0.694828348048209</c:v>
                </c:pt>
                <c:pt idx="12">
                  <c:v>0.716796263967466</c:v>
                </c:pt>
                <c:pt idx="13">
                  <c:v>0.738796291059101</c:v>
                </c:pt>
                <c:pt idx="14">
                  <c:v>0.760828433824511</c:v>
                </c:pt>
                <c:pt idx="15">
                  <c:v>0.782892696788241</c:v>
                </c:pt>
                <c:pt idx="16">
                  <c:v>0.804989084497988</c:v>
                </c:pt>
                <c:pt idx="17">
                  <c:v>0.827117601524601</c:v>
                </c:pt>
                <c:pt idx="18">
                  <c:v>0.849278252462078</c:v>
                </c:pt>
                <c:pt idx="19">
                  <c:v>0.871471041927573</c:v>
                </c:pt>
                <c:pt idx="20">
                  <c:v>0.893695974561393</c:v>
                </c:pt>
                <c:pt idx="21">
                  <c:v>0.915953055026998</c:v>
                </c:pt>
                <c:pt idx="22">
                  <c:v>0.938242288011007</c:v>
                </c:pt>
                <c:pt idx="23">
                  <c:v>0.960563678223193</c:v>
                </c:pt>
                <c:pt idx="24">
                  <c:v>0.982917230396488</c:v>
                </c:pt>
                <c:pt idx="25">
                  <c:v>1.00530294928698</c:v>
                </c:pt>
                <c:pt idx="26">
                  <c:v>1.02772083967393</c:v>
                </c:pt>
                <c:pt idx="27">
                  <c:v>1.05017090635973</c:v>
                </c:pt>
                <c:pt idx="28">
                  <c:v>1.07265315416998</c:v>
                </c:pt>
                <c:pt idx="29">
                  <c:v>1.09516758795339</c:v>
                </c:pt>
                <c:pt idx="30">
                  <c:v>1.11771421258189</c:v>
                </c:pt>
                <c:pt idx="31">
                  <c:v>1.14029303295053</c:v>
                </c:pt>
                <c:pt idx="32">
                  <c:v>1.16290405397755</c:v>
                </c:pt>
                <c:pt idx="33">
                  <c:v>1.18554728060437</c:v>
                </c:pt>
                <c:pt idx="34">
                  <c:v>1.20822271779555</c:v>
                </c:pt>
                <c:pt idx="35">
                  <c:v>1.23093037053885</c:v>
                </c:pt>
                <c:pt idx="36">
                  <c:v>1.25367024384519</c:v>
                </c:pt>
                <c:pt idx="37">
                  <c:v>1.27644234274866</c:v>
                </c:pt>
                <c:pt idx="38">
                  <c:v>1.29924667230655</c:v>
                </c:pt>
                <c:pt idx="39">
                  <c:v>1.32208323759931</c:v>
                </c:pt>
                <c:pt idx="40">
                  <c:v>1.34495204373057</c:v>
                </c:pt>
                <c:pt idx="41">
                  <c:v>1.36785309582715</c:v>
                </c:pt>
                <c:pt idx="42">
                  <c:v>1.39078639903905</c:v>
                </c:pt>
                <c:pt idx="43">
                  <c:v>1.41375195853946</c:v>
                </c:pt>
                <c:pt idx="44">
                  <c:v>1.43674977952475</c:v>
                </c:pt>
                <c:pt idx="45">
                  <c:v>1.45977986721449</c:v>
                </c:pt>
                <c:pt idx="46">
                  <c:v>1.48284222685143</c:v>
                </c:pt>
                <c:pt idx="47">
                  <c:v>1.50593686370153</c:v>
                </c:pt>
                <c:pt idx="48">
                  <c:v>1.52906378305392</c:v>
                </c:pt>
                <c:pt idx="49">
                  <c:v>1.55222299022096</c:v>
                </c:pt>
                <c:pt idx="50">
                  <c:v>1.57541449053819</c:v>
                </c:pt>
                <c:pt idx="51">
                  <c:v>1.59863828936436</c:v>
                </c:pt>
                <c:pt idx="52">
                  <c:v>1.62189439208141</c:v>
                </c:pt>
                <c:pt idx="53">
                  <c:v>1.6451828040945</c:v>
                </c:pt>
                <c:pt idx="54">
                  <c:v>1.66850353083201</c:v>
                </c:pt>
                <c:pt idx="55">
                  <c:v>1.69185657774551</c:v>
                </c:pt>
                <c:pt idx="56">
                  <c:v>1.7152419503098</c:v>
                </c:pt>
                <c:pt idx="57">
                  <c:v>1.73865965402289</c:v>
                </c:pt>
                <c:pt idx="58">
                  <c:v>1.76210969440599</c:v>
                </c:pt>
                <c:pt idx="59">
                  <c:v>1.78559207700358</c:v>
                </c:pt>
                <c:pt idx="60">
                  <c:v>1.80910680738331</c:v>
                </c:pt>
                <c:pt idx="61">
                  <c:v>1.83265389113609</c:v>
                </c:pt>
                <c:pt idx="62">
                  <c:v>1.85623333387606</c:v>
                </c:pt>
                <c:pt idx="63">
                  <c:v>1.87984514124057</c:v>
                </c:pt>
                <c:pt idx="64">
                  <c:v>1.90348931889022</c:v>
                </c:pt>
                <c:pt idx="65">
                  <c:v>1.92716587250885</c:v>
                </c:pt>
                <c:pt idx="66">
                  <c:v>1.95087480780354</c:v>
                </c:pt>
                <c:pt idx="67">
                  <c:v>1.9746161305046</c:v>
                </c:pt>
                <c:pt idx="68">
                  <c:v>1.9983898463656</c:v>
                </c:pt>
                <c:pt idx="69">
                  <c:v>2.02219596116335</c:v>
                </c:pt>
                <c:pt idx="70">
                  <c:v>2.04603448069793</c:v>
                </c:pt>
                <c:pt idx="71">
                  <c:v>2.06990541079266</c:v>
                </c:pt>
                <c:pt idx="72">
                  <c:v>2.09380875729412</c:v>
                </c:pt>
                <c:pt idx="73">
                  <c:v>2.11774452607215</c:v>
                </c:pt>
                <c:pt idx="74">
                  <c:v>2.14171272301986</c:v>
                </c:pt>
                <c:pt idx="75">
                  <c:v>2.16571335405362</c:v>
                </c:pt>
                <c:pt idx="76">
                  <c:v>2.18974642511309</c:v>
                </c:pt>
                <c:pt idx="77">
                  <c:v>2.21381194216119</c:v>
                </c:pt>
                <c:pt idx="78">
                  <c:v>2.23790991118411</c:v>
                </c:pt>
                <c:pt idx="79">
                  <c:v>2.26204033819134</c:v>
                </c:pt>
                <c:pt idx="80">
                  <c:v>2.28620322921564</c:v>
                </c:pt>
                <c:pt idx="81">
                  <c:v>2.31039859031308</c:v>
                </c:pt>
                <c:pt idx="82">
                  <c:v>2.33462642756298</c:v>
                </c:pt>
                <c:pt idx="83">
                  <c:v>2.35888674706801</c:v>
                </c:pt>
                <c:pt idx="84">
                  <c:v>2.38317955495409</c:v>
                </c:pt>
                <c:pt idx="85">
                  <c:v>2.40750485737048</c:v>
                </c:pt>
                <c:pt idx="86">
                  <c:v>2.43186266048972</c:v>
                </c:pt>
                <c:pt idx="87">
                  <c:v>2.45625297050766</c:v>
                </c:pt>
                <c:pt idx="88">
                  <c:v>2.48067579364349</c:v>
                </c:pt>
                <c:pt idx="89">
                  <c:v>2.5051311361397</c:v>
                </c:pt>
                <c:pt idx="90">
                  <c:v>2.5296190042621</c:v>
                </c:pt>
                <c:pt idx="91">
                  <c:v>2.55413940429982</c:v>
                </c:pt>
                <c:pt idx="92">
                  <c:v>2.57869234256534</c:v>
                </c:pt>
                <c:pt idx="93">
                  <c:v>2.60327782539445</c:v>
                </c:pt>
                <c:pt idx="94">
                  <c:v>2.62789585914629</c:v>
                </c:pt>
                <c:pt idx="95">
                  <c:v>2.65254645020335</c:v>
                </c:pt>
                <c:pt idx="96">
                  <c:v>2.67722960497144</c:v>
                </c:pt>
                <c:pt idx="97">
                  <c:v>2.70194532987975</c:v>
                </c:pt>
                <c:pt idx="98">
                  <c:v>2.72669363138079</c:v>
                </c:pt>
                <c:pt idx="99">
                  <c:v>2.75147451595047</c:v>
                </c:pt>
                <c:pt idx="100">
                  <c:v>2.77628799008802</c:v>
                </c:pt>
              </c:numCache>
            </c:numRef>
          </c:yVal>
        </c:ser>
        <c:axId val="9168"/>
        <c:axId val="30127"/>
      </c:scatterChart>
      <c:valAx>
        <c:axId val="9168"/>
        <c:scaling>
          <c:orientation val="minMax"/>
          <c:min val="0"/>
        </c:scaling>
        <c:delete val="0"/>
        <c:axPos val="b"/>
        <c:title>
          <c:tx>
            <c:rich>
              <a:bodyPr/>
              <a:lstStyle/>
              <a:p>
                <a:pPr>
                  <a:defRPr/>
                </a:pPr>
                <a:r>
                  <a:rPr b="1" sz="925">
                    <a:solidFill>
                      <a:srgbClr val="000000"/>
                    </a:solidFill>
                    <a:latin typeface="Arial"/>
                    <a:ea typeface="Arial"/>
                  </a:rPr>
                  <a:t>Iout (A)</a:t>
                </a:r>
              </a:p>
            </c:rich>
          </c:tx>
          <c:layout/>
        </c:title>
        <c:majorTickMark val="out"/>
        <c:minorTickMark val="none"/>
        <c:tickLblPos val="nextTo"/>
        <c:spPr>
          <a:ln w="3240">
            <a:solidFill>
              <a:srgbClr val="000000"/>
            </a:solidFill>
            <a:round/>
          </a:ln>
        </c:spPr>
        <c:crossAx val="30127"/>
        <c:crossesAt val="0"/>
      </c:valAx>
      <c:valAx>
        <c:axId val="30127"/>
        <c:scaling>
          <c:orientation val="minMax"/>
        </c:scaling>
        <c:delete val="0"/>
        <c:axPos val="l"/>
        <c:majorGridlines>
          <c:spPr>
            <a:ln w="3240">
              <a:solidFill>
                <a:srgbClr val="000000"/>
              </a:solidFill>
              <a:round/>
            </a:ln>
          </c:spPr>
        </c:majorGridlines>
        <c:title>
          <c:tx>
            <c:rich>
              <a:bodyPr/>
              <a:lstStyle/>
              <a:p>
                <a:pPr>
                  <a:defRPr/>
                </a:pPr>
                <a:r>
                  <a:rPr b="1" sz="925">
                    <a:solidFill>
                      <a:srgbClr val="000000"/>
                    </a:solidFill>
                    <a:latin typeface="Arial"/>
                    <a:ea typeface="Arial"/>
                  </a:rPr>
                  <a:t>Temperature (DegC)</a:t>
                </a:r>
              </a:p>
            </c:rich>
          </c:tx>
          <c:layout/>
        </c:title>
        <c:majorTickMark val="out"/>
        <c:minorTickMark val="none"/>
        <c:tickLblPos val="nextTo"/>
        <c:spPr>
          <a:ln w="3240">
            <a:solidFill>
              <a:srgbClr val="000000"/>
            </a:solidFill>
            <a:round/>
          </a:ln>
        </c:spPr>
        <c:crossAx val="9168"/>
        <c:crossesAt val="0"/>
      </c:valAx>
      <c:spPr>
        <a:solidFill>
          <a:srgbClr val="c0c0c0"/>
        </a:solidFill>
        <a:ln w="12600">
          <a:solidFill>
            <a:srgbClr val="808080"/>
          </a:solidFill>
          <a:round/>
        </a:ln>
      </c:spPr>
    </c:plotArea>
    <c:legend>
      <c:legendPos val="t"/>
      <c:overlay val="0"/>
      <c:spPr>
        <a:solidFill>
          <a:srgbClr val="ffffff"/>
        </a:solidFill>
        <a:ln w="3240">
          <a:solidFill>
            <a:srgbClr val="000000"/>
          </a:solidFill>
          <a:round/>
        </a:ln>
      </c:spPr>
    </c:legend>
    <c:plotVisOnly val="1"/>
  </c:chart>
  <c:spPr>
    <a:solidFill>
      <a:srgbClr val="ffffff"/>
    </a:solidFill>
    <a:ln w="3240">
      <a:solidFill>
        <a:srgbClr val="000000"/>
      </a:solidFill>
      <a:round/>
    </a:ln>
  </c:spPr>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b="1" sz="1125">
                <a:solidFill>
                  <a:srgbClr val="000000"/>
                </a:solidFill>
                <a:latin typeface="Arial"/>
                <a:ea typeface="Arial"/>
              </a:rPr>
              <a:t> FET Power Disipation</a:t>
            </a:r>
          </a:p>
        </c:rich>
      </c:tx>
      <c:layout/>
    </c:title>
    <c:plotArea>
      <c:layout/>
      <c:scatterChart>
        <c:scatterStyle val="lineMarker"/>
        <c:varyColors val="0"/>
        <c:ser>
          <c:idx val="0"/>
          <c:order val="0"/>
          <c:tx>
            <c:strRef>
              <c:f>"Top FET"</c:f>
              <c:strCache>
                <c:ptCount val="1"/>
                <c:pt idx="0">
                  <c:v>Top FET</c:v>
                </c:pt>
              </c:strCache>
            </c:strRef>
          </c:tx>
          <c:spPr>
            <a:solidFill>
              <a:srgbClr val="000080"/>
            </a:solidFill>
            <a:ln w="25560">
              <a:solidFill>
                <a:srgbClr val="000080"/>
              </a:solidFill>
              <a:round/>
            </a:ln>
          </c:spPr>
          <c:marker>
            <c:symbol val="none"/>
          </c:marker>
          <c:xVal>
            <c:numRef>
              <c:f>'Power Calculations'!$H$9:$H$109</c:f>
              <c:numCache>
                <c:formatCode>General</c:formatCode>
                <c:ptCount val="101"/>
                <c:pt idx="0">
                  <c:v>0</c:v>
                </c:pt>
                <c:pt idx="1">
                  <c:v>0.02</c:v>
                </c:pt>
                <c:pt idx="2">
                  <c:v>0.04</c:v>
                </c:pt>
                <c:pt idx="3">
                  <c:v>0.06</c:v>
                </c:pt>
                <c:pt idx="4">
                  <c:v>0.08</c:v>
                </c:pt>
                <c:pt idx="5">
                  <c:v>0.1</c:v>
                </c:pt>
                <c:pt idx="6">
                  <c:v>0.12</c:v>
                </c:pt>
                <c:pt idx="7">
                  <c:v>0.14</c:v>
                </c:pt>
                <c:pt idx="8">
                  <c:v>0.16</c:v>
                </c:pt>
                <c:pt idx="9">
                  <c:v>0.18</c:v>
                </c:pt>
                <c:pt idx="10">
                  <c:v>0.2</c:v>
                </c:pt>
                <c:pt idx="11">
                  <c:v>0.22</c:v>
                </c:pt>
                <c:pt idx="12">
                  <c:v>0.24</c:v>
                </c:pt>
                <c:pt idx="13">
                  <c:v>0.26</c:v>
                </c:pt>
                <c:pt idx="14">
                  <c:v>0.28</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c:v>
                </c:pt>
                <c:pt idx="29">
                  <c:v>0.58</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c:v>
                </c:pt>
                <c:pt idx="56">
                  <c:v>1.12</c:v>
                </c:pt>
                <c:pt idx="57">
                  <c:v>1.14</c:v>
                </c:pt>
                <c:pt idx="58">
                  <c:v>1.16</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xVal>
          <c:yVal>
            <c:numRef>
              <c:f>'Power Calculations'!$Y$9:$Y$109</c:f>
              <c:numCache>
                <c:formatCode>General</c:formatCode>
                <c:ptCount val="101"/>
                <c:pt idx="0">
                  <c:v>0.00509817845135017</c:v>
                </c:pt>
                <c:pt idx="1">
                  <c:v>0.0057709037009644</c:v>
                </c:pt>
                <c:pt idx="2">
                  <c:v>0.0064449645633066</c:v>
                </c:pt>
                <c:pt idx="3">
                  <c:v>0.00712036191945427</c:v>
                </c:pt>
                <c:pt idx="4">
                  <c:v>0.00779709665281537</c:v>
                </c:pt>
                <c:pt idx="5">
                  <c:v>0.00847516964913159</c:v>
                </c:pt>
                <c:pt idx="6">
                  <c:v>0.00915458179648168</c:v>
                </c:pt>
                <c:pt idx="7">
                  <c:v>0.00983533398528471</c:v>
                </c:pt>
                <c:pt idx="8">
                  <c:v>0.0105174271083034</c:v>
                </c:pt>
                <c:pt idx="9">
                  <c:v>0.0112008620606474</c:v>
                </c:pt>
                <c:pt idx="10">
                  <c:v>0.0118856397397767</c:v>
                </c:pt>
                <c:pt idx="11">
                  <c:v>0.0125717610455049</c:v>
                </c:pt>
                <c:pt idx="12">
                  <c:v>0.0132592268800026</c:v>
                </c:pt>
                <c:pt idx="13">
                  <c:v>0.0139480381478007</c:v>
                </c:pt>
                <c:pt idx="14">
                  <c:v>0.0146381957557939</c:v>
                </c:pt>
                <c:pt idx="15">
                  <c:v>0.015329700613244</c:v>
                </c:pt>
                <c:pt idx="16">
                  <c:v>0.0160225536317831</c:v>
                </c:pt>
                <c:pt idx="17">
                  <c:v>0.0167167557254175</c:v>
                </c:pt>
                <c:pt idx="18">
                  <c:v>0.0174123078105306</c:v>
                </c:pt>
                <c:pt idx="19">
                  <c:v>0.0181092108058868</c:v>
                </c:pt>
                <c:pt idx="20">
                  <c:v>0.0188074656326343</c:v>
                </c:pt>
                <c:pt idx="21">
                  <c:v>0.0195070732143093</c:v>
                </c:pt>
                <c:pt idx="22">
                  <c:v>0.0204347149588289</c:v>
                </c:pt>
                <c:pt idx="23">
                  <c:v>0.0213746291498868</c:v>
                </c:pt>
                <c:pt idx="24">
                  <c:v>0.0223159019275488</c:v>
                </c:pt>
                <c:pt idx="25">
                  <c:v>0.0232585344162725</c:v>
                </c:pt>
                <c:pt idx="26">
                  <c:v>0.0242025277429953</c:v>
                </c:pt>
                <c:pt idx="27">
                  <c:v>0.0251478830371386</c:v>
                </c:pt>
                <c:pt idx="28">
                  <c:v>0.0260946014306113</c:v>
                </c:pt>
                <c:pt idx="29">
                  <c:v>0.0270426840578144</c:v>
                </c:pt>
                <c:pt idx="30">
                  <c:v>0.0279921320556448</c:v>
                </c:pt>
                <c:pt idx="31">
                  <c:v>0.0289429465634996</c:v>
                </c:pt>
                <c:pt idx="32">
                  <c:v>0.0298951287232798</c:v>
                </c:pt>
                <c:pt idx="33">
                  <c:v>0.0308486796793949</c:v>
                </c:pt>
                <c:pt idx="34">
                  <c:v>0.0318036005787666</c:v>
                </c:pt>
                <c:pt idx="35">
                  <c:v>0.0327598925708331</c:v>
                </c:pt>
                <c:pt idx="36">
                  <c:v>0.0337175568075533</c:v>
                </c:pt>
                <c:pt idx="37">
                  <c:v>0.0346765944434111</c:v>
                </c:pt>
                <c:pt idx="38">
                  <c:v>0.0356370066354189</c:v>
                </c:pt>
                <c:pt idx="39">
                  <c:v>0.0365987945431226</c:v>
                </c:pt>
                <c:pt idx="40">
                  <c:v>0.0375619593286054</c:v>
                </c:pt>
                <c:pt idx="41">
                  <c:v>0.0385265021564919</c:v>
                </c:pt>
                <c:pt idx="42">
                  <c:v>0.0394924241939525</c:v>
                </c:pt>
                <c:pt idx="43">
                  <c:v>0.0404597266107076</c:v>
                </c:pt>
                <c:pt idx="44">
                  <c:v>0.0414284105790318</c:v>
                </c:pt>
                <c:pt idx="45">
                  <c:v>0.0423984772737581</c:v>
                </c:pt>
                <c:pt idx="46">
                  <c:v>0.0433699278722825</c:v>
                </c:pt>
                <c:pt idx="47">
                  <c:v>0.0443427635545675</c:v>
                </c:pt>
                <c:pt idx="48">
                  <c:v>0.0453169855031474</c:v>
                </c:pt>
                <c:pt idx="49">
                  <c:v>0.0462925949031317</c:v>
                </c:pt>
                <c:pt idx="50">
                  <c:v>0.0472695929422102</c:v>
                </c:pt>
                <c:pt idx="51">
                  <c:v>0.0482479808106565</c:v>
                </c:pt>
                <c:pt idx="52">
                  <c:v>0.049227759701333</c:v>
                </c:pt>
                <c:pt idx="53">
                  <c:v>0.0502089308096951</c:v>
                </c:pt>
                <c:pt idx="54">
                  <c:v>0.0511914953337952</c:v>
                </c:pt>
                <c:pt idx="55">
                  <c:v>0.0521754544742876</c:v>
                </c:pt>
                <c:pt idx="56">
                  <c:v>0.0531608094344326</c:v>
                </c:pt>
                <c:pt idx="57">
                  <c:v>0.0541475614201008</c:v>
                </c:pt>
                <c:pt idx="58">
                  <c:v>0.0551357116397778</c:v>
                </c:pt>
                <c:pt idx="59">
                  <c:v>0.0561252613045683</c:v>
                </c:pt>
                <c:pt idx="60">
                  <c:v>0.0571162116282011</c:v>
                </c:pt>
                <c:pt idx="61">
                  <c:v>0.0581085638270326</c:v>
                </c:pt>
                <c:pt idx="62">
                  <c:v>0.0591023191200524</c:v>
                </c:pt>
                <c:pt idx="63">
                  <c:v>0.0600974787288868</c:v>
                </c:pt>
                <c:pt idx="64">
                  <c:v>0.0610940438778038</c:v>
                </c:pt>
                <c:pt idx="65">
                  <c:v>0.0620920157937177</c:v>
                </c:pt>
                <c:pt idx="66">
                  <c:v>0.0630913957061932</c:v>
                </c:pt>
                <c:pt idx="67">
                  <c:v>0.0640921848474502</c:v>
                </c:pt>
                <c:pt idx="68">
                  <c:v>0.0650943844523682</c:v>
                </c:pt>
                <c:pt idx="69">
                  <c:v>0.0660979957584911</c:v>
                </c:pt>
                <c:pt idx="70">
                  <c:v>0.0671030200060315</c:v>
                </c:pt>
                <c:pt idx="71">
                  <c:v>0.0681094584378755</c:v>
                </c:pt>
                <c:pt idx="72">
                  <c:v>0.069117312299587</c:v>
                </c:pt>
                <c:pt idx="73">
                  <c:v>0.0701265828394127</c:v>
                </c:pt>
                <c:pt idx="74">
                  <c:v>0.0711372713082861</c:v>
                </c:pt>
                <c:pt idx="75">
                  <c:v>0.0721493789598332</c:v>
                </c:pt>
                <c:pt idx="76">
                  <c:v>0.0731629070503758</c:v>
                </c:pt>
                <c:pt idx="77">
                  <c:v>0.0741778568389373</c:v>
                </c:pt>
                <c:pt idx="78">
                  <c:v>0.0751942295872467</c:v>
                </c:pt>
                <c:pt idx="79">
                  <c:v>0.0762120265597436</c:v>
                </c:pt>
                <c:pt idx="80">
                  <c:v>0.0772312490235828</c:v>
                </c:pt>
                <c:pt idx="81">
                  <c:v>0.078251898248639</c:v>
                </c:pt>
                <c:pt idx="82">
                  <c:v>0.0792739755075114</c:v>
                </c:pt>
                <c:pt idx="83">
                  <c:v>0.0802974820755288</c:v>
                </c:pt>
                <c:pt idx="84">
                  <c:v>0.0813224192307539</c:v>
                </c:pt>
                <c:pt idx="85">
                  <c:v>0.0823487882539887</c:v>
                </c:pt>
                <c:pt idx="86">
                  <c:v>0.0833765904287784</c:v>
                </c:pt>
                <c:pt idx="87">
                  <c:v>0.084405827041417</c:v>
                </c:pt>
                <c:pt idx="88">
                  <c:v>0.0854364993809517</c:v>
                </c:pt>
                <c:pt idx="89">
                  <c:v>0.0864686087391877</c:v>
                </c:pt>
                <c:pt idx="90">
                  <c:v>0.0875021564106933</c:v>
                </c:pt>
                <c:pt idx="91">
                  <c:v>0.0885371436928045</c:v>
                </c:pt>
                <c:pt idx="92">
                  <c:v>0.08957357188563</c:v>
                </c:pt>
                <c:pt idx="93">
                  <c:v>0.090611442292056</c:v>
                </c:pt>
                <c:pt idx="94">
                  <c:v>0.091650756217751</c:v>
                </c:pt>
                <c:pt idx="95">
                  <c:v>0.0926915149711711</c:v>
                </c:pt>
                <c:pt idx="96">
                  <c:v>0.0937337198635645</c:v>
                </c:pt>
                <c:pt idx="97">
                  <c:v>0.0947773722089765</c:v>
                </c:pt>
                <c:pt idx="98">
                  <c:v>0.0958224733242546</c:v>
                </c:pt>
                <c:pt idx="99">
                  <c:v>0.0968690245290534</c:v>
                </c:pt>
                <c:pt idx="100">
                  <c:v>0.0979170271458395</c:v>
                </c:pt>
              </c:numCache>
            </c:numRef>
          </c:yVal>
        </c:ser>
        <c:ser>
          <c:idx val="1"/>
          <c:order val="1"/>
          <c:tx>
            <c:strRef>
              <c:f>"Bottom FET"</c:f>
              <c:strCache>
                <c:ptCount val="1"/>
                <c:pt idx="0">
                  <c:v>Bottom FET</c:v>
                </c:pt>
              </c:strCache>
            </c:strRef>
          </c:tx>
          <c:spPr>
            <a:solidFill>
              <a:srgbClr val="ff0000"/>
            </a:solidFill>
            <a:ln w="25560">
              <a:solidFill>
                <a:srgbClr val="ff0000"/>
              </a:solidFill>
              <a:round/>
            </a:ln>
          </c:spPr>
          <c:marker>
            <c:symbol val="none"/>
          </c:marker>
          <c:xVal>
            <c:numRef>
              <c:f>'Power Calculations'!$H$9:$H$109</c:f>
              <c:numCache>
                <c:formatCode>General</c:formatCode>
                <c:ptCount val="101"/>
                <c:pt idx="0">
                  <c:v>0</c:v>
                </c:pt>
                <c:pt idx="1">
                  <c:v>0.02</c:v>
                </c:pt>
                <c:pt idx="2">
                  <c:v>0.04</c:v>
                </c:pt>
                <c:pt idx="3">
                  <c:v>0.06</c:v>
                </c:pt>
                <c:pt idx="4">
                  <c:v>0.08</c:v>
                </c:pt>
                <c:pt idx="5">
                  <c:v>0.1</c:v>
                </c:pt>
                <c:pt idx="6">
                  <c:v>0.12</c:v>
                </c:pt>
                <c:pt idx="7">
                  <c:v>0.14</c:v>
                </c:pt>
                <c:pt idx="8">
                  <c:v>0.16</c:v>
                </c:pt>
                <c:pt idx="9">
                  <c:v>0.18</c:v>
                </c:pt>
                <c:pt idx="10">
                  <c:v>0.2</c:v>
                </c:pt>
                <c:pt idx="11">
                  <c:v>0.22</c:v>
                </c:pt>
                <c:pt idx="12">
                  <c:v>0.24</c:v>
                </c:pt>
                <c:pt idx="13">
                  <c:v>0.26</c:v>
                </c:pt>
                <c:pt idx="14">
                  <c:v>0.28</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c:v>
                </c:pt>
                <c:pt idx="29">
                  <c:v>0.58</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c:v>
                </c:pt>
                <c:pt idx="56">
                  <c:v>1.12</c:v>
                </c:pt>
                <c:pt idx="57">
                  <c:v>1.14</c:v>
                </c:pt>
                <c:pt idx="58">
                  <c:v>1.16</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xVal>
          <c:yVal>
            <c:numRef>
              <c:f>'Power Calculations'!$AC$9:$AC$109</c:f>
              <c:numCache>
                <c:formatCode>General</c:formatCode>
                <c:ptCount val="101"/>
                <c:pt idx="0">
                  <c:v>0.00910598692170442</c:v>
                </c:pt>
                <c:pt idx="1">
                  <c:v>0.00953828659160399</c:v>
                </c:pt>
                <c:pt idx="2">
                  <c:v>0.00997122752519851</c:v>
                </c:pt>
                <c:pt idx="3">
                  <c:v>0.0104048098074237</c:v>
                </c:pt>
                <c:pt idx="4">
                  <c:v>0.010839033523678</c:v>
                </c:pt>
                <c:pt idx="5">
                  <c:v>0.0112738987598229</c:v>
                </c:pt>
                <c:pt idx="6">
                  <c:v>0.0117094056021828</c:v>
                </c:pt>
                <c:pt idx="7">
                  <c:v>0.012145554137545</c:v>
                </c:pt>
                <c:pt idx="8">
                  <c:v>0.0125823444531596</c:v>
                </c:pt>
                <c:pt idx="9">
                  <c:v>0.0130197766367398</c:v>
                </c:pt>
                <c:pt idx="10">
                  <c:v>0.0134578507764617</c:v>
                </c:pt>
                <c:pt idx="11">
                  <c:v>0.0138965669609642</c:v>
                </c:pt>
                <c:pt idx="12">
                  <c:v>0.0143359252793493</c:v>
                </c:pt>
                <c:pt idx="13">
                  <c:v>0.014775925821182</c:v>
                </c:pt>
                <c:pt idx="14">
                  <c:v>0.0152165686764902</c:v>
                </c:pt>
                <c:pt idx="15">
                  <c:v>0.0156578539357648</c:v>
                </c:pt>
                <c:pt idx="16">
                  <c:v>0.0160997816899598</c:v>
                </c:pt>
                <c:pt idx="17">
                  <c:v>0.016542352030492</c:v>
                </c:pt>
                <c:pt idx="18">
                  <c:v>0.0169855650492416</c:v>
                </c:pt>
                <c:pt idx="19">
                  <c:v>0.0174294208385515</c:v>
                </c:pt>
                <c:pt idx="20">
                  <c:v>0.0178739194912279</c:v>
                </c:pt>
                <c:pt idx="21">
                  <c:v>0.01831906110054</c:v>
                </c:pt>
                <c:pt idx="22">
                  <c:v>0.0187648457602201</c:v>
                </c:pt>
                <c:pt idx="23">
                  <c:v>0.0192112735644639</c:v>
                </c:pt>
                <c:pt idx="24">
                  <c:v>0.0196583446079298</c:v>
                </c:pt>
                <c:pt idx="25">
                  <c:v>0.0201060589857396</c:v>
                </c:pt>
                <c:pt idx="26">
                  <c:v>0.0205544167934785</c:v>
                </c:pt>
                <c:pt idx="27">
                  <c:v>0.0210034181271947</c:v>
                </c:pt>
                <c:pt idx="28">
                  <c:v>0.0214530630833995</c:v>
                </c:pt>
                <c:pt idx="29">
                  <c:v>0.0219033517590679</c:v>
                </c:pt>
                <c:pt idx="30">
                  <c:v>0.0223542842516377</c:v>
                </c:pt>
                <c:pt idx="31">
                  <c:v>0.0228058606590106</c:v>
                </c:pt>
                <c:pt idx="32">
                  <c:v>0.0232580810795511</c:v>
                </c:pt>
                <c:pt idx="33">
                  <c:v>0.0237109456120874</c:v>
                </c:pt>
                <c:pt idx="34">
                  <c:v>0.024164454355911</c:v>
                </c:pt>
                <c:pt idx="35">
                  <c:v>0.024618607410777</c:v>
                </c:pt>
                <c:pt idx="36">
                  <c:v>0.0250734048769037</c:v>
                </c:pt>
                <c:pt idx="37">
                  <c:v>0.0255288468549733</c:v>
                </c:pt>
                <c:pt idx="38">
                  <c:v>0.0259849334461311</c:v>
                </c:pt>
                <c:pt idx="39">
                  <c:v>0.0264416647519862</c:v>
                </c:pt>
                <c:pt idx="40">
                  <c:v>0.0268990408746115</c:v>
                </c:pt>
                <c:pt idx="41">
                  <c:v>0.0273570619165431</c:v>
                </c:pt>
                <c:pt idx="42">
                  <c:v>0.0278157279807811</c:v>
                </c:pt>
                <c:pt idx="43">
                  <c:v>0.0282750391707892</c:v>
                </c:pt>
                <c:pt idx="44">
                  <c:v>0.0287349955904951</c:v>
                </c:pt>
                <c:pt idx="45">
                  <c:v>0.0291955973442898</c:v>
                </c:pt>
                <c:pt idx="46">
                  <c:v>0.0296568445370286</c:v>
                </c:pt>
                <c:pt idx="47">
                  <c:v>0.0301187372740306</c:v>
                </c:pt>
                <c:pt idx="48">
                  <c:v>0.0305812756610785</c:v>
                </c:pt>
                <c:pt idx="49">
                  <c:v>0.0310444598044193</c:v>
                </c:pt>
                <c:pt idx="50">
                  <c:v>0.0315082898107638</c:v>
                </c:pt>
                <c:pt idx="51">
                  <c:v>0.0319727657872871</c:v>
                </c:pt>
                <c:pt idx="52">
                  <c:v>0.0324378878416281</c:v>
                </c:pt>
                <c:pt idx="53">
                  <c:v>0.0329036560818901</c:v>
                </c:pt>
                <c:pt idx="54">
                  <c:v>0.0333700706166403</c:v>
                </c:pt>
                <c:pt idx="55">
                  <c:v>0.0338371315549103</c:v>
                </c:pt>
                <c:pt idx="56">
                  <c:v>0.034304839006196</c:v>
                </c:pt>
                <c:pt idx="57">
                  <c:v>0.0347731930804577</c:v>
                </c:pt>
                <c:pt idx="58">
                  <c:v>0.0352421938881199</c:v>
                </c:pt>
                <c:pt idx="59">
                  <c:v>0.0357118415400715</c:v>
                </c:pt>
                <c:pt idx="60">
                  <c:v>0.0361821361476661</c:v>
                </c:pt>
                <c:pt idx="61">
                  <c:v>0.0366530778227218</c:v>
                </c:pt>
                <c:pt idx="62">
                  <c:v>0.0371246666775211</c:v>
                </c:pt>
                <c:pt idx="63">
                  <c:v>0.0375969028248113</c:v>
                </c:pt>
                <c:pt idx="64">
                  <c:v>0.0380697863778044</c:v>
                </c:pt>
                <c:pt idx="65">
                  <c:v>0.038543317450177</c:v>
                </c:pt>
                <c:pt idx="66">
                  <c:v>0.0390174961560707</c:v>
                </c:pt>
                <c:pt idx="67">
                  <c:v>0.0394923226100919</c:v>
                </c:pt>
                <c:pt idx="68">
                  <c:v>0.0399677969273119</c:v>
                </c:pt>
                <c:pt idx="69">
                  <c:v>0.0404439192232671</c:v>
                </c:pt>
                <c:pt idx="70">
                  <c:v>0.0409206896139587</c:v>
                </c:pt>
                <c:pt idx="71">
                  <c:v>0.0413981082158532</c:v>
                </c:pt>
                <c:pt idx="72">
                  <c:v>0.0418761751458824</c:v>
                </c:pt>
                <c:pt idx="73">
                  <c:v>0.0423548905214429</c:v>
                </c:pt>
                <c:pt idx="74">
                  <c:v>0.0428342544603971</c:v>
                </c:pt>
                <c:pt idx="75">
                  <c:v>0.0433142670810724</c:v>
                </c:pt>
                <c:pt idx="76">
                  <c:v>0.0437949285022618</c:v>
                </c:pt>
                <c:pt idx="77">
                  <c:v>0.0442762388432237</c:v>
                </c:pt>
                <c:pt idx="78">
                  <c:v>0.0447581982236821</c:v>
                </c:pt>
                <c:pt idx="79">
                  <c:v>0.0452408067638268</c:v>
                </c:pt>
                <c:pt idx="80">
                  <c:v>0.0457240645843128</c:v>
                </c:pt>
                <c:pt idx="81">
                  <c:v>0.0462079718062615</c:v>
                </c:pt>
                <c:pt idx="82">
                  <c:v>0.0466925285512597</c:v>
                </c:pt>
                <c:pt idx="83">
                  <c:v>0.0471777349413602</c:v>
                </c:pt>
                <c:pt idx="84">
                  <c:v>0.0476635910990819</c:v>
                </c:pt>
                <c:pt idx="85">
                  <c:v>0.0481500971474096</c:v>
                </c:pt>
                <c:pt idx="86">
                  <c:v>0.0486372532097943</c:v>
                </c:pt>
                <c:pt idx="87">
                  <c:v>0.0491250594101533</c:v>
                </c:pt>
                <c:pt idx="88">
                  <c:v>0.0496135158728699</c:v>
                </c:pt>
                <c:pt idx="89">
                  <c:v>0.0501026227227941</c:v>
                </c:pt>
                <c:pt idx="90">
                  <c:v>0.050592380085242</c:v>
                </c:pt>
                <c:pt idx="91">
                  <c:v>0.0510827880859964</c:v>
                </c:pt>
                <c:pt idx="92">
                  <c:v>0.0515738468513068</c:v>
                </c:pt>
                <c:pt idx="93">
                  <c:v>0.052065556507889</c:v>
                </c:pt>
                <c:pt idx="94">
                  <c:v>0.0525579171829258</c:v>
                </c:pt>
                <c:pt idx="95">
                  <c:v>0.053050929004067</c:v>
                </c:pt>
                <c:pt idx="96">
                  <c:v>0.0535445920994288</c:v>
                </c:pt>
                <c:pt idx="97">
                  <c:v>0.0540389065975949</c:v>
                </c:pt>
                <c:pt idx="98">
                  <c:v>0.0545338726276159</c:v>
                </c:pt>
                <c:pt idx="99">
                  <c:v>0.0550294903190093</c:v>
                </c:pt>
                <c:pt idx="100">
                  <c:v>0.0555257598017604</c:v>
                </c:pt>
              </c:numCache>
            </c:numRef>
          </c:yVal>
        </c:ser>
        <c:ser>
          <c:idx val="2"/>
          <c:order val="2"/>
          <c:tx>
            <c:strRef>
              <c:f>"Inductor Loss"</c:f>
              <c:strCache>
                <c:ptCount val="1"/>
                <c:pt idx="0">
                  <c:v>Inductor Loss</c:v>
                </c:pt>
              </c:strCache>
            </c:strRef>
          </c:tx>
          <c:spPr>
            <a:solidFill>
              <a:srgbClr val="ff6600"/>
            </a:solidFill>
            <a:ln w="38160">
              <a:solidFill>
                <a:srgbClr val="ff6600"/>
              </a:solidFill>
              <a:round/>
            </a:ln>
          </c:spPr>
          <c:marker>
            <c:symbol val="none"/>
          </c:marker>
          <c:xVal>
            <c:numRef>
              <c:f>'Power Calculations'!$H$9:$H$109</c:f>
              <c:numCache>
                <c:formatCode>General</c:formatCode>
                <c:ptCount val="101"/>
                <c:pt idx="0">
                  <c:v>0</c:v>
                </c:pt>
                <c:pt idx="1">
                  <c:v>0.02</c:v>
                </c:pt>
                <c:pt idx="2">
                  <c:v>0.04</c:v>
                </c:pt>
                <c:pt idx="3">
                  <c:v>0.06</c:v>
                </c:pt>
                <c:pt idx="4">
                  <c:v>0.08</c:v>
                </c:pt>
                <c:pt idx="5">
                  <c:v>0.1</c:v>
                </c:pt>
                <c:pt idx="6">
                  <c:v>0.12</c:v>
                </c:pt>
                <c:pt idx="7">
                  <c:v>0.14</c:v>
                </c:pt>
                <c:pt idx="8">
                  <c:v>0.16</c:v>
                </c:pt>
                <c:pt idx="9">
                  <c:v>0.18</c:v>
                </c:pt>
                <c:pt idx="10">
                  <c:v>0.2</c:v>
                </c:pt>
                <c:pt idx="11">
                  <c:v>0.22</c:v>
                </c:pt>
                <c:pt idx="12">
                  <c:v>0.24</c:v>
                </c:pt>
                <c:pt idx="13">
                  <c:v>0.26</c:v>
                </c:pt>
                <c:pt idx="14">
                  <c:v>0.28</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c:v>
                </c:pt>
                <c:pt idx="29">
                  <c:v>0.58</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c:v>
                </c:pt>
                <c:pt idx="56">
                  <c:v>1.12</c:v>
                </c:pt>
                <c:pt idx="57">
                  <c:v>1.14</c:v>
                </c:pt>
                <c:pt idx="58">
                  <c:v>1.16</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xVal>
          <c:yVal>
            <c:numRef>
              <c:f>'Power Calculations'!$N$9:$N$109</c:f>
              <c:numCache>
                <c:formatCode>General</c:formatCode>
                <c:ptCount val="101"/>
                <c:pt idx="0">
                  <c:v>0.00135362913857396</c:v>
                </c:pt>
                <c:pt idx="1">
                  <c:v>0.0013630609900999</c:v>
                </c:pt>
                <c:pt idx="2">
                  <c:v>0.00139089694524491</c:v>
                </c:pt>
                <c:pt idx="3">
                  <c:v>0.00143713724988542</c:v>
                </c:pt>
                <c:pt idx="4">
                  <c:v>0.00150178231246768</c:v>
                </c:pt>
                <c:pt idx="5">
                  <c:v>0.00158483270401682</c:v>
                </c:pt>
                <c:pt idx="6">
                  <c:v>0.00168628915814945</c:v>
                </c:pt>
                <c:pt idx="7">
                  <c:v>0.00180615257108984</c:v>
                </c:pt>
                <c:pt idx="8">
                  <c:v>0.00194442400168976</c:v>
                </c:pt>
                <c:pt idx="9">
                  <c:v>0.00210110467145181</c:v>
                </c:pt>
                <c:pt idx="10">
                  <c:v>0.00227619596455644</c:v>
                </c:pt>
                <c:pt idx="11">
                  <c:v>0.0024696994278925</c:v>
                </c:pt>
                <c:pt idx="12">
                  <c:v>0.00268161677109142</c:v>
                </c:pt>
                <c:pt idx="13">
                  <c:v>0.00291194986656498</c:v>
                </c:pt>
                <c:pt idx="14">
                  <c:v>0.00316070074954667</c:v>
                </c:pt>
                <c:pt idx="15">
                  <c:v>0.00342787161813662</c:v>
                </c:pt>
                <c:pt idx="16">
                  <c:v>0.00371346483335026</c:v>
                </c:pt>
                <c:pt idx="17">
                  <c:v>0.00401748291917039</c:v>
                </c:pt>
                <c:pt idx="18">
                  <c:v>0.00433992856260301</c:v>
                </c:pt>
                <c:pt idx="19">
                  <c:v>0.00468080461373673</c:v>
                </c:pt>
                <c:pt idx="20">
                  <c:v>0.0050401140858057</c:v>
                </c:pt>
                <c:pt idx="21">
                  <c:v>0.00541786015525629</c:v>
                </c:pt>
                <c:pt idx="22">
                  <c:v>0.00581404616181728</c:v>
                </c:pt>
                <c:pt idx="23">
                  <c:v>0.00622867560857372</c:v>
                </c:pt>
                <c:pt idx="24">
                  <c:v>0.00666175216204441</c:v>
                </c:pt>
                <c:pt idx="25">
                  <c:v>0.00711327965226298</c:v>
                </c:pt>
                <c:pt idx="26">
                  <c:v>0.00758326207286262</c:v>
                </c:pt>
                <c:pt idx="27">
                  <c:v>0.00807170358116447</c:v>
                </c:pt>
                <c:pt idx="28">
                  <c:v>0.00857860849826955</c:v>
                </c:pt>
                <c:pt idx="29">
                  <c:v>0.00910398130915446</c:v>
                </c:pt>
                <c:pt idx="30">
                  <c:v>0.00964782666277063</c:v>
                </c:pt>
                <c:pt idx="31">
                  <c:v>0.0102101493721472</c:v>
                </c:pt>
                <c:pt idx="32">
                  <c:v>0.0107909544144978</c:v>
                </c:pt>
                <c:pt idx="33">
                  <c:v>0.0113902469313305</c:v>
                </c:pt>
                <c:pt idx="34">
                  <c:v>0.0120080322285618</c:v>
                </c:pt>
                <c:pt idx="35">
                  <c:v>0.0126443157766343</c:v>
                </c:pt>
                <c:pt idx="36">
                  <c:v>0.0132991032106379</c:v>
                </c:pt>
                <c:pt idx="37">
                  <c:v>0.0139724003304348</c:v>
                </c:pt>
                <c:pt idx="38">
                  <c:v>0.0146642131007877</c:v>
                </c:pt>
                <c:pt idx="39">
                  <c:v>0.0153745476514925</c:v>
                </c:pt>
                <c:pt idx="40">
                  <c:v>0.0161034102775141</c:v>
                </c:pt>
                <c:pt idx="41">
                  <c:v>0.0168508074391261</c:v>
                </c:pt>
                <c:pt idx="42">
                  <c:v>0.0176167457620542</c:v>
                </c:pt>
                <c:pt idx="43">
                  <c:v>0.0184012320376232</c:v>
                </c:pt>
                <c:pt idx="44">
                  <c:v>0.0192042732229078</c:v>
                </c:pt>
                <c:pt idx="45">
                  <c:v>0.0200258764408872</c:v>
                </c:pt>
                <c:pt idx="46">
                  <c:v>0.0208660489806033</c:v>
                </c:pt>
                <c:pt idx="47">
                  <c:v>0.0217247982973226</c:v>
                </c:pt>
                <c:pt idx="48">
                  <c:v>0.0226021320127022</c:v>
                </c:pt>
                <c:pt idx="49">
                  <c:v>0.0234980579149588</c:v>
                </c:pt>
                <c:pt idx="50">
                  <c:v>0.0244125839590423</c:v>
                </c:pt>
                <c:pt idx="51">
                  <c:v>0.0253457182668128</c:v>
                </c:pt>
                <c:pt idx="52">
                  <c:v>0.0262974691272212</c:v>
                </c:pt>
                <c:pt idx="53">
                  <c:v>0.0272678449964936</c:v>
                </c:pt>
                <c:pt idx="54">
                  <c:v>0.0282568544983199</c:v>
                </c:pt>
                <c:pt idx="55">
                  <c:v>0.029264506424046</c:v>
                </c:pt>
                <c:pt idx="56">
                  <c:v>0.0302908097328692</c:v>
                </c:pt>
                <c:pt idx="57">
                  <c:v>0.0313357735520384</c:v>
                </c:pt>
                <c:pt idx="58">
                  <c:v>0.0323994071770576</c:v>
                </c:pt>
                <c:pt idx="59">
                  <c:v>0.0334817200718929</c:v>
                </c:pt>
                <c:pt idx="60">
                  <c:v>0.0345827218691842</c:v>
                </c:pt>
                <c:pt idx="61">
                  <c:v>0.0357024223704598</c:v>
                </c:pt>
                <c:pt idx="62">
                  <c:v>0.0368408315463555</c:v>
                </c:pt>
                <c:pt idx="63">
                  <c:v>0.0379979595368376</c:v>
                </c:pt>
                <c:pt idx="64">
                  <c:v>0.039173816651429</c:v>
                </c:pt>
                <c:pt idx="65">
                  <c:v>0.0403684133694403</c:v>
                </c:pt>
                <c:pt idx="66">
                  <c:v>0.0415817603402034</c:v>
                </c:pt>
                <c:pt idx="67">
                  <c:v>0.0428138683833109</c:v>
                </c:pt>
                <c:pt idx="68">
                  <c:v>0.0440647484888572</c:v>
                </c:pt>
                <c:pt idx="69">
                  <c:v>0.0453344118176854</c:v>
                </c:pt>
                <c:pt idx="70">
                  <c:v>0.046622869701637</c:v>
                </c:pt>
                <c:pt idx="71">
                  <c:v>0.0479301336438062</c:v>
                </c:pt>
                <c:pt idx="72">
                  <c:v>0.0492562153187973</c:v>
                </c:pt>
                <c:pt idx="73">
                  <c:v>0.0506011265729873</c:v>
                </c:pt>
                <c:pt idx="74">
                  <c:v>0.0519648794247912</c:v>
                </c:pt>
                <c:pt idx="75">
                  <c:v>0.0533474860649323</c:v>
                </c:pt>
                <c:pt idx="76">
                  <c:v>0.0547489588567158</c:v>
                </c:pt>
                <c:pt idx="77">
                  <c:v>0.0561693103363068</c:v>
                </c:pt>
                <c:pt idx="78">
                  <c:v>0.0576085532130122</c:v>
                </c:pt>
                <c:pt idx="79">
                  <c:v>0.0590667003695666</c:v>
                </c:pt>
                <c:pt idx="80">
                  <c:v>0.0605437648624223</c:v>
                </c:pt>
                <c:pt idx="81">
                  <c:v>0.0620397599220431</c:v>
                </c:pt>
                <c:pt idx="82">
                  <c:v>0.0635546989532029</c:v>
                </c:pt>
                <c:pt idx="83">
                  <c:v>0.0650885955352874</c:v>
                </c:pt>
                <c:pt idx="84">
                  <c:v>0.0666414634226004</c:v>
                </c:pt>
                <c:pt idx="85">
                  <c:v>0.0682133165446747</c:v>
                </c:pt>
                <c:pt idx="86">
                  <c:v>0.0698041690065858</c:v>
                </c:pt>
                <c:pt idx="87">
                  <c:v>0.0714140350892711</c:v>
                </c:pt>
                <c:pt idx="88">
                  <c:v>0.0730429292498525</c:v>
                </c:pt>
                <c:pt idx="89">
                  <c:v>0.0746908661219634</c:v>
                </c:pt>
                <c:pt idx="90">
                  <c:v>0.0763578605160797</c:v>
                </c:pt>
                <c:pt idx="91">
                  <c:v>0.0780439274198551</c:v>
                </c:pt>
                <c:pt idx="92">
                  <c:v>0.0797490819984606</c:v>
                </c:pt>
                <c:pt idx="93">
                  <c:v>0.0814733395949283</c:v>
                </c:pt>
                <c:pt idx="94">
                  <c:v>0.0832167157304995</c:v>
                </c:pt>
                <c:pt idx="95">
                  <c:v>0.0849792261049763</c:v>
                </c:pt>
                <c:pt idx="96">
                  <c:v>0.0867608865970789</c:v>
                </c:pt>
                <c:pt idx="97">
                  <c:v>0.0885617132648054</c:v>
                </c:pt>
                <c:pt idx="98">
                  <c:v>0.0903817223457976</c:v>
                </c:pt>
                <c:pt idx="99">
                  <c:v>0.0922209302577099</c:v>
                </c:pt>
                <c:pt idx="100">
                  <c:v>0.0940793535985833</c:v>
                </c:pt>
              </c:numCache>
            </c:numRef>
          </c:yVal>
        </c:ser>
        <c:axId val="5385"/>
        <c:axId val="14476"/>
      </c:scatterChart>
      <c:valAx>
        <c:axId val="5385"/>
        <c:scaling>
          <c:orientation val="minMax"/>
          <c:min val="0"/>
        </c:scaling>
        <c:delete val="0"/>
        <c:axPos val="b"/>
        <c:title>
          <c:tx>
            <c:rich>
              <a:bodyPr/>
              <a:lstStyle/>
              <a:p>
                <a:pPr>
                  <a:defRPr/>
                </a:pPr>
                <a:r>
                  <a:rPr b="1" sz="975">
                    <a:solidFill>
                      <a:srgbClr val="000000"/>
                    </a:solidFill>
                    <a:latin typeface="Arial"/>
                    <a:ea typeface="Arial"/>
                  </a:rPr>
                  <a:t>Iout (A)</a:t>
                </a:r>
              </a:p>
            </c:rich>
          </c:tx>
          <c:layout/>
        </c:title>
        <c:majorTickMark val="out"/>
        <c:minorTickMark val="none"/>
        <c:tickLblPos val="nextTo"/>
        <c:spPr>
          <a:ln w="3240">
            <a:solidFill>
              <a:srgbClr val="000000"/>
            </a:solidFill>
            <a:round/>
          </a:ln>
        </c:spPr>
        <c:crossAx val="14476"/>
        <c:crossesAt val="0"/>
      </c:valAx>
      <c:valAx>
        <c:axId val="14476"/>
        <c:scaling>
          <c:orientation val="minMax"/>
        </c:scaling>
        <c:delete val="0"/>
        <c:axPos val="l"/>
        <c:majorGridlines>
          <c:spPr>
            <a:ln w="3240">
              <a:solidFill>
                <a:srgbClr val="000000"/>
              </a:solidFill>
              <a:round/>
            </a:ln>
          </c:spPr>
        </c:majorGridlines>
        <c:title>
          <c:tx>
            <c:rich>
              <a:bodyPr/>
              <a:lstStyle/>
              <a:p>
                <a:pPr>
                  <a:defRPr/>
                </a:pPr>
                <a:r>
                  <a:rPr b="1" sz="975">
                    <a:solidFill>
                      <a:srgbClr val="000000"/>
                    </a:solidFill>
                    <a:latin typeface="Arial"/>
                    <a:ea typeface="Arial"/>
                  </a:rPr>
                  <a:t>Power Disipation (W)</a:t>
                </a:r>
              </a:p>
            </c:rich>
          </c:tx>
          <c:layout/>
        </c:title>
        <c:majorTickMark val="out"/>
        <c:minorTickMark val="none"/>
        <c:tickLblPos val="nextTo"/>
        <c:spPr>
          <a:ln w="3240">
            <a:solidFill>
              <a:srgbClr val="000000"/>
            </a:solidFill>
            <a:round/>
          </a:ln>
        </c:spPr>
        <c:crossAx val="5385"/>
        <c:crossesAt val="0"/>
      </c:valAx>
      <c:spPr>
        <a:solidFill>
          <a:srgbClr val="c0c0c0"/>
        </a:solidFill>
        <a:ln w="12600">
          <a:solidFill>
            <a:srgbClr val="808080"/>
          </a:solidFill>
          <a:round/>
        </a:ln>
      </c:spPr>
    </c:plotArea>
    <c:legend>
      <c:legendPos val="r"/>
      <c:overlay val="0"/>
      <c:spPr>
        <a:solidFill>
          <a:srgbClr val="ffffff"/>
        </a:solidFill>
        <a:ln w="3240">
          <a:solidFill>
            <a:srgbClr val="000000"/>
          </a:solidFill>
          <a:round/>
        </a:ln>
      </c:spPr>
    </c:legend>
    <c:plotVisOnly val="1"/>
  </c:chart>
  <c:spPr>
    <a:solidFill>
      <a:srgbClr val="ffffff"/>
    </a:solidFill>
    <a:ln w="3240">
      <a:solidFill>
        <a:srgbClr val="000000"/>
      </a:solidFill>
      <a:round/>
    </a:ln>
  </c:spPr>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b="1" sz="1075">
                <a:solidFill>
                  <a:srgbClr val="000000"/>
                </a:solidFill>
                <a:latin typeface="Arial"/>
                <a:ea typeface="Arial"/>
              </a:rPr>
              <a:t> Overall Efficiency</a:t>
            </a:r>
          </a:p>
        </c:rich>
      </c:tx>
      <c:layout/>
    </c:title>
    <c:plotArea>
      <c:layout/>
      <c:scatterChart>
        <c:scatterStyle val="lineMarker"/>
        <c:varyColors val="0"/>
        <c:ser>
          <c:idx val="0"/>
          <c:order val="0"/>
          <c:tx>
            <c:strRef>
              <c:f>"Efficiency"</c:f>
              <c:strCache>
                <c:ptCount val="1"/>
                <c:pt idx="0">
                  <c:v>Efficiency</c:v>
                </c:pt>
              </c:strCache>
            </c:strRef>
          </c:tx>
          <c:spPr>
            <a:solidFill>
              <a:srgbClr val="000080"/>
            </a:solidFill>
            <a:ln w="38160">
              <a:solidFill>
                <a:srgbClr val="000080"/>
              </a:solidFill>
              <a:round/>
            </a:ln>
          </c:spPr>
          <c:marker>
            <c:symbol val="none"/>
          </c:marker>
          <c:xVal>
            <c:numRef>
              <c:f>'Power Calculations'!$H$9:$H$109</c:f>
              <c:numCache>
                <c:formatCode>General</c:formatCode>
                <c:ptCount val="101"/>
                <c:pt idx="0">
                  <c:v>0</c:v>
                </c:pt>
                <c:pt idx="1">
                  <c:v>0.02</c:v>
                </c:pt>
                <c:pt idx="2">
                  <c:v>0.04</c:v>
                </c:pt>
                <c:pt idx="3">
                  <c:v>0.06</c:v>
                </c:pt>
                <c:pt idx="4">
                  <c:v>0.08</c:v>
                </c:pt>
                <c:pt idx="5">
                  <c:v>0.1</c:v>
                </c:pt>
                <c:pt idx="6">
                  <c:v>0.12</c:v>
                </c:pt>
                <c:pt idx="7">
                  <c:v>0.14</c:v>
                </c:pt>
                <c:pt idx="8">
                  <c:v>0.16</c:v>
                </c:pt>
                <c:pt idx="9">
                  <c:v>0.18</c:v>
                </c:pt>
                <c:pt idx="10">
                  <c:v>0.2</c:v>
                </c:pt>
                <c:pt idx="11">
                  <c:v>0.22</c:v>
                </c:pt>
                <c:pt idx="12">
                  <c:v>0.24</c:v>
                </c:pt>
                <c:pt idx="13">
                  <c:v>0.26</c:v>
                </c:pt>
                <c:pt idx="14">
                  <c:v>0.28</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c:v>
                </c:pt>
                <c:pt idx="29">
                  <c:v>0.58</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c:v>
                </c:pt>
                <c:pt idx="56">
                  <c:v>1.12</c:v>
                </c:pt>
                <c:pt idx="57">
                  <c:v>1.14</c:v>
                </c:pt>
                <c:pt idx="58">
                  <c:v>1.16</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xVal>
          <c:yVal>
            <c:numRef>
              <c:f>'Power Calculations'!$AL$9:$AL$109</c:f>
              <c:numCache>
                <c:formatCode>General</c:formatCode>
                <c:ptCount val="101"/>
                <c:pt idx="0">
                  <c:v>0</c:v>
                </c:pt>
                <c:pt idx="1">
                  <c:v>0.126082312391997</c:v>
                </c:pt>
                <c:pt idx="2">
                  <c:v>0.223694421142577</c:v>
                </c:pt>
                <c:pt idx="3">
                  <c:v>0.301495958000167</c:v>
                </c:pt>
                <c:pt idx="4">
                  <c:v>0.364957907810202</c:v>
                </c:pt>
                <c:pt idx="5">
                  <c:v>0.41770654564536</c:v>
                </c:pt>
                <c:pt idx="6">
                  <c:v>0.462240492784742</c:v>
                </c:pt>
                <c:pt idx="7">
                  <c:v>0.500337427828512</c:v>
                </c:pt>
                <c:pt idx="8">
                  <c:v>0.53329661471005</c:v>
                </c:pt>
                <c:pt idx="9">
                  <c:v>0.562089697701854</c:v>
                </c:pt>
                <c:pt idx="10">
                  <c:v>0.587457842521781</c:v>
                </c:pt>
                <c:pt idx="11">
                  <c:v>0.609976248877041</c:v>
                </c:pt>
                <c:pt idx="12">
                  <c:v>0.630098142751098</c:v>
                </c:pt>
                <c:pt idx="13">
                  <c:v>0.648185480030739</c:v>
                </c:pt>
                <c:pt idx="14">
                  <c:v>0.664530820096678</c:v>
                </c:pt>
                <c:pt idx="15">
                  <c:v>0.679373196529856</c:v>
                </c:pt>
                <c:pt idx="16">
                  <c:v>0.692909822839299</c:v>
                </c:pt>
                <c:pt idx="17">
                  <c:v>0.705304854966991</c:v>
                </c:pt>
                <c:pt idx="18">
                  <c:v>0.716696039210498</c:v>
                </c:pt>
                <c:pt idx="19">
                  <c:v>0.727199817887854</c:v>
                </c:pt>
                <c:pt idx="20">
                  <c:v>0.736915294627321</c:v>
                </c:pt>
                <c:pt idx="21">
                  <c:v>0.745927345776734</c:v>
                </c:pt>
                <c:pt idx="22">
                  <c:v>0.754260233199034</c:v>
                </c:pt>
                <c:pt idx="23">
                  <c:v>0.762026139414909</c:v>
                </c:pt>
                <c:pt idx="24">
                  <c:v>0.769282450345501</c:v>
                </c:pt>
                <c:pt idx="25">
                  <c:v>0.776077228480065</c:v>
                </c:pt>
                <c:pt idx="26">
                  <c:v>0.782452676483409</c:v>
                </c:pt>
                <c:pt idx="27">
                  <c:v>0.788446003819195</c:v>
                </c:pt>
                <c:pt idx="28">
                  <c:v>0.794090143991376</c:v>
                </c:pt>
                <c:pt idx="29">
                  <c:v>0.799414351605661</c:v>
                </c:pt>
                <c:pt idx="30">
                  <c:v>0.804444702106153</c:v>
                </c:pt>
                <c:pt idx="31">
                  <c:v>0.809204512206263</c:v>
                </c:pt>
                <c:pt idx="32">
                  <c:v>0.813714695318565</c:v>
                </c:pt>
                <c:pt idx="33">
                  <c:v>0.817994063413526</c:v>
                </c:pt>
                <c:pt idx="34">
                  <c:v>0.822059584496349</c:v>
                </c:pt>
                <c:pt idx="35">
                  <c:v>0.825926603132824</c:v>
                </c:pt>
                <c:pt idx="36">
                  <c:v>0.829609030066378</c:v>
                </c:pt>
                <c:pt idx="37">
                  <c:v>0.833119505865153</c:v>
                </c:pt>
                <c:pt idx="38">
                  <c:v>0.836469542656161</c:v>
                </c:pt>
                <c:pt idx="39">
                  <c:v>0.839669647295029</c:v>
                </c:pt>
                <c:pt idx="40">
                  <c:v>0.842729428747588</c:v>
                </c:pt>
                <c:pt idx="41">
                  <c:v>0.845657691994949</c:v>
                </c:pt>
                <c:pt idx="42">
                  <c:v>0.848462520394862</c:v>
                </c:pt>
                <c:pt idx="43">
                  <c:v>0.851151348121678</c:v>
                </c:pt>
                <c:pt idx="44">
                  <c:v>0.853731024051829</c:v>
                </c:pt>
                <c:pt idx="45">
                  <c:v>0.85620786825063</c:v>
                </c:pt>
                <c:pt idx="46">
                  <c:v>0.858587722041153</c:v>
                </c:pt>
                <c:pt idx="47">
                  <c:v>0.860875992490072</c:v>
                </c:pt>
                <c:pt idx="48">
                  <c:v>0.863077692023545</c:v>
                </c:pt>
                <c:pt idx="49">
                  <c:v>0.865197473783956</c:v>
                </c:pt>
                <c:pt idx="50">
                  <c:v>0.867239663252347</c:v>
                </c:pt>
                <c:pt idx="51">
                  <c:v>0.869208286588711</c:v>
                </c:pt>
                <c:pt idx="52">
                  <c:v>0.871107096080837</c:v>
                </c:pt>
                <c:pt idx="53">
                  <c:v>0.872939593040111</c:v>
                </c:pt>
                <c:pt idx="54">
                  <c:v>0.874709048438178</c:v>
                </c:pt>
                <c:pt idx="55">
                  <c:v>0.876418521540309</c:v>
                </c:pt>
                <c:pt idx="56">
                  <c:v>0.878070876758755</c:v>
                </c:pt>
                <c:pt idx="57">
                  <c:v>0.879668798921347</c:v>
                </c:pt>
                <c:pt idx="58">
                  <c:v>0.881214807126523</c:v>
                </c:pt>
                <c:pt idx="59">
                  <c:v>0.882711267335135</c:v>
                </c:pt>
                <c:pt idx="60">
                  <c:v>0.8841604038314</c:v>
                </c:pt>
                <c:pt idx="61">
                  <c:v>0.885564309669733</c:v>
                </c:pt>
                <c:pt idx="62">
                  <c:v>0.886924956210623</c:v>
                </c:pt>
                <c:pt idx="63">
                  <c:v>0.888244201836916</c:v>
                </c:pt>
                <c:pt idx="64">
                  <c:v>0.889523799931501</c:v>
                </c:pt>
                <c:pt idx="65">
                  <c:v>0.890765406188429</c:v>
                </c:pt>
                <c:pt idx="66">
                  <c:v>0.89197058532153</c:v>
                </c:pt>
                <c:pt idx="67">
                  <c:v>0.89314081722767</c:v>
                </c:pt>
                <c:pt idx="68">
                  <c:v>0.894277502655696</c:v>
                </c:pt>
                <c:pt idx="69">
                  <c:v>0.89538196842669</c:v>
                </c:pt>
                <c:pt idx="70">
                  <c:v>0.896455472246443</c:v>
                </c:pt>
                <c:pt idx="71">
                  <c:v>0.897499207146818</c:v>
                </c:pt>
                <c:pt idx="72">
                  <c:v>0.898514305588984</c:v>
                </c:pt>
                <c:pt idx="73">
                  <c:v>0.899501843258157</c:v>
                </c:pt>
                <c:pt idx="74">
                  <c:v>0.900462842576593</c:v>
                </c:pt>
                <c:pt idx="75">
                  <c:v>0.901398275958922</c:v>
                </c:pt>
                <c:pt idx="76">
                  <c:v>0.902309068831615</c:v>
                </c:pt>
                <c:pt idx="77">
                  <c:v>0.903196102436285</c:v>
                </c:pt>
                <c:pt idx="78">
                  <c:v>0.904060216434648</c:v>
                </c:pt>
                <c:pt idx="79">
                  <c:v>0.904902211331354</c:v>
                </c:pt>
                <c:pt idx="80">
                  <c:v>0.905722850729342</c:v>
                </c:pt>
                <c:pt idx="81">
                  <c:v>0.906522863431095</c:v>
                </c:pt>
                <c:pt idx="82">
                  <c:v>0.907302945397922</c:v>
                </c:pt>
                <c:pt idx="83">
                  <c:v>0.908063761578353</c:v>
                </c:pt>
                <c:pt idx="84">
                  <c:v>0.908805947615713</c:v>
                </c:pt>
                <c:pt idx="85">
                  <c:v>0.909530111444116</c:v>
                </c:pt>
                <c:pt idx="86">
                  <c:v>0.91023683478126</c:v>
                </c:pt>
                <c:pt idx="87">
                  <c:v>0.910926674525758</c:v>
                </c:pt>
                <c:pt idx="88">
                  <c:v>0.91160016406603</c:v>
                </c:pt>
                <c:pt idx="89">
                  <c:v>0.912257814507223</c:v>
                </c:pt>
                <c:pt idx="90">
                  <c:v>0.9129001158221</c:v>
                </c:pt>
                <c:pt idx="91">
                  <c:v>0.913527537931312</c:v>
                </c:pt>
                <c:pt idx="92">
                  <c:v>0.914140531718087</c:v>
                </c:pt>
                <c:pt idx="93">
                  <c:v>0.91473952998191</c:v>
                </c:pt>
                <c:pt idx="94">
                  <c:v>0.915324948335443</c:v>
                </c:pt>
                <c:pt idx="95">
                  <c:v>0.915897186048589</c:v>
                </c:pt>
                <c:pt idx="96">
                  <c:v>0.916456626843295</c:v>
                </c:pt>
                <c:pt idx="97">
                  <c:v>0.917003639642408</c:v>
                </c:pt>
                <c:pt idx="98">
                  <c:v>0.917538579275672</c:v>
                </c:pt>
                <c:pt idx="99">
                  <c:v>0.918061787145682</c:v>
                </c:pt>
                <c:pt idx="100">
                  <c:v>0.918573591856433</c:v>
                </c:pt>
              </c:numCache>
            </c:numRef>
          </c:yVal>
        </c:ser>
        <c:axId val="18433"/>
        <c:axId val="28561"/>
      </c:scatterChart>
      <c:valAx>
        <c:axId val="18433"/>
        <c:scaling>
          <c:orientation val="minMax"/>
          <c:min val="0"/>
        </c:scaling>
        <c:delete val="0"/>
        <c:axPos val="b"/>
        <c:title>
          <c:tx>
            <c:rich>
              <a:bodyPr/>
              <a:lstStyle/>
              <a:p>
                <a:pPr>
                  <a:defRPr/>
                </a:pPr>
                <a:r>
                  <a:rPr b="1" sz="1025">
                    <a:solidFill>
                      <a:srgbClr val="000000"/>
                    </a:solidFill>
                    <a:latin typeface="Arial"/>
                    <a:ea typeface="Arial"/>
                  </a:rPr>
                  <a:t>Iout (A)</a:t>
                </a:r>
              </a:p>
            </c:rich>
          </c:tx>
          <c:layout/>
        </c:title>
        <c:majorTickMark val="out"/>
        <c:minorTickMark val="none"/>
        <c:tickLblPos val="nextTo"/>
        <c:spPr>
          <a:ln w="3240">
            <a:solidFill>
              <a:srgbClr val="000000"/>
            </a:solidFill>
            <a:round/>
          </a:ln>
        </c:spPr>
        <c:crossAx val="28561"/>
        <c:crossesAt val="0"/>
      </c:valAx>
      <c:valAx>
        <c:axId val="28561"/>
        <c:scaling>
          <c:orientation val="minMax"/>
          <c:min val="0.5"/>
        </c:scaling>
        <c:delete val="0"/>
        <c:axPos val="l"/>
        <c:majorGridlines>
          <c:spPr>
            <a:ln w="3240">
              <a:solidFill>
                <a:srgbClr val="000000"/>
              </a:solidFill>
              <a:round/>
            </a:ln>
          </c:spPr>
        </c:majorGridlines>
        <c:title>
          <c:tx>
            <c:rich>
              <a:bodyPr/>
              <a:lstStyle/>
              <a:p>
                <a:pPr>
                  <a:defRPr/>
                </a:pPr>
                <a:r>
                  <a:rPr b="1" sz="1025">
                    <a:solidFill>
                      <a:srgbClr val="000000"/>
                    </a:solidFill>
                    <a:latin typeface="Arial"/>
                    <a:ea typeface="Arial"/>
                  </a:rPr>
                  <a:t>Efficiency (%)</a:t>
                </a:r>
              </a:p>
            </c:rich>
          </c:tx>
          <c:layout/>
        </c:title>
        <c:majorTickMark val="out"/>
        <c:minorTickMark val="none"/>
        <c:tickLblPos val="nextTo"/>
        <c:spPr>
          <a:ln w="3240">
            <a:solidFill>
              <a:srgbClr val="000000"/>
            </a:solidFill>
            <a:round/>
          </a:ln>
        </c:spPr>
        <c:crossAx val="18433"/>
        <c:crossesAt val="0"/>
      </c:valAx>
      <c:spPr>
        <a:solidFill>
          <a:srgbClr val="c0c0c0"/>
        </a:solidFill>
        <a:ln w="12600">
          <a:solidFill>
            <a:srgbClr val="808080"/>
          </a:solidFill>
          <a:round/>
        </a:ln>
      </c:spPr>
    </c:plotArea>
    <c:legend>
      <c:legendPos val="r"/>
      <c:overlay val="0"/>
      <c:spPr>
        <a:solidFill>
          <a:srgbClr val="ffffff"/>
        </a:solidFill>
        <a:ln w="3240">
          <a:solidFill>
            <a:srgbClr val="000000"/>
          </a:solidFill>
          <a:round/>
        </a:ln>
      </c:spPr>
    </c:legend>
    <c:plotVisOnly val="1"/>
  </c:chart>
  <c:spPr>
    <a:solidFill>
      <a:srgbClr val="ffffff"/>
    </a:solidFill>
    <a:ln w="3240">
      <a:solidFill>
        <a:srgbClr val="000000"/>
      </a:solidFill>
      <a:round/>
    </a:ln>
  </c:spPr>
</c:chartSpace>
</file>

<file path=xl/drawings/_rels/drawing1.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chart" Target="../charts/chart1.xml"/><Relationship Id="rId3" Type="http://schemas.openxmlformats.org/officeDocument/2006/relationships/chart" Target="../charts/chart2.xml"/><Relationship Id="rId4" Type="http://schemas.openxmlformats.org/officeDocument/2006/relationships/image" Target="../media/image2.jpeg"/><Relationship Id="rId5" Type="http://schemas.openxmlformats.org/officeDocument/2006/relationships/image" Target="../media/image3.jpeg"/><Relationship Id="rId6" Type="http://schemas.openxmlformats.org/officeDocument/2006/relationships/image" Target="../media/image4.jpeg"/><Relationship Id="rId7" Type="http://schemas.openxmlformats.org/officeDocument/2006/relationships/image" Target="../media/image5.jpeg"/>
</Relationships>
</file>

<file path=xl/drawings/_rels/drawing2.xml.rels><?xml version="1.0" encoding="UTF-8"?>
<Relationships xmlns="http://schemas.openxmlformats.org/package/2006/relationships"><Relationship Id="rId1" Type="http://schemas.openxmlformats.org/officeDocument/2006/relationships/image" Target="../media/image6.jpeg"/>
</Relationships>
</file>

<file path=xl/drawings/_rels/drawing3.xml.rels><?xml version="1.0" encoding="UTF-8"?>
<Relationships xmlns="http://schemas.openxmlformats.org/package/2006/relationships"><Relationship Id="rId1" Type="http://schemas.openxmlformats.org/officeDocument/2006/relationships/image" Target="../media/image7.jpeg"/><Relationship Id="rId2" Type="http://schemas.openxmlformats.org/officeDocument/2006/relationships/image" Target="../media/image8.jpeg"/><Relationship Id="rId3" Type="http://schemas.openxmlformats.org/officeDocument/2006/relationships/image" Target="../media/image9.jpeg"/><Relationship Id="rId4" Type="http://schemas.openxmlformats.org/officeDocument/2006/relationships/image" Target="../media/image10.jpeg"/>
</Relationships>
</file>

<file path=xl/drawings/_rels/drawing4.xml.rels><?xml version="1.0" encoding="UTF-8"?>
<Relationships xmlns="http://schemas.openxmlformats.org/package/2006/relationships"><Relationship Id="rId1" Type="http://schemas.openxmlformats.org/officeDocument/2006/relationships/image" Target="../media/image11.wmf"/>
</Relationships>
</file>

<file path=xl/drawings/_rels/drawing5.xml.rels><?xml version="1.0" encoding="UTF-8"?>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 Id="rId3" Type="http://schemas.openxmlformats.org/officeDocument/2006/relationships/chart" Target="../charts/chart5.xml"/><Relationship Id="rId4" Type="http://schemas.openxmlformats.org/officeDocument/2006/relationships/chart" Target="../charts/chart6.xml"/>
</Relationships>
</file>

<file path=xl/drawings/_rels/drawing6.xml.rels><?xml version="1.0" encoding="UTF-8"?>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 Id="rId3"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176400</xdr:colOff>
      <xdr:row>6</xdr:row>
      <xdr:rowOff>29160</xdr:rowOff>
    </xdr:from>
    <xdr:to>
      <xdr:col>16</xdr:col>
      <xdr:colOff>2279880</xdr:colOff>
      <xdr:row>35</xdr:row>
      <xdr:rowOff>114480</xdr:rowOff>
    </xdr:to>
    <xdr:pic>
      <xdr:nvPicPr>
        <xdr:cNvPr id="0" name="Picture 71" descr=""/>
        <xdr:cNvPicPr/>
      </xdr:nvPicPr>
      <xdr:blipFill>
        <a:blip r:embed="rId1"/>
        <a:stretch>
          <a:fillRect/>
        </a:stretch>
      </xdr:blipFill>
      <xdr:spPr>
        <a:xfrm>
          <a:off x="3865680" y="1623960"/>
          <a:ext cx="9279360" cy="5523120"/>
        </a:xfrm>
        <a:prstGeom prst="rect">
          <a:avLst/>
        </a:prstGeom>
        <a:ln>
          <a:noFill/>
        </a:ln>
      </xdr:spPr>
    </xdr:pic>
    <xdr:clientData/>
  </xdr:twoCellAnchor>
  <xdr:twoCellAnchor editAs="oneCell">
    <xdr:from>
      <xdr:col>6</xdr:col>
      <xdr:colOff>284040</xdr:colOff>
      <xdr:row>41</xdr:row>
      <xdr:rowOff>86400</xdr:rowOff>
    </xdr:from>
    <xdr:to>
      <xdr:col>16</xdr:col>
      <xdr:colOff>2165760</xdr:colOff>
      <xdr:row>65</xdr:row>
      <xdr:rowOff>79560</xdr:rowOff>
    </xdr:to>
    <xdr:graphicFrame>
      <xdr:nvGraphicFramePr>
        <xdr:cNvPr id="1" name="Chart 12"/>
        <xdr:cNvGraphicFramePr/>
      </xdr:nvGraphicFramePr>
      <xdr:xfrm>
        <a:off x="3973320" y="8262000"/>
        <a:ext cx="9057600" cy="45835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800640</xdr:colOff>
      <xdr:row>57</xdr:row>
      <xdr:rowOff>94320</xdr:rowOff>
    </xdr:from>
    <xdr:to>
      <xdr:col>11</xdr:col>
      <xdr:colOff>29160</xdr:colOff>
      <xdr:row>58</xdr:row>
      <xdr:rowOff>138600</xdr:rowOff>
    </xdr:to>
    <xdr:sp>
      <xdr:nvSpPr>
        <xdr:cNvPr id="2" name="CustomShape 1"/>
        <xdr:cNvSpPr/>
      </xdr:nvSpPr>
      <xdr:spPr>
        <a:xfrm>
          <a:off x="5135040" y="11341440"/>
          <a:ext cx="2232000" cy="223200"/>
        </a:xfrm>
        <a:prstGeom prst="rect">
          <a:avLst/>
        </a:prstGeom>
        <a:solidFill>
          <a:srgbClr val="ffffff"/>
        </a:solidFill>
        <a:ln w="9360">
          <a:noFill/>
        </a:ln>
      </xdr:spPr>
      <xdr:txBody>
        <a:bodyPr lIns="27360" rIns="0" tIns="23040" bIns="23040" anchor="ctr"/>
        <a:p>
          <a:pPr>
            <a:lnSpc>
              <a:spcPct val="100000"/>
            </a:lnSpc>
          </a:pPr>
          <a:r>
            <a:rPr b="1" lang="en-GB" sz="1050">
              <a:solidFill>
                <a:srgbClr val="ff0000"/>
              </a:solidFill>
              <a:latin typeface="Arial"/>
            </a:rPr>
            <a:t>Crossover Frequency = 44 kHz</a:t>
          </a:r>
          <a:endParaRPr/>
        </a:p>
      </xdr:txBody>
    </xdr:sp>
    <xdr:clientData/>
  </xdr:twoCellAnchor>
  <xdr:twoCellAnchor editAs="oneCell">
    <xdr:from>
      <xdr:col>8</xdr:col>
      <xdr:colOff>30600</xdr:colOff>
      <xdr:row>59</xdr:row>
      <xdr:rowOff>90720</xdr:rowOff>
    </xdr:from>
    <xdr:to>
      <xdr:col>9</xdr:col>
      <xdr:colOff>801000</xdr:colOff>
      <xdr:row>60</xdr:row>
      <xdr:rowOff>163080</xdr:rowOff>
    </xdr:to>
    <xdr:sp>
      <xdr:nvSpPr>
        <xdr:cNvPr id="3" name="CustomShape 1"/>
        <xdr:cNvSpPr/>
      </xdr:nvSpPr>
      <xdr:spPr>
        <a:xfrm>
          <a:off x="5202000" y="11695680"/>
          <a:ext cx="1415520" cy="251640"/>
        </a:xfrm>
        <a:prstGeom prst="rect">
          <a:avLst/>
        </a:prstGeom>
        <a:solidFill>
          <a:srgbClr val="ffffff"/>
        </a:solidFill>
        <a:ln w="9360">
          <a:noFill/>
        </a:ln>
      </xdr:spPr>
      <xdr:txBody>
        <a:bodyPr lIns="27360" rIns="0" tIns="23040" bIns="23040" anchor="ctr"/>
        <a:p>
          <a:pPr>
            <a:lnSpc>
              <a:spcPct val="100000"/>
            </a:lnSpc>
          </a:pPr>
          <a:r>
            <a:rPr b="1" lang="en-GB" sz="1050">
              <a:solidFill>
                <a:srgbClr val="002060"/>
              </a:solidFill>
              <a:latin typeface="Arial"/>
            </a:rPr>
            <a:t>Phase Margin = 71°</a:t>
          </a:r>
          <a:endParaRPr/>
        </a:p>
      </xdr:txBody>
    </xdr:sp>
    <xdr:clientData/>
  </xdr:twoCellAnchor>
  <xdr:twoCellAnchor editAs="oneCell">
    <xdr:from>
      <xdr:col>6</xdr:col>
      <xdr:colOff>363960</xdr:colOff>
      <xdr:row>77</xdr:row>
      <xdr:rowOff>153000</xdr:rowOff>
    </xdr:from>
    <xdr:to>
      <xdr:col>16</xdr:col>
      <xdr:colOff>2180520</xdr:colOff>
      <xdr:row>104</xdr:row>
      <xdr:rowOff>68400</xdr:rowOff>
    </xdr:to>
    <xdr:graphicFrame>
      <xdr:nvGraphicFramePr>
        <xdr:cNvPr id="4" name="Chart 253"/>
        <xdr:cNvGraphicFramePr/>
      </xdr:nvGraphicFramePr>
      <xdr:xfrm>
        <a:off x="4053240" y="15250680"/>
        <a:ext cx="8992440" cy="502632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273600</xdr:colOff>
      <xdr:row>12</xdr:row>
      <xdr:rowOff>161280</xdr:rowOff>
    </xdr:from>
    <xdr:to>
      <xdr:col>6</xdr:col>
      <xdr:colOff>536040</xdr:colOff>
      <xdr:row>13</xdr:row>
      <xdr:rowOff>130320</xdr:rowOff>
    </xdr:to>
    <xdr:sp>
      <xdr:nvSpPr>
        <xdr:cNvPr id="5" name="CustomShape 1"/>
        <xdr:cNvSpPr/>
      </xdr:nvSpPr>
      <xdr:spPr>
        <a:xfrm>
          <a:off x="3962880" y="2854080"/>
          <a:ext cx="262440" cy="22428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C3</a:t>
          </a:r>
          <a:endParaRPr/>
        </a:p>
      </xdr:txBody>
    </xdr:sp>
    <xdr:clientData/>
  </xdr:twoCellAnchor>
  <xdr:twoCellAnchor editAs="oneCell">
    <xdr:from>
      <xdr:col>7</xdr:col>
      <xdr:colOff>491040</xdr:colOff>
      <xdr:row>10</xdr:row>
      <xdr:rowOff>123480</xdr:rowOff>
    </xdr:from>
    <xdr:to>
      <xdr:col>8</xdr:col>
      <xdr:colOff>43920</xdr:colOff>
      <xdr:row>11</xdr:row>
      <xdr:rowOff>129960</xdr:rowOff>
    </xdr:to>
    <xdr:sp>
      <xdr:nvSpPr>
        <xdr:cNvPr id="6" name="CustomShape 1"/>
        <xdr:cNvSpPr/>
      </xdr:nvSpPr>
      <xdr:spPr>
        <a:xfrm>
          <a:off x="4825440" y="2434680"/>
          <a:ext cx="389880" cy="209160"/>
        </a:xfrm>
        <a:prstGeom prst="rect">
          <a:avLst/>
        </a:prstGeom>
        <a:noFill/>
        <a:ln w="9360">
          <a:noFill/>
        </a:ln>
      </xdr:spPr>
      <xdr:txBody>
        <a:bodyPr lIns="27360" rIns="0" tIns="27360" bIns="0" anchor="ctr"/>
        <a:p>
          <a:pPr algn="ctr">
            <a:lnSpc>
              <a:spcPct val="100000"/>
            </a:lnSpc>
          </a:pPr>
          <a:r>
            <a:rPr lang="en-GB" sz="1000">
              <a:solidFill>
                <a:srgbClr val="000000"/>
              </a:solidFill>
              <a:latin typeface="Arial"/>
            </a:rPr>
            <a:t>R</a:t>
          </a:r>
          <a:r>
            <a:rPr lang="en-GB" sz="1000" baseline="-25000">
              <a:solidFill>
                <a:srgbClr val="000000"/>
              </a:solidFill>
              <a:latin typeface="Arial"/>
            </a:rPr>
            <a:t>FB1</a:t>
          </a:r>
          <a:endParaRPr/>
        </a:p>
      </xdr:txBody>
    </xdr:sp>
    <xdr:clientData/>
  </xdr:twoCellAnchor>
  <xdr:twoCellAnchor editAs="oneCell">
    <xdr:from>
      <xdr:col>6</xdr:col>
      <xdr:colOff>328680</xdr:colOff>
      <xdr:row>10</xdr:row>
      <xdr:rowOff>17280</xdr:rowOff>
    </xdr:from>
    <xdr:to>
      <xdr:col>6</xdr:col>
      <xdr:colOff>593280</xdr:colOff>
      <xdr:row>11</xdr:row>
      <xdr:rowOff>63720</xdr:rowOff>
    </xdr:to>
    <xdr:sp>
      <xdr:nvSpPr>
        <xdr:cNvPr id="7" name="CustomShape 1"/>
        <xdr:cNvSpPr/>
      </xdr:nvSpPr>
      <xdr:spPr>
        <a:xfrm>
          <a:off x="4017960" y="2328480"/>
          <a:ext cx="264600" cy="24912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C2</a:t>
          </a:r>
          <a:endParaRPr/>
        </a:p>
      </xdr:txBody>
    </xdr:sp>
    <xdr:clientData/>
  </xdr:twoCellAnchor>
  <xdr:twoCellAnchor editAs="oneCell">
    <xdr:from>
      <xdr:col>16</xdr:col>
      <xdr:colOff>1605240</xdr:colOff>
      <xdr:row>17</xdr:row>
      <xdr:rowOff>8640</xdr:rowOff>
    </xdr:from>
    <xdr:to>
      <xdr:col>16</xdr:col>
      <xdr:colOff>2023920</xdr:colOff>
      <xdr:row>18</xdr:row>
      <xdr:rowOff>37800</xdr:rowOff>
    </xdr:to>
    <xdr:sp>
      <xdr:nvSpPr>
        <xdr:cNvPr id="8" name="CustomShape 1"/>
        <xdr:cNvSpPr/>
      </xdr:nvSpPr>
      <xdr:spPr>
        <a:xfrm>
          <a:off x="12470400" y="3673080"/>
          <a:ext cx="418680" cy="20808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C</a:t>
          </a:r>
          <a:r>
            <a:rPr lang="en-GB" sz="1000" baseline="-25000">
              <a:solidFill>
                <a:srgbClr val="000000"/>
              </a:solidFill>
              <a:latin typeface="Arial"/>
            </a:rPr>
            <a:t>OUT</a:t>
          </a:r>
          <a:endParaRPr/>
        </a:p>
      </xdr:txBody>
    </xdr:sp>
    <xdr:clientData/>
  </xdr:twoCellAnchor>
  <xdr:twoCellAnchor editAs="oneCell">
    <xdr:from>
      <xdr:col>16</xdr:col>
      <xdr:colOff>1571760</xdr:colOff>
      <xdr:row>8</xdr:row>
      <xdr:rowOff>118080</xdr:rowOff>
    </xdr:from>
    <xdr:to>
      <xdr:col>16</xdr:col>
      <xdr:colOff>2047320</xdr:colOff>
      <xdr:row>10</xdr:row>
      <xdr:rowOff>35640</xdr:rowOff>
    </xdr:to>
    <xdr:sp>
      <xdr:nvSpPr>
        <xdr:cNvPr id="9" name="CustomShape 1"/>
        <xdr:cNvSpPr/>
      </xdr:nvSpPr>
      <xdr:spPr>
        <a:xfrm>
          <a:off x="12436920" y="2071080"/>
          <a:ext cx="475560" cy="27576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ISET</a:t>
          </a:r>
          <a:endParaRPr/>
        </a:p>
      </xdr:txBody>
    </xdr:sp>
    <xdr:clientData/>
  </xdr:twoCellAnchor>
  <xdr:twoCellAnchor editAs="oneCell">
    <xdr:from>
      <xdr:col>16</xdr:col>
      <xdr:colOff>1035360</xdr:colOff>
      <xdr:row>10</xdr:row>
      <xdr:rowOff>143280</xdr:rowOff>
    </xdr:from>
    <xdr:to>
      <xdr:col>16</xdr:col>
      <xdr:colOff>1243080</xdr:colOff>
      <xdr:row>11</xdr:row>
      <xdr:rowOff>156960</xdr:rowOff>
    </xdr:to>
    <xdr:sp>
      <xdr:nvSpPr>
        <xdr:cNvPr id="10" name="CustomShape 1"/>
        <xdr:cNvSpPr/>
      </xdr:nvSpPr>
      <xdr:spPr>
        <a:xfrm>
          <a:off x="11900520" y="2454480"/>
          <a:ext cx="207720" cy="21636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C</a:t>
          </a:r>
          <a:r>
            <a:rPr lang="en-GB" sz="1000" baseline="-25000">
              <a:solidFill>
                <a:srgbClr val="000000"/>
              </a:solidFill>
              <a:latin typeface="Arial"/>
            </a:rPr>
            <a:t>S</a:t>
          </a:r>
          <a:endParaRPr/>
        </a:p>
      </xdr:txBody>
    </xdr:sp>
    <xdr:clientData/>
  </xdr:twoCellAnchor>
  <xdr:twoCellAnchor editAs="oneCell">
    <xdr:from>
      <xdr:col>16</xdr:col>
      <xdr:colOff>347400</xdr:colOff>
      <xdr:row>11</xdr:row>
      <xdr:rowOff>1080</xdr:rowOff>
    </xdr:from>
    <xdr:to>
      <xdr:col>16</xdr:col>
      <xdr:colOff>590760</xdr:colOff>
      <xdr:row>12</xdr:row>
      <xdr:rowOff>49320</xdr:rowOff>
    </xdr:to>
    <xdr:sp>
      <xdr:nvSpPr>
        <xdr:cNvPr id="11" name="CustomShape 1"/>
        <xdr:cNvSpPr/>
      </xdr:nvSpPr>
      <xdr:spPr>
        <a:xfrm>
          <a:off x="11212560" y="2514960"/>
          <a:ext cx="243360" cy="22716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R</a:t>
          </a:r>
          <a:r>
            <a:rPr lang="en-GB" sz="1000" baseline="-25000">
              <a:solidFill>
                <a:srgbClr val="000000"/>
              </a:solidFill>
              <a:latin typeface="Arial"/>
            </a:rPr>
            <a:t>S</a:t>
          </a:r>
          <a:endParaRPr/>
        </a:p>
      </xdr:txBody>
    </xdr:sp>
    <xdr:clientData/>
  </xdr:twoCellAnchor>
  <xdr:twoCellAnchor editAs="oneCell">
    <xdr:from>
      <xdr:col>16</xdr:col>
      <xdr:colOff>240120</xdr:colOff>
      <xdr:row>14</xdr:row>
      <xdr:rowOff>115560</xdr:rowOff>
    </xdr:from>
    <xdr:to>
      <xdr:col>16</xdr:col>
      <xdr:colOff>582120</xdr:colOff>
      <xdr:row>16</xdr:row>
      <xdr:rowOff>49680</xdr:rowOff>
    </xdr:to>
    <xdr:sp>
      <xdr:nvSpPr>
        <xdr:cNvPr id="12" name="CustomShape 1"/>
        <xdr:cNvSpPr/>
      </xdr:nvSpPr>
      <xdr:spPr>
        <a:xfrm>
          <a:off x="11105280" y="3242880"/>
          <a:ext cx="342000" cy="29196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L</a:t>
          </a:r>
          <a:r>
            <a:rPr lang="en-GB" sz="1000" baseline="-25000">
              <a:solidFill>
                <a:srgbClr val="000000"/>
              </a:solidFill>
              <a:latin typeface="Arial"/>
            </a:rPr>
            <a:t>OUT</a:t>
          </a:r>
          <a:endParaRPr/>
        </a:p>
      </xdr:txBody>
    </xdr:sp>
    <xdr:clientData/>
  </xdr:twoCellAnchor>
  <xdr:twoCellAnchor editAs="oneCell">
    <xdr:from>
      <xdr:col>10</xdr:col>
      <xdr:colOff>353880</xdr:colOff>
      <xdr:row>9</xdr:row>
      <xdr:rowOff>12600</xdr:rowOff>
    </xdr:from>
    <xdr:to>
      <xdr:col>11</xdr:col>
      <xdr:colOff>150480</xdr:colOff>
      <xdr:row>10</xdr:row>
      <xdr:rowOff>56160</xdr:rowOff>
    </xdr:to>
    <xdr:sp>
      <xdr:nvSpPr>
        <xdr:cNvPr id="13" name="CustomShape 1"/>
        <xdr:cNvSpPr/>
      </xdr:nvSpPr>
      <xdr:spPr>
        <a:xfrm>
          <a:off x="7046640" y="2144880"/>
          <a:ext cx="441720" cy="222480"/>
        </a:xfrm>
        <a:prstGeom prst="rect">
          <a:avLst/>
        </a:prstGeom>
        <a:noFill/>
        <a:ln w="9360">
          <a:noFill/>
        </a:ln>
      </xdr:spPr>
      <xdr:txBody>
        <a:bodyPr lIns="27360" rIns="0" tIns="27360" bIns="0"/>
        <a:p>
          <a:pPr algn="r">
            <a:lnSpc>
              <a:spcPct val="100000"/>
            </a:lnSpc>
          </a:pPr>
          <a:r>
            <a:rPr lang="en-GB" sz="1000">
              <a:solidFill>
                <a:srgbClr val="000000"/>
              </a:solidFill>
              <a:latin typeface="Arial"/>
            </a:rPr>
            <a:t>100pF</a:t>
          </a:r>
          <a:endParaRPr/>
        </a:p>
      </xdr:txBody>
    </xdr:sp>
    <xdr:clientData/>
  </xdr:twoCellAnchor>
  <xdr:twoCellAnchor editAs="oneCell">
    <xdr:from>
      <xdr:col>15</xdr:col>
      <xdr:colOff>407880</xdr:colOff>
      <xdr:row>17</xdr:row>
      <xdr:rowOff>104400</xdr:rowOff>
    </xdr:from>
    <xdr:to>
      <xdr:col>16</xdr:col>
      <xdr:colOff>56520</xdr:colOff>
      <xdr:row>18</xdr:row>
      <xdr:rowOff>136800</xdr:rowOff>
    </xdr:to>
    <xdr:sp>
      <xdr:nvSpPr>
        <xdr:cNvPr id="14" name="CustomShape 1"/>
        <xdr:cNvSpPr/>
      </xdr:nvSpPr>
      <xdr:spPr>
        <a:xfrm>
          <a:off x="10557720" y="3768840"/>
          <a:ext cx="363960" cy="21132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IN</a:t>
          </a:r>
          <a:endParaRPr/>
        </a:p>
      </xdr:txBody>
    </xdr:sp>
    <xdr:clientData/>
  </xdr:twoCellAnchor>
  <xdr:twoCellAnchor editAs="oneCell">
    <xdr:from>
      <xdr:col>13</xdr:col>
      <xdr:colOff>524880</xdr:colOff>
      <xdr:row>29</xdr:row>
      <xdr:rowOff>170640</xdr:rowOff>
    </xdr:from>
    <xdr:to>
      <xdr:col>14</xdr:col>
      <xdr:colOff>239040</xdr:colOff>
      <xdr:row>31</xdr:row>
      <xdr:rowOff>44640</xdr:rowOff>
    </xdr:to>
    <xdr:sp>
      <xdr:nvSpPr>
        <xdr:cNvPr id="15" name="CustomShape 1"/>
        <xdr:cNvSpPr/>
      </xdr:nvSpPr>
      <xdr:spPr>
        <a:xfrm>
          <a:off x="9384120" y="6128640"/>
          <a:ext cx="359280" cy="23220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VIN</a:t>
          </a:r>
          <a:endParaRPr/>
        </a:p>
      </xdr:txBody>
    </xdr:sp>
    <xdr:clientData/>
  </xdr:twoCellAnchor>
  <xdr:twoCellAnchor editAs="oneCell">
    <xdr:from>
      <xdr:col>12</xdr:col>
      <xdr:colOff>383760</xdr:colOff>
      <xdr:row>30</xdr:row>
      <xdr:rowOff>29880</xdr:rowOff>
    </xdr:from>
    <xdr:to>
      <xdr:col>13</xdr:col>
      <xdr:colOff>98280</xdr:colOff>
      <xdr:row>31</xdr:row>
      <xdr:rowOff>59400</xdr:rowOff>
    </xdr:to>
    <xdr:sp>
      <xdr:nvSpPr>
        <xdr:cNvPr id="16" name="CustomShape 1"/>
        <xdr:cNvSpPr/>
      </xdr:nvSpPr>
      <xdr:spPr>
        <a:xfrm>
          <a:off x="8597880" y="6166800"/>
          <a:ext cx="359640" cy="208800"/>
        </a:xfrm>
        <a:prstGeom prst="rect">
          <a:avLst/>
        </a:prstGeom>
        <a:noFill/>
        <a:ln w="9360">
          <a:noFill/>
        </a:ln>
      </xdr:spPr>
      <xdr:txBody>
        <a:bodyPr lIns="27360" rIns="0" tIns="27360" bIns="0" anchor="ctr"/>
        <a:p>
          <a:pPr algn="ctr">
            <a:lnSpc>
              <a:spcPct val="100000"/>
            </a:lnSpc>
          </a:pPr>
          <a:r>
            <a:rPr lang="en-GB" sz="1000">
              <a:solidFill>
                <a:srgbClr val="000000"/>
              </a:solidFill>
              <a:latin typeface="Arial"/>
            </a:rPr>
            <a:t>C</a:t>
          </a:r>
          <a:r>
            <a:rPr lang="en-GB" sz="1000" baseline="-25000">
              <a:solidFill>
                <a:srgbClr val="000000"/>
              </a:solidFill>
              <a:latin typeface="Arial"/>
            </a:rPr>
            <a:t>VIN</a:t>
          </a:r>
          <a:endParaRPr/>
        </a:p>
      </xdr:txBody>
    </xdr:sp>
    <xdr:clientData/>
  </xdr:twoCellAnchor>
  <xdr:twoCellAnchor editAs="oneCell">
    <xdr:from>
      <xdr:col>14</xdr:col>
      <xdr:colOff>30240</xdr:colOff>
      <xdr:row>9</xdr:row>
      <xdr:rowOff>99000</xdr:rowOff>
    </xdr:from>
    <xdr:to>
      <xdr:col>14</xdr:col>
      <xdr:colOff>438120</xdr:colOff>
      <xdr:row>10</xdr:row>
      <xdr:rowOff>165960</xdr:rowOff>
    </xdr:to>
    <xdr:sp>
      <xdr:nvSpPr>
        <xdr:cNvPr id="17" name="CustomShape 1"/>
        <xdr:cNvSpPr/>
      </xdr:nvSpPr>
      <xdr:spPr>
        <a:xfrm>
          <a:off x="9534600" y="2231280"/>
          <a:ext cx="407880" cy="24588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D</a:t>
          </a:r>
          <a:r>
            <a:rPr lang="en-GB" sz="1000" baseline="-25000">
              <a:solidFill>
                <a:srgbClr val="000000"/>
              </a:solidFill>
              <a:latin typeface="Arial"/>
            </a:rPr>
            <a:t>BOOT</a:t>
          </a:r>
          <a:endParaRPr/>
        </a:p>
      </xdr:txBody>
    </xdr:sp>
    <xdr:clientData/>
  </xdr:twoCellAnchor>
  <xdr:twoCellAnchor editAs="oneCell">
    <xdr:from>
      <xdr:col>14</xdr:col>
      <xdr:colOff>106560</xdr:colOff>
      <xdr:row>21</xdr:row>
      <xdr:rowOff>97920</xdr:rowOff>
    </xdr:from>
    <xdr:to>
      <xdr:col>14</xdr:col>
      <xdr:colOff>478440</xdr:colOff>
      <xdr:row>22</xdr:row>
      <xdr:rowOff>136440</xdr:rowOff>
    </xdr:to>
    <xdr:sp>
      <xdr:nvSpPr>
        <xdr:cNvPr id="18" name="CustomShape 1"/>
        <xdr:cNvSpPr/>
      </xdr:nvSpPr>
      <xdr:spPr>
        <a:xfrm>
          <a:off x="9610920" y="4554720"/>
          <a:ext cx="371880" cy="21780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C</a:t>
          </a:r>
          <a:r>
            <a:rPr lang="en-GB" sz="1000" baseline="-25000">
              <a:solidFill>
                <a:srgbClr val="000000"/>
              </a:solidFill>
              <a:latin typeface="Arial"/>
            </a:rPr>
            <a:t>VDD</a:t>
          </a:r>
          <a:endParaRPr/>
        </a:p>
      </xdr:txBody>
    </xdr:sp>
    <xdr:clientData/>
  </xdr:twoCellAnchor>
  <xdr:twoCellAnchor editAs="oneCell">
    <xdr:from>
      <xdr:col>16</xdr:col>
      <xdr:colOff>385560</xdr:colOff>
      <xdr:row>8</xdr:row>
      <xdr:rowOff>88560</xdr:rowOff>
    </xdr:from>
    <xdr:to>
      <xdr:col>16</xdr:col>
      <xdr:colOff>693360</xdr:colOff>
      <xdr:row>9</xdr:row>
      <xdr:rowOff>150120</xdr:rowOff>
    </xdr:to>
    <xdr:sp>
      <xdr:nvSpPr>
        <xdr:cNvPr id="19" name="CustomShape 1"/>
        <xdr:cNvSpPr/>
      </xdr:nvSpPr>
      <xdr:spPr>
        <a:xfrm>
          <a:off x="11250720" y="2041560"/>
          <a:ext cx="307800" cy="24084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CS</a:t>
          </a:r>
          <a:endParaRPr/>
        </a:p>
        <a:p>
          <a:pPr>
            <a:lnSpc>
              <a:spcPct val="100000"/>
            </a:lnSpc>
          </a:pPr>
          <a:r>
            <a:rPr lang="en-GB" sz="1000" baseline="-25000">
              <a:solidFill>
                <a:srgbClr val="000000"/>
              </a:solidFill>
              <a:latin typeface="Arial"/>
            </a:rPr>
            <a:t>ood</a:t>
          </a:r>
          <a:endParaRPr/>
        </a:p>
      </xdr:txBody>
    </xdr:sp>
    <xdr:clientData/>
  </xdr:twoCellAnchor>
  <xdr:twoCellAnchor editAs="oneCell">
    <xdr:from>
      <xdr:col>8</xdr:col>
      <xdr:colOff>523800</xdr:colOff>
      <xdr:row>10</xdr:row>
      <xdr:rowOff>27720</xdr:rowOff>
    </xdr:from>
    <xdr:to>
      <xdr:col>9</xdr:col>
      <xdr:colOff>240840</xdr:colOff>
      <xdr:row>11</xdr:row>
      <xdr:rowOff>96480</xdr:rowOff>
    </xdr:to>
    <xdr:sp>
      <xdr:nvSpPr>
        <xdr:cNvPr id="20" name="CustomShape 1"/>
        <xdr:cNvSpPr/>
      </xdr:nvSpPr>
      <xdr:spPr>
        <a:xfrm>
          <a:off x="5695200" y="2338920"/>
          <a:ext cx="362160" cy="27144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SS</a:t>
          </a:r>
          <a:endParaRPr/>
        </a:p>
      </xdr:txBody>
    </xdr:sp>
    <xdr:clientData/>
  </xdr:twoCellAnchor>
  <xdr:twoCellAnchor editAs="oneCell">
    <xdr:from>
      <xdr:col>8</xdr:col>
      <xdr:colOff>436680</xdr:colOff>
      <xdr:row>27</xdr:row>
      <xdr:rowOff>20880</xdr:rowOff>
    </xdr:from>
    <xdr:to>
      <xdr:col>9</xdr:col>
      <xdr:colOff>188640</xdr:colOff>
      <xdr:row>27</xdr:row>
      <xdr:rowOff>21240</xdr:rowOff>
    </xdr:to>
    <xdr:sp>
      <xdr:nvSpPr>
        <xdr:cNvPr id="21" name="CustomShape 1"/>
        <xdr:cNvSpPr/>
      </xdr:nvSpPr>
      <xdr:spPr>
        <a:xfrm>
          <a:off x="5608080" y="5620680"/>
          <a:ext cx="397080" cy="360"/>
        </a:xfrm>
        <a:prstGeom prst="rect">
          <a:avLst/>
        </a:prstGeom>
        <a:noFill/>
        <a:ln w="9360">
          <a:noFill/>
        </a:ln>
      </xdr:spPr>
      <xdr:txBody>
        <a:bodyPr lIns="27360" rIns="0" tIns="27360" bIns="0"/>
        <a:p>
          <a:pPr>
            <a:lnSpc>
              <a:spcPct val="100000"/>
            </a:lnSpc>
          </a:pPr>
          <a:r>
            <a:rPr lang="en-GB" sz="1100">
              <a:solidFill>
                <a:srgbClr val="000000"/>
              </a:solidFill>
              <a:latin typeface="Calibri"/>
            </a:rPr>
            <a:t>R</a:t>
          </a:r>
          <a:r>
            <a:rPr lang="en-GB" sz="1100" baseline="-25000">
              <a:solidFill>
                <a:srgbClr val="000000"/>
              </a:solidFill>
              <a:latin typeface="Calibri"/>
            </a:rPr>
            <a:t>FADJ</a:t>
          </a:r>
          <a:endParaRPr/>
        </a:p>
      </xdr:txBody>
    </xdr:sp>
    <xdr:clientData/>
  </xdr:twoCellAnchor>
  <xdr:twoCellAnchor editAs="oneCell">
    <xdr:from>
      <xdr:col>6</xdr:col>
      <xdr:colOff>589320</xdr:colOff>
      <xdr:row>21</xdr:row>
      <xdr:rowOff>17280</xdr:rowOff>
    </xdr:from>
    <xdr:to>
      <xdr:col>7</xdr:col>
      <xdr:colOff>374760</xdr:colOff>
      <xdr:row>22</xdr:row>
      <xdr:rowOff>47160</xdr:rowOff>
    </xdr:to>
    <xdr:sp>
      <xdr:nvSpPr>
        <xdr:cNvPr id="22" name="CustomShape 1"/>
        <xdr:cNvSpPr/>
      </xdr:nvSpPr>
      <xdr:spPr>
        <a:xfrm>
          <a:off x="4278600" y="4474080"/>
          <a:ext cx="430560" cy="20916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FB2</a:t>
          </a:r>
          <a:endParaRPr/>
        </a:p>
      </xdr:txBody>
    </xdr:sp>
    <xdr:clientData/>
  </xdr:twoCellAnchor>
  <xdr:twoCellAnchor editAs="oneCell">
    <xdr:from>
      <xdr:col>7</xdr:col>
      <xdr:colOff>580320</xdr:colOff>
      <xdr:row>19</xdr:row>
      <xdr:rowOff>131400</xdr:rowOff>
    </xdr:from>
    <xdr:to>
      <xdr:col>8</xdr:col>
      <xdr:colOff>33840</xdr:colOff>
      <xdr:row>20</xdr:row>
      <xdr:rowOff>97920</xdr:rowOff>
    </xdr:to>
    <xdr:sp>
      <xdr:nvSpPr>
        <xdr:cNvPr id="23" name="CustomShape 1"/>
        <xdr:cNvSpPr/>
      </xdr:nvSpPr>
      <xdr:spPr>
        <a:xfrm>
          <a:off x="4914720" y="4154040"/>
          <a:ext cx="290520" cy="22176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C2</a:t>
          </a:r>
          <a:endParaRPr/>
        </a:p>
      </xdr:txBody>
    </xdr:sp>
    <xdr:clientData/>
  </xdr:twoCellAnchor>
  <xdr:twoCellAnchor editAs="oneCell">
    <xdr:from>
      <xdr:col>8</xdr:col>
      <xdr:colOff>178200</xdr:colOff>
      <xdr:row>15</xdr:row>
      <xdr:rowOff>6840</xdr:rowOff>
    </xdr:from>
    <xdr:to>
      <xdr:col>8</xdr:col>
      <xdr:colOff>492840</xdr:colOff>
      <xdr:row>16</xdr:row>
      <xdr:rowOff>66240</xdr:rowOff>
    </xdr:to>
    <xdr:sp>
      <xdr:nvSpPr>
        <xdr:cNvPr id="24" name="CustomShape 1"/>
        <xdr:cNvSpPr/>
      </xdr:nvSpPr>
      <xdr:spPr>
        <a:xfrm>
          <a:off x="5349600" y="3313080"/>
          <a:ext cx="314640" cy="23832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C1</a:t>
          </a:r>
          <a:endParaRPr/>
        </a:p>
      </xdr:txBody>
    </xdr:sp>
    <xdr:clientData/>
  </xdr:twoCellAnchor>
  <xdr:twoCellAnchor editAs="oneCell">
    <xdr:from>
      <xdr:col>7</xdr:col>
      <xdr:colOff>560160</xdr:colOff>
      <xdr:row>15</xdr:row>
      <xdr:rowOff>25920</xdr:rowOff>
    </xdr:from>
    <xdr:to>
      <xdr:col>8</xdr:col>
      <xdr:colOff>79560</xdr:colOff>
      <xdr:row>16</xdr:row>
      <xdr:rowOff>91800</xdr:rowOff>
    </xdr:to>
    <xdr:sp>
      <xdr:nvSpPr>
        <xdr:cNvPr id="25" name="CustomShape 1"/>
        <xdr:cNvSpPr/>
      </xdr:nvSpPr>
      <xdr:spPr>
        <a:xfrm>
          <a:off x="4894560" y="3332160"/>
          <a:ext cx="356400" cy="24480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C1</a:t>
          </a:r>
          <a:endParaRPr/>
        </a:p>
      </xdr:txBody>
    </xdr:sp>
    <xdr:clientData/>
  </xdr:twoCellAnchor>
  <xdr:twoCellAnchor editAs="oneCell">
    <xdr:from>
      <xdr:col>10</xdr:col>
      <xdr:colOff>382680</xdr:colOff>
      <xdr:row>7</xdr:row>
      <xdr:rowOff>99720</xdr:rowOff>
    </xdr:from>
    <xdr:to>
      <xdr:col>11</xdr:col>
      <xdr:colOff>128160</xdr:colOff>
      <xdr:row>8</xdr:row>
      <xdr:rowOff>148680</xdr:rowOff>
    </xdr:to>
    <xdr:sp>
      <xdr:nvSpPr>
        <xdr:cNvPr id="26" name="CustomShape 1"/>
        <xdr:cNvSpPr/>
      </xdr:nvSpPr>
      <xdr:spPr>
        <a:xfrm>
          <a:off x="7075440" y="1873800"/>
          <a:ext cx="390600" cy="227880"/>
        </a:xfrm>
        <a:prstGeom prst="rect">
          <a:avLst/>
        </a:prstGeom>
        <a:noFill/>
        <a:ln w="9360">
          <a:noFill/>
        </a:ln>
      </xdr:spPr>
      <xdr:txBody>
        <a:bodyPr lIns="27360" rIns="0" tIns="27360" bIns="0"/>
        <a:p>
          <a:pPr algn="r">
            <a:lnSpc>
              <a:spcPct val="100000"/>
            </a:lnSpc>
          </a:pPr>
          <a:r>
            <a:rPr lang="en-GB" sz="1000">
              <a:solidFill>
                <a:srgbClr val="000000"/>
              </a:solidFill>
              <a:latin typeface="Arial"/>
            </a:rPr>
            <a:t>C</a:t>
          </a:r>
          <a:r>
            <a:rPr lang="en-GB" sz="1000" baseline="-25000">
              <a:solidFill>
                <a:srgbClr val="000000"/>
              </a:solidFill>
              <a:latin typeface="Arial"/>
            </a:rPr>
            <a:t>CS</a:t>
          </a:r>
          <a:endParaRPr/>
        </a:p>
      </xdr:txBody>
    </xdr:sp>
    <xdr:clientData/>
  </xdr:twoCellAnchor>
  <xdr:twoCellAnchor editAs="oneCell">
    <xdr:from>
      <xdr:col>14</xdr:col>
      <xdr:colOff>93240</xdr:colOff>
      <xdr:row>22</xdr:row>
      <xdr:rowOff>109800</xdr:rowOff>
    </xdr:from>
    <xdr:to>
      <xdr:col>14</xdr:col>
      <xdr:colOff>506520</xdr:colOff>
      <xdr:row>24</xdr:row>
      <xdr:rowOff>6480</xdr:rowOff>
    </xdr:to>
    <xdr:sp>
      <xdr:nvSpPr>
        <xdr:cNvPr id="27" name="CustomShape 1"/>
        <xdr:cNvSpPr/>
      </xdr:nvSpPr>
      <xdr:spPr>
        <a:xfrm>
          <a:off x="9597600" y="4745880"/>
          <a:ext cx="413280" cy="25452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4.7μF</a:t>
          </a:r>
          <a:endParaRPr/>
        </a:p>
      </xdr:txBody>
    </xdr:sp>
    <xdr:clientData/>
  </xdr:twoCellAnchor>
  <xdr:twoCellAnchor editAs="oneCell">
    <xdr:from>
      <xdr:col>8</xdr:col>
      <xdr:colOff>82800</xdr:colOff>
      <xdr:row>16</xdr:row>
      <xdr:rowOff>33480</xdr:rowOff>
    </xdr:from>
    <xdr:to>
      <xdr:col>8</xdr:col>
      <xdr:colOff>585360</xdr:colOff>
      <xdr:row>17</xdr:row>
      <xdr:rowOff>76680</xdr:rowOff>
    </xdr:to>
    <xdr:sp>
      <xdr:nvSpPr>
        <xdr:cNvPr id="28" name="CustomShape 1"/>
        <xdr:cNvSpPr/>
      </xdr:nvSpPr>
      <xdr:spPr>
        <a:xfrm>
          <a:off x="5254200" y="3518640"/>
          <a:ext cx="502560" cy="222480"/>
        </a:xfrm>
        <a:prstGeom prst="rect">
          <a:avLst/>
        </a:prstGeom>
        <a:noFill/>
        <a:ln w="9360">
          <a:noFill/>
        </a:ln>
      </xdr:spPr>
      <xdr:txBody>
        <a:bodyPr lIns="27360" rIns="0" tIns="23040" bIns="0"/>
        <a:p>
          <a:pPr algn="r">
            <a:lnSpc>
              <a:spcPct val="100000"/>
            </a:lnSpc>
          </a:pPr>
          <a:r>
            <a:rPr lang="en-GB" sz="1000">
              <a:solidFill>
                <a:srgbClr val="000000"/>
              </a:solidFill>
              <a:latin typeface="Arial"/>
            </a:rPr>
            <a:t>4700pF</a:t>
          </a:r>
          <a:endParaRPr/>
        </a:p>
      </xdr:txBody>
    </xdr:sp>
    <xdr:clientData/>
  </xdr:twoCellAnchor>
  <xdr:twoCellAnchor editAs="oneCell">
    <xdr:from>
      <xdr:col>7</xdr:col>
      <xdr:colOff>582840</xdr:colOff>
      <xdr:row>20</xdr:row>
      <xdr:rowOff>70920</xdr:rowOff>
    </xdr:from>
    <xdr:to>
      <xdr:col>8</xdr:col>
      <xdr:colOff>250200</xdr:colOff>
      <xdr:row>21</xdr:row>
      <xdr:rowOff>101880</xdr:rowOff>
    </xdr:to>
    <xdr:sp>
      <xdr:nvSpPr>
        <xdr:cNvPr id="29" name="CustomShape 1"/>
        <xdr:cNvSpPr/>
      </xdr:nvSpPr>
      <xdr:spPr>
        <a:xfrm>
          <a:off x="4917240" y="4348800"/>
          <a:ext cx="504360" cy="209880"/>
        </a:xfrm>
        <a:prstGeom prst="rect">
          <a:avLst/>
        </a:prstGeom>
        <a:noFill/>
        <a:ln w="9360">
          <a:noFill/>
        </a:ln>
      </xdr:spPr>
      <xdr:txBody>
        <a:bodyPr lIns="27360" rIns="0" tIns="23040" bIns="0"/>
        <a:p>
          <a:pPr>
            <a:lnSpc>
              <a:spcPct val="100000"/>
            </a:lnSpc>
          </a:pPr>
          <a:r>
            <a:rPr lang="en-GB" sz="1000">
              <a:solidFill>
                <a:srgbClr val="000000"/>
              </a:solidFill>
              <a:latin typeface="Arial"/>
            </a:rPr>
            <a:t>220pF</a:t>
          </a:r>
          <a:endParaRPr/>
        </a:p>
      </xdr:txBody>
    </xdr:sp>
    <xdr:clientData/>
  </xdr:twoCellAnchor>
  <xdr:twoCellAnchor editAs="oneCell">
    <xdr:from>
      <xdr:col>7</xdr:col>
      <xdr:colOff>419400</xdr:colOff>
      <xdr:row>16</xdr:row>
      <xdr:rowOff>63720</xdr:rowOff>
    </xdr:from>
    <xdr:to>
      <xdr:col>8</xdr:col>
      <xdr:colOff>139320</xdr:colOff>
      <xdr:row>17</xdr:row>
      <xdr:rowOff>97920</xdr:rowOff>
    </xdr:to>
    <xdr:sp>
      <xdr:nvSpPr>
        <xdr:cNvPr id="30" name="CustomShape 1"/>
        <xdr:cNvSpPr/>
      </xdr:nvSpPr>
      <xdr:spPr>
        <a:xfrm>
          <a:off x="4753800" y="3548880"/>
          <a:ext cx="556920" cy="213480"/>
        </a:xfrm>
        <a:prstGeom prst="rect">
          <a:avLst/>
        </a:prstGeom>
        <a:noFill/>
        <a:ln w="9360">
          <a:noFill/>
        </a:ln>
      </xdr:spPr>
      <xdr:txBody>
        <a:bodyPr lIns="27360" rIns="0" tIns="23040" bIns="0"/>
        <a:p>
          <a:pPr algn="ctr">
            <a:lnSpc>
              <a:spcPct val="100000"/>
            </a:lnSpc>
          </a:pPr>
          <a:r>
            <a:rPr lang="en-GB" sz="1000">
              <a:solidFill>
                <a:srgbClr val="000000"/>
              </a:solidFill>
              <a:latin typeface="Arial"/>
            </a:rPr>
            <a:t>4.64kΩ</a:t>
          </a:r>
          <a:endParaRPr/>
        </a:p>
      </xdr:txBody>
    </xdr:sp>
    <xdr:clientData/>
  </xdr:twoCellAnchor>
  <xdr:twoCellAnchor editAs="oneCell">
    <xdr:from>
      <xdr:col>6</xdr:col>
      <xdr:colOff>293040</xdr:colOff>
      <xdr:row>22</xdr:row>
      <xdr:rowOff>62640</xdr:rowOff>
    </xdr:from>
    <xdr:to>
      <xdr:col>7</xdr:col>
      <xdr:colOff>281520</xdr:colOff>
      <xdr:row>23</xdr:row>
      <xdr:rowOff>105840</xdr:rowOff>
    </xdr:to>
    <xdr:sp>
      <xdr:nvSpPr>
        <xdr:cNvPr id="31" name="CustomShape 1"/>
        <xdr:cNvSpPr/>
      </xdr:nvSpPr>
      <xdr:spPr>
        <a:xfrm>
          <a:off x="3982320" y="4698720"/>
          <a:ext cx="633600" cy="222120"/>
        </a:xfrm>
        <a:prstGeom prst="rect">
          <a:avLst/>
        </a:prstGeom>
        <a:noFill/>
        <a:ln w="9360">
          <a:noFill/>
        </a:ln>
      </xdr:spPr>
      <xdr:txBody>
        <a:bodyPr lIns="27360" rIns="0" tIns="23040" bIns="0"/>
        <a:p>
          <a:pPr algn="r">
            <a:lnSpc>
              <a:spcPct val="100000"/>
            </a:lnSpc>
          </a:pPr>
          <a:r>
            <a:rPr lang="en-GB" sz="1000">
              <a:solidFill>
                <a:srgbClr val="000000"/>
              </a:solidFill>
              <a:latin typeface="Arial"/>
            </a:rPr>
            <a:t>10kΩ</a:t>
          </a:r>
          <a:endParaRPr/>
        </a:p>
      </xdr:txBody>
    </xdr:sp>
    <xdr:clientData/>
  </xdr:twoCellAnchor>
  <xdr:twoCellAnchor editAs="oneCell">
    <xdr:from>
      <xdr:col>6</xdr:col>
      <xdr:colOff>180720</xdr:colOff>
      <xdr:row>11</xdr:row>
      <xdr:rowOff>33480</xdr:rowOff>
    </xdr:from>
    <xdr:to>
      <xdr:col>6</xdr:col>
      <xdr:colOff>578880</xdr:colOff>
      <xdr:row>12</xdr:row>
      <xdr:rowOff>122400</xdr:rowOff>
    </xdr:to>
    <xdr:sp>
      <xdr:nvSpPr>
        <xdr:cNvPr id="32" name="CustomShape 1"/>
        <xdr:cNvSpPr/>
      </xdr:nvSpPr>
      <xdr:spPr>
        <a:xfrm>
          <a:off x="3870000" y="2547360"/>
          <a:ext cx="398160" cy="267840"/>
        </a:xfrm>
        <a:prstGeom prst="rect">
          <a:avLst/>
        </a:prstGeom>
        <a:noFill/>
        <a:ln w="9360">
          <a:noFill/>
        </a:ln>
      </xdr:spPr>
      <xdr:txBody>
        <a:bodyPr lIns="27360" rIns="0" tIns="23040" bIns="0"/>
        <a:p>
          <a:pPr algn="r">
            <a:lnSpc>
              <a:spcPct val="100000"/>
            </a:lnSpc>
          </a:pPr>
          <a:r>
            <a:rPr lang="en-GB" sz="1000">
              <a:solidFill>
                <a:srgbClr val="000000"/>
              </a:solidFill>
              <a:latin typeface="Arial"/>
            </a:rPr>
            <a:t>75Ω</a:t>
          </a:r>
          <a:endParaRPr/>
        </a:p>
      </xdr:txBody>
    </xdr:sp>
    <xdr:clientData/>
  </xdr:twoCellAnchor>
  <xdr:twoCellAnchor editAs="oneCell">
    <xdr:from>
      <xdr:col>6</xdr:col>
      <xdr:colOff>127440</xdr:colOff>
      <xdr:row>13</xdr:row>
      <xdr:rowOff>109080</xdr:rowOff>
    </xdr:from>
    <xdr:to>
      <xdr:col>6</xdr:col>
      <xdr:colOff>609840</xdr:colOff>
      <xdr:row>14</xdr:row>
      <xdr:rowOff>122400</xdr:rowOff>
    </xdr:to>
    <xdr:sp>
      <xdr:nvSpPr>
        <xdr:cNvPr id="33" name="CustomShape 1"/>
        <xdr:cNvSpPr/>
      </xdr:nvSpPr>
      <xdr:spPr>
        <a:xfrm>
          <a:off x="3816720" y="3057120"/>
          <a:ext cx="482400" cy="192600"/>
        </a:xfrm>
        <a:prstGeom prst="rect">
          <a:avLst/>
        </a:prstGeom>
        <a:noFill/>
        <a:ln w="9360">
          <a:noFill/>
        </a:ln>
      </xdr:spPr>
      <xdr:txBody>
        <a:bodyPr lIns="27360" rIns="0" tIns="23040" bIns="0"/>
        <a:p>
          <a:pPr algn="r">
            <a:lnSpc>
              <a:spcPct val="100000"/>
            </a:lnSpc>
          </a:pPr>
          <a:r>
            <a:rPr lang="en-GB" sz="1000">
              <a:solidFill>
                <a:srgbClr val="000000"/>
              </a:solidFill>
              <a:latin typeface="Arial"/>
            </a:rPr>
            <a:t>1500pF</a:t>
          </a:r>
          <a:endParaRPr/>
        </a:p>
      </xdr:txBody>
    </xdr:sp>
    <xdr:clientData/>
  </xdr:twoCellAnchor>
  <xdr:twoCellAnchor editAs="oneCell">
    <xdr:from>
      <xdr:col>16</xdr:col>
      <xdr:colOff>1609560</xdr:colOff>
      <xdr:row>19</xdr:row>
      <xdr:rowOff>56160</xdr:rowOff>
    </xdr:from>
    <xdr:to>
      <xdr:col>16</xdr:col>
      <xdr:colOff>2109960</xdr:colOff>
      <xdr:row>20</xdr:row>
      <xdr:rowOff>12960</xdr:rowOff>
    </xdr:to>
    <xdr:sp>
      <xdr:nvSpPr>
        <xdr:cNvPr id="34" name="CustomShape 1"/>
        <xdr:cNvSpPr/>
      </xdr:nvSpPr>
      <xdr:spPr>
        <a:xfrm>
          <a:off x="12474720" y="4078800"/>
          <a:ext cx="500400" cy="212040"/>
        </a:xfrm>
        <a:prstGeom prst="rect">
          <a:avLst/>
        </a:prstGeom>
        <a:noFill/>
        <a:ln w="9360">
          <a:noFill/>
        </a:ln>
      </xdr:spPr>
      <xdr:txBody>
        <a:bodyPr lIns="27360" rIns="0" tIns="23040" bIns="0" anchor="ctr"/>
        <a:p>
          <a:pPr>
            <a:lnSpc>
              <a:spcPct val="100000"/>
            </a:lnSpc>
          </a:pPr>
          <a:r>
            <a:rPr lang="en-GB" sz="1000">
              <a:solidFill>
                <a:srgbClr val="000000"/>
              </a:solidFill>
              <a:latin typeface="Arial"/>
            </a:rPr>
            <a:t>220µF</a:t>
          </a:r>
          <a:endParaRPr/>
        </a:p>
      </xdr:txBody>
    </xdr:sp>
    <xdr:clientData/>
  </xdr:twoCellAnchor>
  <xdr:twoCellAnchor editAs="oneCell">
    <xdr:from>
      <xdr:col>7</xdr:col>
      <xdr:colOff>511920</xdr:colOff>
      <xdr:row>11</xdr:row>
      <xdr:rowOff>112320</xdr:rowOff>
    </xdr:from>
    <xdr:to>
      <xdr:col>8</xdr:col>
      <xdr:colOff>245880</xdr:colOff>
      <xdr:row>12</xdr:row>
      <xdr:rowOff>238320</xdr:rowOff>
    </xdr:to>
    <xdr:sp>
      <xdr:nvSpPr>
        <xdr:cNvPr id="35" name="CustomShape 1"/>
        <xdr:cNvSpPr/>
      </xdr:nvSpPr>
      <xdr:spPr>
        <a:xfrm>
          <a:off x="4846320" y="2626200"/>
          <a:ext cx="570960" cy="304920"/>
        </a:xfrm>
        <a:prstGeom prst="rect">
          <a:avLst/>
        </a:prstGeom>
        <a:noFill/>
        <a:ln w="9360">
          <a:noFill/>
        </a:ln>
      </xdr:spPr>
      <xdr:txBody>
        <a:bodyPr lIns="27360" rIns="0" tIns="23040" bIns="0" anchor="ctr"/>
        <a:p>
          <a:pPr>
            <a:lnSpc>
              <a:spcPct val="100000"/>
            </a:lnSpc>
          </a:pPr>
          <a:r>
            <a:rPr lang="en-GB" sz="1000">
              <a:solidFill>
                <a:srgbClr val="000000"/>
              </a:solidFill>
              <a:latin typeface="Arial"/>
            </a:rPr>
            <a:t>10kΩ</a:t>
          </a:r>
          <a:endParaRPr/>
        </a:p>
      </xdr:txBody>
    </xdr:sp>
    <xdr:clientData/>
  </xdr:twoCellAnchor>
  <xdr:twoCellAnchor editAs="oneCell">
    <xdr:from>
      <xdr:col>16</xdr:col>
      <xdr:colOff>217800</xdr:colOff>
      <xdr:row>11</xdr:row>
      <xdr:rowOff>173520</xdr:rowOff>
    </xdr:from>
    <xdr:to>
      <xdr:col>16</xdr:col>
      <xdr:colOff>663480</xdr:colOff>
      <xdr:row>12</xdr:row>
      <xdr:rowOff>229680</xdr:rowOff>
    </xdr:to>
    <xdr:sp>
      <xdr:nvSpPr>
        <xdr:cNvPr id="36" name="CustomShape 1"/>
        <xdr:cNvSpPr/>
      </xdr:nvSpPr>
      <xdr:spPr>
        <a:xfrm>
          <a:off x="11082960" y="2687400"/>
          <a:ext cx="445680" cy="235080"/>
        </a:xfrm>
        <a:prstGeom prst="rect">
          <a:avLst/>
        </a:prstGeom>
        <a:noFill/>
        <a:ln w="9360">
          <a:noFill/>
        </a:ln>
      </xdr:spPr>
      <xdr:txBody>
        <a:bodyPr lIns="27360" rIns="0" tIns="23040" bIns="0" anchor="ctr"/>
        <a:p>
          <a:pPr algn="r">
            <a:lnSpc>
              <a:spcPct val="100000"/>
            </a:lnSpc>
          </a:pPr>
          <a:r>
            <a:rPr lang="en-GB" sz="1000">
              <a:solidFill>
                <a:srgbClr val="000000"/>
              </a:solidFill>
              <a:latin typeface="Arial"/>
            </a:rPr>
            <a:t>4.53kΩ</a:t>
          </a:r>
          <a:endParaRPr/>
        </a:p>
      </xdr:txBody>
    </xdr:sp>
    <xdr:clientData/>
  </xdr:twoCellAnchor>
  <xdr:twoCellAnchor editAs="oneCell">
    <xdr:from>
      <xdr:col>16</xdr:col>
      <xdr:colOff>1564200</xdr:colOff>
      <xdr:row>9</xdr:row>
      <xdr:rowOff>158760</xdr:rowOff>
    </xdr:from>
    <xdr:to>
      <xdr:col>16</xdr:col>
      <xdr:colOff>2135880</xdr:colOff>
      <xdr:row>11</xdr:row>
      <xdr:rowOff>720</xdr:rowOff>
    </xdr:to>
    <xdr:sp>
      <xdr:nvSpPr>
        <xdr:cNvPr id="37" name="CustomShape 1"/>
        <xdr:cNvSpPr/>
      </xdr:nvSpPr>
      <xdr:spPr>
        <a:xfrm>
          <a:off x="12429360" y="2291040"/>
          <a:ext cx="571680" cy="223560"/>
        </a:xfrm>
        <a:prstGeom prst="rect">
          <a:avLst/>
        </a:prstGeom>
        <a:noFill/>
        <a:ln w="9360">
          <a:noFill/>
        </a:ln>
      </xdr:spPr>
      <xdr:txBody>
        <a:bodyPr lIns="27360" rIns="0" tIns="23040" bIns="0"/>
        <a:p>
          <a:pPr>
            <a:lnSpc>
              <a:spcPct val="100000"/>
            </a:lnSpc>
          </a:pPr>
          <a:r>
            <a:rPr lang="en-GB" sz="1000">
              <a:solidFill>
                <a:srgbClr val="000000"/>
              </a:solidFill>
              <a:latin typeface="Arial"/>
            </a:rPr>
            <a:t>3.09kΩ</a:t>
          </a:r>
          <a:endParaRPr/>
        </a:p>
      </xdr:txBody>
    </xdr:sp>
    <xdr:clientData/>
  </xdr:twoCellAnchor>
  <xdr:twoCellAnchor editAs="oneCell">
    <xdr:from>
      <xdr:col>16</xdr:col>
      <xdr:colOff>896760</xdr:colOff>
      <xdr:row>11</xdr:row>
      <xdr:rowOff>147600</xdr:rowOff>
    </xdr:from>
    <xdr:to>
      <xdr:col>16</xdr:col>
      <xdr:colOff>1373040</xdr:colOff>
      <xdr:row>12</xdr:row>
      <xdr:rowOff>227160</xdr:rowOff>
    </xdr:to>
    <xdr:sp>
      <xdr:nvSpPr>
        <xdr:cNvPr id="38" name="CustomShape 1"/>
        <xdr:cNvSpPr/>
      </xdr:nvSpPr>
      <xdr:spPr>
        <a:xfrm>
          <a:off x="11761920" y="2661480"/>
          <a:ext cx="476280" cy="258480"/>
        </a:xfrm>
        <a:prstGeom prst="rect">
          <a:avLst/>
        </a:prstGeom>
        <a:noFill/>
        <a:ln w="9360">
          <a:noFill/>
        </a:ln>
      </xdr:spPr>
      <xdr:txBody>
        <a:bodyPr lIns="27360" rIns="0" tIns="23040" bIns="0"/>
        <a:p>
          <a:pPr algn="ctr">
            <a:lnSpc>
              <a:spcPct val="100000"/>
            </a:lnSpc>
          </a:pPr>
          <a:r>
            <a:rPr lang="en-GB" sz="1000">
              <a:solidFill>
                <a:srgbClr val="000000"/>
              </a:solidFill>
              <a:latin typeface="Arial"/>
            </a:rPr>
            <a:t>0.22µF</a:t>
          </a:r>
          <a:endParaRPr/>
        </a:p>
      </xdr:txBody>
    </xdr:sp>
    <xdr:clientData/>
  </xdr:twoCellAnchor>
  <xdr:twoCellAnchor editAs="oneCell">
    <xdr:from>
      <xdr:col>15</xdr:col>
      <xdr:colOff>671040</xdr:colOff>
      <xdr:row>16</xdr:row>
      <xdr:rowOff>153360</xdr:rowOff>
    </xdr:from>
    <xdr:to>
      <xdr:col>16</xdr:col>
      <xdr:colOff>445680</xdr:colOff>
      <xdr:row>18</xdr:row>
      <xdr:rowOff>43920</xdr:rowOff>
    </xdr:to>
    <xdr:sp>
      <xdr:nvSpPr>
        <xdr:cNvPr id="39" name="CustomShape 1"/>
        <xdr:cNvSpPr/>
      </xdr:nvSpPr>
      <xdr:spPr>
        <a:xfrm>
          <a:off x="10820880" y="3638520"/>
          <a:ext cx="489960" cy="248760"/>
        </a:xfrm>
        <a:prstGeom prst="rect">
          <a:avLst/>
        </a:prstGeom>
        <a:noFill/>
        <a:ln w="9360">
          <a:noFill/>
        </a:ln>
      </xdr:spPr>
      <xdr:txBody>
        <a:bodyPr lIns="27360" rIns="0" tIns="23040" bIns="0" anchor="ctr"/>
        <a:p>
          <a:pPr algn="r">
            <a:lnSpc>
              <a:spcPct val="100000"/>
            </a:lnSpc>
          </a:pPr>
          <a:r>
            <a:rPr lang="en-GB" sz="1000">
              <a:solidFill>
                <a:srgbClr val="000000"/>
              </a:solidFill>
              <a:latin typeface="Arial"/>
            </a:rPr>
            <a:t>1µH</a:t>
          </a:r>
          <a:endParaRPr/>
        </a:p>
      </xdr:txBody>
    </xdr:sp>
    <xdr:clientData/>
  </xdr:twoCellAnchor>
  <xdr:twoCellAnchor editAs="oneCell">
    <xdr:from>
      <xdr:col>15</xdr:col>
      <xdr:colOff>359280</xdr:colOff>
      <xdr:row>18</xdr:row>
      <xdr:rowOff>129240</xdr:rowOff>
    </xdr:from>
    <xdr:to>
      <xdr:col>16</xdr:col>
      <xdr:colOff>155160</xdr:colOff>
      <xdr:row>19</xdr:row>
      <xdr:rowOff>179640</xdr:rowOff>
    </xdr:to>
    <xdr:sp>
      <xdr:nvSpPr>
        <xdr:cNvPr id="40" name="CustomShape 1"/>
        <xdr:cNvSpPr/>
      </xdr:nvSpPr>
      <xdr:spPr>
        <a:xfrm>
          <a:off x="10509120" y="3972600"/>
          <a:ext cx="511200" cy="229680"/>
        </a:xfrm>
        <a:prstGeom prst="rect">
          <a:avLst/>
        </a:prstGeom>
        <a:noFill/>
        <a:ln w="9360">
          <a:noFill/>
        </a:ln>
      </xdr:spPr>
      <xdr:txBody>
        <a:bodyPr lIns="27360" rIns="0" tIns="23040" bIns="0" anchor="ctr"/>
        <a:p>
          <a:pPr>
            <a:lnSpc>
              <a:spcPct val="100000"/>
            </a:lnSpc>
          </a:pPr>
          <a:r>
            <a:rPr lang="en-GB" sz="1000">
              <a:solidFill>
                <a:srgbClr val="000000"/>
              </a:solidFill>
              <a:latin typeface="Arial"/>
            </a:rPr>
            <a:t>30µF</a:t>
          </a:r>
          <a:endParaRPr/>
        </a:p>
      </xdr:txBody>
    </xdr:sp>
    <xdr:clientData/>
  </xdr:twoCellAnchor>
  <xdr:twoCellAnchor editAs="oneCell">
    <xdr:from>
      <xdr:col>13</xdr:col>
      <xdr:colOff>516960</xdr:colOff>
      <xdr:row>31</xdr:row>
      <xdr:rowOff>9360</xdr:rowOff>
    </xdr:from>
    <xdr:to>
      <xdr:col>14</xdr:col>
      <xdr:colOff>277200</xdr:colOff>
      <xdr:row>32</xdr:row>
      <xdr:rowOff>64080</xdr:rowOff>
    </xdr:to>
    <xdr:sp>
      <xdr:nvSpPr>
        <xdr:cNvPr id="41" name="CustomShape 1"/>
        <xdr:cNvSpPr/>
      </xdr:nvSpPr>
      <xdr:spPr>
        <a:xfrm>
          <a:off x="9376200" y="6325560"/>
          <a:ext cx="405360" cy="233640"/>
        </a:xfrm>
        <a:prstGeom prst="rect">
          <a:avLst/>
        </a:prstGeom>
        <a:noFill/>
        <a:ln w="9360">
          <a:noFill/>
        </a:ln>
      </xdr:spPr>
      <xdr:txBody>
        <a:bodyPr lIns="27360" rIns="0" tIns="23040" bIns="0"/>
        <a:p>
          <a:pPr>
            <a:lnSpc>
              <a:spcPct val="100000"/>
            </a:lnSpc>
          </a:pPr>
          <a:r>
            <a:rPr lang="en-GB" sz="1000">
              <a:solidFill>
                <a:srgbClr val="000000"/>
              </a:solidFill>
              <a:latin typeface="Arial"/>
            </a:rPr>
            <a:t>2.2Ω</a:t>
          </a:r>
          <a:endParaRPr/>
        </a:p>
      </xdr:txBody>
    </xdr:sp>
    <xdr:clientData/>
  </xdr:twoCellAnchor>
  <xdr:twoCellAnchor editAs="oneCell">
    <xdr:from>
      <xdr:col>12</xdr:col>
      <xdr:colOff>393480</xdr:colOff>
      <xdr:row>31</xdr:row>
      <xdr:rowOff>65880</xdr:rowOff>
    </xdr:from>
    <xdr:to>
      <xdr:col>13</xdr:col>
      <xdr:colOff>107640</xdr:colOff>
      <xdr:row>32</xdr:row>
      <xdr:rowOff>135360</xdr:rowOff>
    </xdr:to>
    <xdr:sp>
      <xdr:nvSpPr>
        <xdr:cNvPr id="42" name="CustomShape 1"/>
        <xdr:cNvSpPr/>
      </xdr:nvSpPr>
      <xdr:spPr>
        <a:xfrm>
          <a:off x="8607600" y="6382080"/>
          <a:ext cx="359280" cy="248400"/>
        </a:xfrm>
        <a:prstGeom prst="rect">
          <a:avLst/>
        </a:prstGeom>
        <a:noFill/>
        <a:ln w="9360">
          <a:noFill/>
        </a:ln>
      </xdr:spPr>
      <xdr:txBody>
        <a:bodyPr lIns="27360" rIns="0" tIns="23040" bIns="0" anchor="ctr"/>
        <a:p>
          <a:pPr algn="ctr">
            <a:lnSpc>
              <a:spcPct val="100000"/>
            </a:lnSpc>
          </a:pPr>
          <a:r>
            <a:rPr lang="en-GB" sz="1000">
              <a:solidFill>
                <a:srgbClr val="000000"/>
              </a:solidFill>
              <a:latin typeface="Arial"/>
            </a:rPr>
            <a:t>1µF</a:t>
          </a:r>
          <a:endParaRPr/>
        </a:p>
      </xdr:txBody>
    </xdr:sp>
    <xdr:clientData/>
  </xdr:twoCellAnchor>
  <xdr:twoCellAnchor editAs="oneCell">
    <xdr:from>
      <xdr:col>13</xdr:col>
      <xdr:colOff>567000</xdr:colOff>
      <xdr:row>12</xdr:row>
      <xdr:rowOff>233280</xdr:rowOff>
    </xdr:from>
    <xdr:to>
      <xdr:col>14</xdr:col>
      <xdr:colOff>325080</xdr:colOff>
      <xdr:row>14</xdr:row>
      <xdr:rowOff>47520</xdr:rowOff>
    </xdr:to>
    <xdr:sp>
      <xdr:nvSpPr>
        <xdr:cNvPr id="43" name="CustomShape 1"/>
        <xdr:cNvSpPr/>
      </xdr:nvSpPr>
      <xdr:spPr>
        <a:xfrm>
          <a:off x="9426240" y="2926080"/>
          <a:ext cx="403200" cy="248760"/>
        </a:xfrm>
        <a:prstGeom prst="rect">
          <a:avLst/>
        </a:prstGeom>
        <a:noFill/>
        <a:ln w="9360">
          <a:noFill/>
        </a:ln>
      </xdr:spPr>
      <xdr:txBody>
        <a:bodyPr lIns="27360" rIns="0" tIns="27360" bIns="0" anchor="ctr"/>
        <a:p>
          <a:pPr algn="ctr">
            <a:lnSpc>
              <a:spcPct val="100000"/>
            </a:lnSpc>
          </a:pPr>
          <a:r>
            <a:rPr lang="en-GB" sz="1000">
              <a:latin typeface="Arial"/>
            </a:rPr>
            <a:t>0.1μF</a:t>
          </a:r>
          <a:endParaRPr/>
        </a:p>
      </xdr:txBody>
    </xdr:sp>
    <xdr:clientData/>
  </xdr:twoCellAnchor>
  <xdr:twoCellAnchor editAs="oneCell">
    <xdr:from>
      <xdr:col>8</xdr:col>
      <xdr:colOff>505800</xdr:colOff>
      <xdr:row>11</xdr:row>
      <xdr:rowOff>49320</xdr:rowOff>
    </xdr:from>
    <xdr:to>
      <xdr:col>9</xdr:col>
      <xdr:colOff>252000</xdr:colOff>
      <xdr:row>12</xdr:row>
      <xdr:rowOff>110880</xdr:rowOff>
    </xdr:to>
    <xdr:sp>
      <xdr:nvSpPr>
        <xdr:cNvPr id="44" name="CustomShape 1"/>
        <xdr:cNvSpPr/>
      </xdr:nvSpPr>
      <xdr:spPr>
        <a:xfrm>
          <a:off x="5677200" y="2563200"/>
          <a:ext cx="391320" cy="240480"/>
        </a:xfrm>
        <a:prstGeom prst="rect">
          <a:avLst/>
        </a:prstGeom>
        <a:noFill/>
        <a:ln w="9360">
          <a:noFill/>
        </a:ln>
      </xdr:spPr>
      <xdr:txBody>
        <a:bodyPr lIns="27360" rIns="0" tIns="23040" bIns="0"/>
        <a:p>
          <a:pPr>
            <a:lnSpc>
              <a:spcPct val="100000"/>
            </a:lnSpc>
          </a:pPr>
          <a:r>
            <a:rPr lang="en-GB" sz="1000">
              <a:solidFill>
                <a:srgbClr val="000000"/>
              </a:solidFill>
              <a:latin typeface="Arial"/>
            </a:rPr>
            <a:t>47nF</a:t>
          </a:r>
          <a:endParaRPr/>
        </a:p>
      </xdr:txBody>
    </xdr:sp>
    <xdr:clientData/>
  </xdr:twoCellAnchor>
  <xdr:twoCellAnchor editAs="oneCell">
    <xdr:from>
      <xdr:col>15</xdr:col>
      <xdr:colOff>363600</xdr:colOff>
      <xdr:row>10</xdr:row>
      <xdr:rowOff>57960</xdr:rowOff>
    </xdr:from>
    <xdr:to>
      <xdr:col>16</xdr:col>
      <xdr:colOff>55080</xdr:colOff>
      <xdr:row>11</xdr:row>
      <xdr:rowOff>104400</xdr:rowOff>
    </xdr:to>
    <xdr:sp>
      <xdr:nvSpPr>
        <xdr:cNvPr id="45" name="CustomShape 1"/>
        <xdr:cNvSpPr/>
      </xdr:nvSpPr>
      <xdr:spPr>
        <a:xfrm>
          <a:off x="10513440" y="2369160"/>
          <a:ext cx="406800" cy="249120"/>
        </a:xfrm>
        <a:prstGeom prst="rect">
          <a:avLst/>
        </a:prstGeom>
        <a:noFill/>
        <a:ln w="9360">
          <a:noFill/>
        </a:ln>
      </xdr:spPr>
      <xdr:txBody>
        <a:bodyPr lIns="27360" rIns="0" tIns="23040" bIns="0"/>
        <a:p>
          <a:pPr>
            <a:lnSpc>
              <a:spcPct val="100000"/>
            </a:lnSpc>
          </a:pPr>
          <a:r>
            <a:rPr b="1" lang="en-GB" sz="1200">
              <a:solidFill>
                <a:srgbClr val="000000"/>
              </a:solidFill>
              <a:latin typeface="Arial"/>
            </a:rPr>
            <a:t>12V</a:t>
          </a:r>
          <a:endParaRPr/>
        </a:p>
      </xdr:txBody>
    </xdr:sp>
    <xdr:clientData/>
  </xdr:twoCellAnchor>
  <xdr:twoCellAnchor editAs="oneCell">
    <xdr:from>
      <xdr:col>16</xdr:col>
      <xdr:colOff>1832760</xdr:colOff>
      <xdr:row>16</xdr:row>
      <xdr:rowOff>157320</xdr:rowOff>
    </xdr:from>
    <xdr:to>
      <xdr:col>16</xdr:col>
      <xdr:colOff>2311200</xdr:colOff>
      <xdr:row>18</xdr:row>
      <xdr:rowOff>6480</xdr:rowOff>
    </xdr:to>
    <xdr:sp>
      <xdr:nvSpPr>
        <xdr:cNvPr id="46" name="CustomShape 1"/>
        <xdr:cNvSpPr/>
      </xdr:nvSpPr>
      <xdr:spPr>
        <a:xfrm>
          <a:off x="12697920" y="3642480"/>
          <a:ext cx="478440" cy="207360"/>
        </a:xfrm>
        <a:prstGeom prst="rect">
          <a:avLst/>
        </a:prstGeom>
        <a:noFill/>
        <a:ln w="9360">
          <a:noFill/>
        </a:ln>
      </xdr:spPr>
      <xdr:txBody>
        <a:bodyPr lIns="27360" rIns="0" tIns="23040" bIns="0"/>
        <a:p>
          <a:pPr algn="r">
            <a:lnSpc>
              <a:spcPct val="100000"/>
            </a:lnSpc>
          </a:pPr>
          <a:r>
            <a:rPr b="1" lang="en-GB" sz="1200">
              <a:solidFill>
                <a:srgbClr val="000000"/>
              </a:solidFill>
              <a:latin typeface="Arial"/>
            </a:rPr>
            <a:t>1.2V</a:t>
          </a:r>
          <a:endParaRPr/>
        </a:p>
      </xdr:txBody>
    </xdr:sp>
    <xdr:clientData/>
  </xdr:twoCellAnchor>
  <xdr:twoCellAnchor editAs="oneCell">
    <xdr:from>
      <xdr:col>16</xdr:col>
      <xdr:colOff>1798560</xdr:colOff>
      <xdr:row>17</xdr:row>
      <xdr:rowOff>173880</xdr:rowOff>
    </xdr:from>
    <xdr:to>
      <xdr:col>16</xdr:col>
      <xdr:colOff>2288520</xdr:colOff>
      <xdr:row>19</xdr:row>
      <xdr:rowOff>64080</xdr:rowOff>
    </xdr:to>
    <xdr:sp>
      <xdr:nvSpPr>
        <xdr:cNvPr id="47" name="CustomShape 1"/>
        <xdr:cNvSpPr/>
      </xdr:nvSpPr>
      <xdr:spPr>
        <a:xfrm>
          <a:off x="12663720" y="3838320"/>
          <a:ext cx="489960" cy="248400"/>
        </a:xfrm>
        <a:prstGeom prst="rect">
          <a:avLst/>
        </a:prstGeom>
        <a:noFill/>
        <a:ln w="9360">
          <a:noFill/>
        </a:ln>
      </xdr:spPr>
      <xdr:txBody>
        <a:bodyPr lIns="27360" rIns="0" tIns="23040" bIns="0"/>
        <a:p>
          <a:pPr algn="r">
            <a:lnSpc>
              <a:spcPct val="100000"/>
            </a:lnSpc>
          </a:pPr>
          <a:r>
            <a:rPr b="1" lang="en-GB" sz="1200">
              <a:solidFill>
                <a:srgbClr val="000000"/>
              </a:solidFill>
              <a:latin typeface="Arial"/>
            </a:rPr>
            <a:t>25A</a:t>
          </a:r>
          <a:endParaRPr/>
        </a:p>
      </xdr:txBody>
    </xdr:sp>
    <xdr:clientData/>
  </xdr:twoCellAnchor>
  <xdr:twoCellAnchor editAs="oneCell">
    <xdr:from>
      <xdr:col>10</xdr:col>
      <xdr:colOff>27000</xdr:colOff>
      <xdr:row>27</xdr:row>
      <xdr:rowOff>20880</xdr:rowOff>
    </xdr:from>
    <xdr:to>
      <xdr:col>10</xdr:col>
      <xdr:colOff>245880</xdr:colOff>
      <xdr:row>27</xdr:row>
      <xdr:rowOff>21240</xdr:rowOff>
    </xdr:to>
    <xdr:sp>
      <xdr:nvSpPr>
        <xdr:cNvPr id="48" name="CustomShape 1"/>
        <xdr:cNvSpPr/>
      </xdr:nvSpPr>
      <xdr:spPr>
        <a:xfrm>
          <a:off x="6719760" y="5620680"/>
          <a:ext cx="218880" cy="360"/>
        </a:xfrm>
        <a:prstGeom prst="rect">
          <a:avLst/>
        </a:prstGeom>
        <a:noFill/>
        <a:ln w="9360">
          <a:noFill/>
        </a:ln>
      </xdr:spPr>
      <xdr:txBody>
        <a:bodyPr lIns="27360" rIns="0" tIns="23040" bIns="0"/>
        <a:p>
          <a:pPr>
            <a:lnSpc>
              <a:spcPct val="100000"/>
            </a:lnSpc>
          </a:pPr>
          <a:r>
            <a:rPr lang="en-GB" sz="1000">
              <a:solidFill>
                <a:srgbClr val="000000"/>
              </a:solidFill>
              <a:latin typeface="Calibri"/>
            </a:rPr>
            <a:t>13</a:t>
          </a:r>
          <a:endParaRPr/>
        </a:p>
      </xdr:txBody>
    </xdr:sp>
    <xdr:clientData/>
  </xdr:twoCellAnchor>
  <xdr:twoCellAnchor editAs="oneCell">
    <xdr:from>
      <xdr:col>7</xdr:col>
      <xdr:colOff>704160</xdr:colOff>
      <xdr:row>21</xdr:row>
      <xdr:rowOff>91440</xdr:rowOff>
    </xdr:from>
    <xdr:to>
      <xdr:col>8</xdr:col>
      <xdr:colOff>297000</xdr:colOff>
      <xdr:row>22</xdr:row>
      <xdr:rowOff>152640</xdr:rowOff>
    </xdr:to>
    <xdr:sp>
      <xdr:nvSpPr>
        <xdr:cNvPr id="49" name="CustomShape 1"/>
        <xdr:cNvSpPr/>
      </xdr:nvSpPr>
      <xdr:spPr>
        <a:xfrm>
          <a:off x="5038560" y="4548240"/>
          <a:ext cx="429840" cy="24048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FADJ</a:t>
          </a:r>
          <a:endParaRPr/>
        </a:p>
      </xdr:txBody>
    </xdr:sp>
    <xdr:clientData/>
  </xdr:twoCellAnchor>
  <xdr:twoCellAnchor editAs="oneCell">
    <xdr:from>
      <xdr:col>7</xdr:col>
      <xdr:colOff>531360</xdr:colOff>
      <xdr:row>22</xdr:row>
      <xdr:rowOff>117000</xdr:rowOff>
    </xdr:from>
    <xdr:to>
      <xdr:col>8</xdr:col>
      <xdr:colOff>273240</xdr:colOff>
      <xdr:row>23</xdr:row>
      <xdr:rowOff>171000</xdr:rowOff>
    </xdr:to>
    <xdr:sp>
      <xdr:nvSpPr>
        <xdr:cNvPr id="50" name="CustomShape 1"/>
        <xdr:cNvSpPr/>
      </xdr:nvSpPr>
      <xdr:spPr>
        <a:xfrm>
          <a:off x="4865760" y="4753080"/>
          <a:ext cx="578880" cy="232920"/>
        </a:xfrm>
        <a:prstGeom prst="rect">
          <a:avLst/>
        </a:prstGeom>
        <a:noFill/>
        <a:ln w="9360">
          <a:noFill/>
        </a:ln>
      </xdr:spPr>
      <xdr:txBody>
        <a:bodyPr lIns="27360" rIns="0" tIns="23040" bIns="0"/>
        <a:p>
          <a:pPr algn="r">
            <a:lnSpc>
              <a:spcPct val="100000"/>
            </a:lnSpc>
          </a:pPr>
          <a:r>
            <a:rPr lang="en-GB" sz="1000">
              <a:solidFill>
                <a:srgbClr val="000000"/>
              </a:solidFill>
              <a:latin typeface="Arial"/>
            </a:rPr>
            <a:t>47.5kΩ</a:t>
          </a:r>
          <a:endParaRPr/>
        </a:p>
      </xdr:txBody>
    </xdr:sp>
    <xdr:clientData/>
  </xdr:twoCellAnchor>
  <xdr:twoCellAnchor editAs="oneCell">
    <xdr:from>
      <xdr:col>13</xdr:col>
      <xdr:colOff>561240</xdr:colOff>
      <xdr:row>11</xdr:row>
      <xdr:rowOff>157680</xdr:rowOff>
    </xdr:from>
    <xdr:to>
      <xdr:col>14</xdr:col>
      <xdr:colOff>339840</xdr:colOff>
      <xdr:row>12</xdr:row>
      <xdr:rowOff>207000</xdr:rowOff>
    </xdr:to>
    <xdr:sp>
      <xdr:nvSpPr>
        <xdr:cNvPr id="51" name="CustomShape 1"/>
        <xdr:cNvSpPr/>
      </xdr:nvSpPr>
      <xdr:spPr>
        <a:xfrm>
          <a:off x="9420480" y="2671560"/>
          <a:ext cx="423720" cy="228240"/>
        </a:xfrm>
        <a:prstGeom prst="rect">
          <a:avLst/>
        </a:prstGeom>
        <a:noFill/>
        <a:ln w="9360">
          <a:noFill/>
        </a:ln>
      </xdr:spPr>
      <xdr:txBody>
        <a:bodyPr lIns="27360" rIns="0" tIns="27360" bIns="0" anchor="ctr"/>
        <a:p>
          <a:pPr algn="ctr">
            <a:lnSpc>
              <a:spcPct val="100000"/>
            </a:lnSpc>
          </a:pPr>
          <a:r>
            <a:rPr lang="en-GB" sz="1000">
              <a:solidFill>
                <a:srgbClr val="000000"/>
              </a:solidFill>
              <a:latin typeface="Arial"/>
            </a:rPr>
            <a:t>C</a:t>
          </a:r>
          <a:r>
            <a:rPr lang="en-GB" sz="1000" baseline="-25000">
              <a:solidFill>
                <a:srgbClr val="000000"/>
              </a:solidFill>
              <a:latin typeface="Arial"/>
            </a:rPr>
            <a:t>BOOT</a:t>
          </a:r>
          <a:endParaRPr/>
        </a:p>
      </xdr:txBody>
    </xdr:sp>
    <xdr:clientData/>
  </xdr:twoCellAnchor>
  <xdr:twoCellAnchor editAs="oneCell">
    <xdr:from>
      <xdr:col>11</xdr:col>
      <xdr:colOff>276480</xdr:colOff>
      <xdr:row>30</xdr:row>
      <xdr:rowOff>59040</xdr:rowOff>
    </xdr:from>
    <xdr:to>
      <xdr:col>11</xdr:col>
      <xdr:colOff>657720</xdr:colOff>
      <xdr:row>31</xdr:row>
      <xdr:rowOff>121680</xdr:rowOff>
    </xdr:to>
    <xdr:sp>
      <xdr:nvSpPr>
        <xdr:cNvPr id="52" name="CustomShape 1"/>
        <xdr:cNvSpPr/>
      </xdr:nvSpPr>
      <xdr:spPr>
        <a:xfrm>
          <a:off x="7614360" y="6195960"/>
          <a:ext cx="381240" cy="24192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OTP</a:t>
          </a:r>
          <a:endParaRPr/>
        </a:p>
      </xdr:txBody>
    </xdr:sp>
    <xdr:clientData/>
  </xdr:twoCellAnchor>
  <xdr:twoCellAnchor editAs="oneCell">
    <xdr:from>
      <xdr:col>9</xdr:col>
      <xdr:colOff>846720</xdr:colOff>
      <xdr:row>30</xdr:row>
      <xdr:rowOff>39600</xdr:rowOff>
    </xdr:from>
    <xdr:to>
      <xdr:col>10</xdr:col>
      <xdr:colOff>382680</xdr:colOff>
      <xdr:row>31</xdr:row>
      <xdr:rowOff>102240</xdr:rowOff>
    </xdr:to>
    <xdr:sp>
      <xdr:nvSpPr>
        <xdr:cNvPr id="53" name="CustomShape 1"/>
        <xdr:cNvSpPr/>
      </xdr:nvSpPr>
      <xdr:spPr>
        <a:xfrm>
          <a:off x="6663240" y="6176520"/>
          <a:ext cx="412200" cy="24192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OTP</a:t>
          </a:r>
          <a:endParaRPr/>
        </a:p>
      </xdr:txBody>
    </xdr:sp>
    <xdr:clientData/>
  </xdr:twoCellAnchor>
  <xdr:twoCellAnchor editAs="oneCell">
    <xdr:from>
      <xdr:col>9</xdr:col>
      <xdr:colOff>834480</xdr:colOff>
      <xdr:row>31</xdr:row>
      <xdr:rowOff>102960</xdr:rowOff>
    </xdr:from>
    <xdr:to>
      <xdr:col>10</xdr:col>
      <xdr:colOff>399960</xdr:colOff>
      <xdr:row>33</xdr:row>
      <xdr:rowOff>8280</xdr:rowOff>
    </xdr:to>
    <xdr:sp>
      <xdr:nvSpPr>
        <xdr:cNvPr id="54" name="CustomShape 1"/>
        <xdr:cNvSpPr/>
      </xdr:nvSpPr>
      <xdr:spPr>
        <a:xfrm>
          <a:off x="6651000" y="6419160"/>
          <a:ext cx="441720" cy="263520"/>
        </a:xfrm>
        <a:prstGeom prst="rect">
          <a:avLst/>
        </a:prstGeom>
        <a:noFill/>
        <a:ln w="9360">
          <a:noFill/>
        </a:ln>
      </xdr:spPr>
      <xdr:txBody>
        <a:bodyPr lIns="27360" rIns="0" tIns="27360" bIns="0"/>
        <a:p>
          <a:pPr>
            <a:lnSpc>
              <a:spcPct val="100000"/>
            </a:lnSpc>
          </a:pPr>
          <a:r>
            <a:rPr lang="en-GB" sz="1000">
              <a:latin typeface="Arial"/>
            </a:rPr>
            <a:t>0.1μF</a:t>
          </a:r>
          <a:endParaRPr/>
        </a:p>
      </xdr:txBody>
    </xdr:sp>
    <xdr:clientData/>
  </xdr:twoCellAnchor>
  <xdr:twoCellAnchor editAs="oneCell">
    <xdr:from>
      <xdr:col>11</xdr:col>
      <xdr:colOff>257400</xdr:colOff>
      <xdr:row>31</xdr:row>
      <xdr:rowOff>74160</xdr:rowOff>
    </xdr:from>
    <xdr:to>
      <xdr:col>12</xdr:col>
      <xdr:colOff>33480</xdr:colOff>
      <xdr:row>32</xdr:row>
      <xdr:rowOff>175680</xdr:rowOff>
    </xdr:to>
    <xdr:sp>
      <xdr:nvSpPr>
        <xdr:cNvPr id="55" name="CustomShape 1"/>
        <xdr:cNvSpPr/>
      </xdr:nvSpPr>
      <xdr:spPr>
        <a:xfrm>
          <a:off x="7595280" y="6390360"/>
          <a:ext cx="652320" cy="280440"/>
        </a:xfrm>
        <a:prstGeom prst="rect">
          <a:avLst/>
        </a:prstGeom>
        <a:noFill/>
        <a:ln w="9360">
          <a:noFill/>
        </a:ln>
      </xdr:spPr>
      <xdr:txBody>
        <a:bodyPr lIns="27360" rIns="0" tIns="23040" bIns="0" anchor="ctr"/>
        <a:p>
          <a:pPr>
            <a:lnSpc>
              <a:spcPct val="100000"/>
            </a:lnSpc>
          </a:pPr>
          <a:r>
            <a:rPr lang="en-GB" sz="1000">
              <a:solidFill>
                <a:srgbClr val="000000"/>
              </a:solidFill>
              <a:latin typeface="Arial"/>
            </a:rPr>
            <a:t>84.5kΩ</a:t>
          </a:r>
          <a:endParaRPr/>
        </a:p>
      </xdr:txBody>
    </xdr:sp>
    <xdr:clientData/>
  </xdr:twoCellAnchor>
  <xdr:twoCellAnchor editAs="oneCell">
    <xdr:from>
      <xdr:col>16</xdr:col>
      <xdr:colOff>70920</xdr:colOff>
      <xdr:row>9</xdr:row>
      <xdr:rowOff>128520</xdr:rowOff>
    </xdr:from>
    <xdr:to>
      <xdr:col>16</xdr:col>
      <xdr:colOff>662400</xdr:colOff>
      <xdr:row>10</xdr:row>
      <xdr:rowOff>167760</xdr:rowOff>
    </xdr:to>
    <xdr:sp>
      <xdr:nvSpPr>
        <xdr:cNvPr id="56" name="CustomShape 1"/>
        <xdr:cNvSpPr/>
      </xdr:nvSpPr>
      <xdr:spPr>
        <a:xfrm>
          <a:off x="10936080" y="2260800"/>
          <a:ext cx="591480" cy="218160"/>
        </a:xfrm>
        <a:prstGeom prst="rect">
          <a:avLst/>
        </a:prstGeom>
        <a:noFill/>
        <a:ln w="9360">
          <a:noFill/>
        </a:ln>
      </xdr:spPr>
      <xdr:txBody>
        <a:bodyPr lIns="27360" rIns="0" tIns="23040" bIns="0"/>
        <a:p>
          <a:pPr algn="r">
            <a:lnSpc>
              <a:spcPct val="100000"/>
            </a:lnSpc>
          </a:pPr>
          <a:r>
            <a:rPr lang="en-GB" sz="1000">
              <a:solidFill>
                <a:srgbClr val="000000"/>
              </a:solidFill>
              <a:latin typeface="Arial"/>
            </a:rPr>
            <a:t>3.09kΩ</a:t>
          </a:r>
          <a:endParaRPr/>
        </a:p>
      </xdr:txBody>
    </xdr:sp>
    <xdr:clientData/>
  </xdr:twoCellAnchor>
  <xdr:twoCellAnchor editAs="oneCell">
    <xdr:from>
      <xdr:col>14</xdr:col>
      <xdr:colOff>607680</xdr:colOff>
      <xdr:row>18</xdr:row>
      <xdr:rowOff>98280</xdr:rowOff>
    </xdr:from>
    <xdr:to>
      <xdr:col>15</xdr:col>
      <xdr:colOff>321480</xdr:colOff>
      <xdr:row>19</xdr:row>
      <xdr:rowOff>216720</xdr:rowOff>
    </xdr:to>
    <xdr:sp>
      <xdr:nvSpPr>
        <xdr:cNvPr id="57" name="CustomShape 1"/>
        <xdr:cNvSpPr/>
      </xdr:nvSpPr>
      <xdr:spPr>
        <a:xfrm>
          <a:off x="10112040" y="3941640"/>
          <a:ext cx="359280" cy="297720"/>
        </a:xfrm>
        <a:prstGeom prst="rect">
          <a:avLst/>
        </a:prstGeom>
        <a:noFill/>
        <a:ln w="9360">
          <a:noFill/>
        </a:ln>
      </xdr:spPr>
      <xdr:txBody>
        <a:bodyPr lIns="27360" rIns="0" tIns="27360" bIns="0"/>
        <a:p>
          <a:pPr>
            <a:lnSpc>
              <a:spcPct val="100000"/>
            </a:lnSpc>
          </a:pPr>
          <a:r>
            <a:rPr lang="en-GB" sz="1000">
              <a:solidFill>
                <a:srgbClr val="000000"/>
              </a:solidFill>
              <a:latin typeface="Arial"/>
            </a:rPr>
            <a:t>Q</a:t>
          </a:r>
          <a:r>
            <a:rPr lang="en-GB" sz="1000" baseline="-25000">
              <a:solidFill>
                <a:srgbClr val="000000"/>
              </a:solidFill>
              <a:latin typeface="Arial"/>
            </a:rPr>
            <a:t>2</a:t>
          </a:r>
          <a:endParaRPr/>
        </a:p>
      </xdr:txBody>
    </xdr:sp>
    <xdr:clientData/>
  </xdr:twoCellAnchor>
  <xdr:twoCellAnchor editAs="oneCell">
    <xdr:from>
      <xdr:col>14</xdr:col>
      <xdr:colOff>606600</xdr:colOff>
      <xdr:row>13</xdr:row>
      <xdr:rowOff>11880</xdr:rowOff>
    </xdr:from>
    <xdr:to>
      <xdr:col>15</xdr:col>
      <xdr:colOff>320400</xdr:colOff>
      <xdr:row>14</xdr:row>
      <xdr:rowOff>103320</xdr:rowOff>
    </xdr:to>
    <xdr:sp>
      <xdr:nvSpPr>
        <xdr:cNvPr id="58" name="CustomShape 1"/>
        <xdr:cNvSpPr/>
      </xdr:nvSpPr>
      <xdr:spPr>
        <a:xfrm>
          <a:off x="10110960" y="2959920"/>
          <a:ext cx="359280" cy="270720"/>
        </a:xfrm>
        <a:prstGeom prst="rect">
          <a:avLst/>
        </a:prstGeom>
        <a:noFill/>
        <a:ln w="9360">
          <a:noFill/>
        </a:ln>
      </xdr:spPr>
      <xdr:txBody>
        <a:bodyPr lIns="27360" rIns="0" tIns="27360" bIns="0"/>
        <a:p>
          <a:pPr>
            <a:lnSpc>
              <a:spcPct val="100000"/>
            </a:lnSpc>
          </a:pPr>
          <a:r>
            <a:rPr lang="en-GB" sz="1000">
              <a:solidFill>
                <a:srgbClr val="000000"/>
              </a:solidFill>
              <a:latin typeface="Arial"/>
            </a:rPr>
            <a:t>Q</a:t>
          </a:r>
          <a:r>
            <a:rPr lang="en-GB" sz="1000" baseline="-25000">
              <a:solidFill>
                <a:srgbClr val="000000"/>
              </a:solidFill>
              <a:latin typeface="Arial"/>
            </a:rPr>
            <a:t>1</a:t>
          </a:r>
          <a:endParaRPr/>
        </a:p>
      </xdr:txBody>
    </xdr:sp>
    <xdr:clientData/>
  </xdr:twoCellAnchor>
  <xdr:twoCellAnchor editAs="oneCell">
    <xdr:from>
      <xdr:col>8</xdr:col>
      <xdr:colOff>109440</xdr:colOff>
      <xdr:row>31</xdr:row>
      <xdr:rowOff>125640</xdr:rowOff>
    </xdr:from>
    <xdr:to>
      <xdr:col>9</xdr:col>
      <xdr:colOff>55080</xdr:colOff>
      <xdr:row>32</xdr:row>
      <xdr:rowOff>176760</xdr:rowOff>
    </xdr:to>
    <xdr:sp>
      <xdr:nvSpPr>
        <xdr:cNvPr id="59" name="CustomShape 1"/>
        <xdr:cNvSpPr/>
      </xdr:nvSpPr>
      <xdr:spPr>
        <a:xfrm>
          <a:off x="5280840" y="6441840"/>
          <a:ext cx="590760" cy="230040"/>
        </a:xfrm>
        <a:prstGeom prst="rect">
          <a:avLst/>
        </a:prstGeom>
        <a:noFill/>
        <a:ln w="9360">
          <a:noFill/>
        </a:ln>
      </xdr:spPr>
      <xdr:txBody>
        <a:bodyPr lIns="27360" rIns="0" tIns="23040" bIns="0"/>
        <a:p>
          <a:pPr algn="r">
            <a:lnSpc>
              <a:spcPct val="100000"/>
            </a:lnSpc>
          </a:pPr>
          <a:r>
            <a:rPr lang="en-GB" sz="1000">
              <a:solidFill>
                <a:srgbClr val="000000"/>
              </a:solidFill>
              <a:latin typeface="Arialri"/>
            </a:rPr>
            <a:t>11.3kΩ</a:t>
          </a:r>
          <a:endParaRPr/>
        </a:p>
      </xdr:txBody>
    </xdr:sp>
    <xdr:clientData/>
  </xdr:twoCellAnchor>
  <xdr:twoCellAnchor editAs="oneCell">
    <xdr:from>
      <xdr:col>8</xdr:col>
      <xdr:colOff>344880</xdr:colOff>
      <xdr:row>30</xdr:row>
      <xdr:rowOff>94680</xdr:rowOff>
    </xdr:from>
    <xdr:to>
      <xdr:col>9</xdr:col>
      <xdr:colOff>138960</xdr:colOff>
      <xdr:row>31</xdr:row>
      <xdr:rowOff>124560</xdr:rowOff>
    </xdr:to>
    <xdr:sp>
      <xdr:nvSpPr>
        <xdr:cNvPr id="60" name="CustomShape 1"/>
        <xdr:cNvSpPr/>
      </xdr:nvSpPr>
      <xdr:spPr>
        <a:xfrm>
          <a:off x="5516280" y="6231600"/>
          <a:ext cx="439200" cy="20916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UV2</a:t>
          </a:r>
          <a:endParaRPr/>
        </a:p>
      </xdr:txBody>
    </xdr:sp>
    <xdr:clientData/>
  </xdr:twoCellAnchor>
  <xdr:twoCellAnchor editAs="oneCell">
    <xdr:from>
      <xdr:col>8</xdr:col>
      <xdr:colOff>123480</xdr:colOff>
      <xdr:row>27</xdr:row>
      <xdr:rowOff>157680</xdr:rowOff>
    </xdr:from>
    <xdr:to>
      <xdr:col>9</xdr:col>
      <xdr:colOff>69120</xdr:colOff>
      <xdr:row>29</xdr:row>
      <xdr:rowOff>23400</xdr:rowOff>
    </xdr:to>
    <xdr:sp>
      <xdr:nvSpPr>
        <xdr:cNvPr id="61" name="CustomShape 1"/>
        <xdr:cNvSpPr/>
      </xdr:nvSpPr>
      <xdr:spPr>
        <a:xfrm>
          <a:off x="5294880" y="5757480"/>
          <a:ext cx="590760" cy="223920"/>
        </a:xfrm>
        <a:prstGeom prst="rect">
          <a:avLst/>
        </a:prstGeom>
        <a:noFill/>
        <a:ln w="9360">
          <a:noFill/>
        </a:ln>
      </xdr:spPr>
      <xdr:txBody>
        <a:bodyPr lIns="27360" rIns="0" tIns="23040" bIns="0"/>
        <a:p>
          <a:pPr algn="r">
            <a:lnSpc>
              <a:spcPct val="100000"/>
            </a:lnSpc>
          </a:pPr>
          <a:r>
            <a:rPr lang="en-GB" sz="1000">
              <a:solidFill>
                <a:srgbClr val="000000"/>
              </a:solidFill>
              <a:latin typeface="Arialri"/>
            </a:rPr>
            <a:t>78.7kΩ</a:t>
          </a:r>
          <a:endParaRPr/>
        </a:p>
      </xdr:txBody>
    </xdr:sp>
    <xdr:clientData/>
  </xdr:twoCellAnchor>
  <xdr:twoCellAnchor editAs="oneCell">
    <xdr:from>
      <xdr:col>8</xdr:col>
      <xdr:colOff>254520</xdr:colOff>
      <xdr:row>26</xdr:row>
      <xdr:rowOff>198720</xdr:rowOff>
    </xdr:from>
    <xdr:to>
      <xdr:col>9</xdr:col>
      <xdr:colOff>48600</xdr:colOff>
      <xdr:row>27</xdr:row>
      <xdr:rowOff>157320</xdr:rowOff>
    </xdr:to>
    <xdr:sp>
      <xdr:nvSpPr>
        <xdr:cNvPr id="62" name="CustomShape 1"/>
        <xdr:cNvSpPr/>
      </xdr:nvSpPr>
      <xdr:spPr>
        <a:xfrm>
          <a:off x="5425920" y="5550840"/>
          <a:ext cx="439200" cy="206280"/>
        </a:xfrm>
        <a:prstGeom prst="rect">
          <a:avLst/>
        </a:prstGeom>
        <a:noFill/>
        <a:ln w="9360">
          <a:noFill/>
        </a:ln>
      </xdr:spPr>
      <xdr:txBody>
        <a:bodyPr lIns="27360" rIns="0" tIns="27360" bIns="0"/>
        <a:p>
          <a:pPr algn="r">
            <a:lnSpc>
              <a:spcPct val="100000"/>
            </a:lnSpc>
          </a:pPr>
          <a:r>
            <a:rPr lang="en-GB" sz="1000">
              <a:solidFill>
                <a:srgbClr val="000000"/>
              </a:solidFill>
              <a:latin typeface="Arial"/>
            </a:rPr>
            <a:t>R</a:t>
          </a:r>
          <a:r>
            <a:rPr lang="en-GB" sz="1000" baseline="-25000">
              <a:solidFill>
                <a:srgbClr val="000000"/>
              </a:solidFill>
              <a:latin typeface="Arial"/>
            </a:rPr>
            <a:t>UV1</a:t>
          </a:r>
          <a:endParaRPr/>
        </a:p>
      </xdr:txBody>
    </xdr:sp>
    <xdr:clientData/>
  </xdr:twoCellAnchor>
  <xdr:twoCellAnchor editAs="oneCell">
    <xdr:from>
      <xdr:col>15</xdr:col>
      <xdr:colOff>613080</xdr:colOff>
      <xdr:row>17</xdr:row>
      <xdr:rowOff>152280</xdr:rowOff>
    </xdr:from>
    <xdr:to>
      <xdr:col>16</xdr:col>
      <xdr:colOff>449640</xdr:colOff>
      <xdr:row>19</xdr:row>
      <xdr:rowOff>54360</xdr:rowOff>
    </xdr:to>
    <xdr:sp>
      <xdr:nvSpPr>
        <xdr:cNvPr id="63" name="CustomShape 1"/>
        <xdr:cNvSpPr/>
      </xdr:nvSpPr>
      <xdr:spPr>
        <a:xfrm>
          <a:off x="10762920" y="3816720"/>
          <a:ext cx="551880" cy="260280"/>
        </a:xfrm>
        <a:prstGeom prst="rect">
          <a:avLst/>
        </a:prstGeom>
        <a:noFill/>
        <a:ln w="9360">
          <a:noFill/>
        </a:ln>
      </xdr:spPr>
      <xdr:txBody>
        <a:bodyPr lIns="27360" rIns="0" tIns="23040" bIns="0" anchor="ctr"/>
        <a:p>
          <a:pPr algn="r">
            <a:lnSpc>
              <a:spcPct val="100000"/>
            </a:lnSpc>
          </a:pPr>
          <a:r>
            <a:rPr lang="en-GB" sz="1000">
              <a:solidFill>
                <a:srgbClr val="000000"/>
              </a:solidFill>
              <a:latin typeface="Arialri"/>
            </a:rPr>
            <a:t>1.1mΩ</a:t>
          </a:r>
          <a:endParaRPr/>
        </a:p>
      </xdr:txBody>
    </xdr:sp>
    <xdr:clientData/>
  </xdr:twoCellAnchor>
  <xdr:twoCellAnchor editAs="oneCell">
    <xdr:from>
      <xdr:col>12</xdr:col>
      <xdr:colOff>360360</xdr:colOff>
      <xdr:row>26</xdr:row>
      <xdr:rowOff>200520</xdr:rowOff>
    </xdr:from>
    <xdr:to>
      <xdr:col>13</xdr:col>
      <xdr:colOff>231120</xdr:colOff>
      <xdr:row>28</xdr:row>
      <xdr:rowOff>4680</xdr:rowOff>
    </xdr:to>
    <xdr:sp>
      <xdr:nvSpPr>
        <xdr:cNvPr id="64" name="CustomShape 1"/>
        <xdr:cNvSpPr/>
      </xdr:nvSpPr>
      <xdr:spPr>
        <a:xfrm>
          <a:off x="8574480" y="5552640"/>
          <a:ext cx="515880" cy="23112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PGOOD</a:t>
          </a:r>
          <a:endParaRPr/>
        </a:p>
      </xdr:txBody>
    </xdr:sp>
    <xdr:clientData/>
  </xdr:twoCellAnchor>
  <xdr:twoCellAnchor editAs="oneCell">
    <xdr:from>
      <xdr:col>12</xdr:col>
      <xdr:colOff>437400</xdr:colOff>
      <xdr:row>27</xdr:row>
      <xdr:rowOff>130320</xdr:rowOff>
    </xdr:from>
    <xdr:to>
      <xdr:col>13</xdr:col>
      <xdr:colOff>429120</xdr:colOff>
      <xdr:row>29</xdr:row>
      <xdr:rowOff>26280</xdr:rowOff>
    </xdr:to>
    <xdr:sp>
      <xdr:nvSpPr>
        <xdr:cNvPr id="65" name="CustomShape 1"/>
        <xdr:cNvSpPr/>
      </xdr:nvSpPr>
      <xdr:spPr>
        <a:xfrm>
          <a:off x="8651520" y="5730120"/>
          <a:ext cx="636840" cy="254160"/>
        </a:xfrm>
        <a:prstGeom prst="rect">
          <a:avLst/>
        </a:prstGeom>
        <a:noFill/>
        <a:ln w="9360">
          <a:noFill/>
        </a:ln>
      </xdr:spPr>
      <xdr:txBody>
        <a:bodyPr lIns="27360" rIns="0" tIns="23040" bIns="0" anchor="ctr"/>
        <a:p>
          <a:pPr>
            <a:lnSpc>
              <a:spcPct val="100000"/>
            </a:lnSpc>
          </a:pPr>
          <a:r>
            <a:rPr lang="en-GB" sz="1000">
              <a:solidFill>
                <a:srgbClr val="000000"/>
              </a:solidFill>
              <a:latin typeface="Arialri"/>
            </a:rPr>
            <a:t>20kΩ</a:t>
          </a:r>
          <a:endParaRPr/>
        </a:p>
      </xdr:txBody>
    </xdr:sp>
    <xdr:clientData/>
  </xdr:twoCellAnchor>
  <xdr:twoCellAnchor editAs="oneCell">
    <xdr:from>
      <xdr:col>10</xdr:col>
      <xdr:colOff>625320</xdr:colOff>
      <xdr:row>26</xdr:row>
      <xdr:rowOff>238680</xdr:rowOff>
    </xdr:from>
    <xdr:to>
      <xdr:col>11</xdr:col>
      <xdr:colOff>376560</xdr:colOff>
      <xdr:row>28</xdr:row>
      <xdr:rowOff>52560</xdr:rowOff>
    </xdr:to>
    <xdr:sp>
      <xdr:nvSpPr>
        <xdr:cNvPr id="66" name="CustomShape 1"/>
        <xdr:cNvSpPr/>
      </xdr:nvSpPr>
      <xdr:spPr>
        <a:xfrm>
          <a:off x="7318080" y="5590800"/>
          <a:ext cx="396360" cy="24084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D</a:t>
          </a:r>
          <a:endParaRPr/>
        </a:p>
      </xdr:txBody>
    </xdr:sp>
    <xdr:clientData/>
  </xdr:twoCellAnchor>
  <xdr:twoCellAnchor editAs="oneCell">
    <xdr:from>
      <xdr:col>10</xdr:col>
      <xdr:colOff>608040</xdr:colOff>
      <xdr:row>28</xdr:row>
      <xdr:rowOff>2520</xdr:rowOff>
    </xdr:from>
    <xdr:to>
      <xdr:col>11</xdr:col>
      <xdr:colOff>378360</xdr:colOff>
      <xdr:row>29</xdr:row>
      <xdr:rowOff>66600</xdr:rowOff>
    </xdr:to>
    <xdr:sp>
      <xdr:nvSpPr>
        <xdr:cNvPr id="67" name="CustomShape 1"/>
        <xdr:cNvSpPr/>
      </xdr:nvSpPr>
      <xdr:spPr>
        <a:xfrm>
          <a:off x="7300800" y="5781600"/>
          <a:ext cx="415440" cy="243000"/>
        </a:xfrm>
        <a:prstGeom prst="rect">
          <a:avLst/>
        </a:prstGeom>
        <a:noFill/>
        <a:ln w="9360">
          <a:noFill/>
        </a:ln>
      </xdr:spPr>
      <xdr:txBody>
        <a:bodyPr lIns="27360" rIns="0" tIns="23040" bIns="0"/>
        <a:p>
          <a:pPr>
            <a:lnSpc>
              <a:spcPct val="100000"/>
            </a:lnSpc>
          </a:pPr>
          <a:r>
            <a:rPr lang="en-GB" sz="1000">
              <a:solidFill>
                <a:srgbClr val="000000"/>
              </a:solidFill>
              <a:latin typeface="Arialri"/>
            </a:rPr>
            <a:t>1nF</a:t>
          </a:r>
          <a:endParaRPr/>
        </a:p>
      </xdr:txBody>
    </xdr:sp>
    <xdr:clientData/>
  </xdr:twoCellAnchor>
  <xdr:twoCellAnchor editAs="oneCell">
    <xdr:from>
      <xdr:col>16</xdr:col>
      <xdr:colOff>169920</xdr:colOff>
      <xdr:row>68</xdr:row>
      <xdr:rowOff>133920</xdr:rowOff>
    </xdr:from>
    <xdr:to>
      <xdr:col>16</xdr:col>
      <xdr:colOff>2188800</xdr:colOff>
      <xdr:row>75</xdr:row>
      <xdr:rowOff>124200</xdr:rowOff>
    </xdr:to>
    <xdr:pic>
      <xdr:nvPicPr>
        <xdr:cNvPr id="68" name="Picture 72" descr=""/>
        <xdr:cNvPicPr/>
      </xdr:nvPicPr>
      <xdr:blipFill>
        <a:blip r:embed="rId4"/>
        <a:stretch>
          <a:fillRect/>
        </a:stretch>
      </xdr:blipFill>
      <xdr:spPr>
        <a:xfrm>
          <a:off x="11035080" y="13507560"/>
          <a:ext cx="2018880" cy="1304640"/>
        </a:xfrm>
        <a:prstGeom prst="rect">
          <a:avLst/>
        </a:prstGeom>
        <a:ln>
          <a:noFill/>
        </a:ln>
      </xdr:spPr>
    </xdr:pic>
    <xdr:clientData/>
  </xdr:twoCellAnchor>
  <xdr:twoCellAnchor editAs="oneCell">
    <xdr:from>
      <xdr:col>16</xdr:col>
      <xdr:colOff>141480</xdr:colOff>
      <xdr:row>0</xdr:row>
      <xdr:rowOff>57600</xdr:rowOff>
    </xdr:from>
    <xdr:to>
      <xdr:col>16</xdr:col>
      <xdr:colOff>1201680</xdr:colOff>
      <xdr:row>2</xdr:row>
      <xdr:rowOff>109440</xdr:rowOff>
    </xdr:to>
    <xdr:pic>
      <xdr:nvPicPr>
        <xdr:cNvPr id="69" name="Picture 77" descr=""/>
        <xdr:cNvPicPr/>
      </xdr:nvPicPr>
      <xdr:blipFill>
        <a:blip r:embed="rId5"/>
        <a:stretch>
          <a:fillRect/>
        </a:stretch>
      </xdr:blipFill>
      <xdr:spPr>
        <a:xfrm>
          <a:off x="11006640" y="57600"/>
          <a:ext cx="1060200" cy="830880"/>
        </a:xfrm>
        <a:prstGeom prst="rect">
          <a:avLst/>
        </a:prstGeom>
        <a:ln>
          <a:noFill/>
        </a:ln>
      </xdr:spPr>
    </xdr:pic>
    <xdr:clientData/>
  </xdr:twoCellAnchor>
  <xdr:twoCellAnchor editAs="oneCell">
    <xdr:from>
      <xdr:col>16</xdr:col>
      <xdr:colOff>1297440</xdr:colOff>
      <xdr:row>0</xdr:row>
      <xdr:rowOff>48600</xdr:rowOff>
    </xdr:from>
    <xdr:to>
      <xdr:col>17</xdr:col>
      <xdr:colOff>29520</xdr:colOff>
      <xdr:row>2</xdr:row>
      <xdr:rowOff>102600</xdr:rowOff>
    </xdr:to>
    <xdr:pic>
      <xdr:nvPicPr>
        <xdr:cNvPr id="70" name="Picture 78" descr=""/>
        <xdr:cNvPicPr/>
      </xdr:nvPicPr>
      <xdr:blipFill>
        <a:blip r:embed="rId6"/>
        <a:stretch>
          <a:fillRect/>
        </a:stretch>
      </xdr:blipFill>
      <xdr:spPr>
        <a:xfrm>
          <a:off x="12162600" y="48600"/>
          <a:ext cx="1191600" cy="833040"/>
        </a:xfrm>
        <a:prstGeom prst="rect">
          <a:avLst/>
        </a:prstGeom>
        <a:ln>
          <a:noFill/>
        </a:ln>
      </xdr:spPr>
    </xdr:pic>
    <xdr:clientData/>
  </xdr:twoCellAnchor>
  <xdr:twoCellAnchor editAs="oneCell">
    <xdr:from>
      <xdr:col>0</xdr:col>
      <xdr:colOff>112680</xdr:colOff>
      <xdr:row>0</xdr:row>
      <xdr:rowOff>19440</xdr:rowOff>
    </xdr:from>
    <xdr:to>
      <xdr:col>3</xdr:col>
      <xdr:colOff>604800</xdr:colOff>
      <xdr:row>0</xdr:row>
      <xdr:rowOff>557640</xdr:rowOff>
    </xdr:to>
    <xdr:pic>
      <xdr:nvPicPr>
        <xdr:cNvPr id="71" name="Picture 79" descr=""/>
        <xdr:cNvPicPr/>
      </xdr:nvPicPr>
      <xdr:blipFill>
        <a:blip r:embed="rId7"/>
        <a:srcRect l="0" t="129333" r="0" b="218666"/>
        <a:stretch>
          <a:fillRect/>
        </a:stretch>
      </xdr:blipFill>
      <xdr:spPr>
        <a:xfrm>
          <a:off x="112680" y="19440"/>
          <a:ext cx="2387520" cy="5382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184680</xdr:colOff>
      <xdr:row>0</xdr:row>
      <xdr:rowOff>40680</xdr:rowOff>
    </xdr:from>
    <xdr:to>
      <xdr:col>9</xdr:col>
      <xdr:colOff>995040</xdr:colOff>
      <xdr:row>34</xdr:row>
      <xdr:rowOff>45360</xdr:rowOff>
    </xdr:to>
    <xdr:pic>
      <xdr:nvPicPr>
        <xdr:cNvPr id="72" name="Picture 89" descr=""/>
        <xdr:cNvPicPr/>
      </xdr:nvPicPr>
      <xdr:blipFill>
        <a:blip r:embed="rId1"/>
        <a:stretch>
          <a:fillRect/>
        </a:stretch>
      </xdr:blipFill>
      <xdr:spPr>
        <a:xfrm>
          <a:off x="184680" y="40680"/>
          <a:ext cx="10567080" cy="5509800"/>
        </a:xfrm>
        <a:prstGeom prst="rect">
          <a:avLst/>
        </a:prstGeom>
        <a:ln>
          <a:noFill/>
        </a:ln>
      </xdr:spPr>
    </xdr:pic>
    <xdr:clientData/>
  </xdr:twoCellAnchor>
  <xdr:twoCellAnchor editAs="oneCell">
    <xdr:from>
      <xdr:col>9</xdr:col>
      <xdr:colOff>594720</xdr:colOff>
      <xdr:row>11</xdr:row>
      <xdr:rowOff>50040</xdr:rowOff>
    </xdr:from>
    <xdr:to>
      <xdr:col>9</xdr:col>
      <xdr:colOff>1112760</xdr:colOff>
      <xdr:row>12</xdr:row>
      <xdr:rowOff>133560</xdr:rowOff>
    </xdr:to>
    <xdr:sp>
      <xdr:nvSpPr>
        <xdr:cNvPr id="73" name="CustomShape 1"/>
        <xdr:cNvSpPr/>
      </xdr:nvSpPr>
      <xdr:spPr>
        <a:xfrm>
          <a:off x="10351440" y="1830960"/>
          <a:ext cx="518040" cy="245520"/>
        </a:xfrm>
        <a:prstGeom prst="rect">
          <a:avLst/>
        </a:prstGeom>
        <a:noFill/>
        <a:ln w="9360">
          <a:noFill/>
        </a:ln>
      </xdr:spPr>
      <xdr:txBody>
        <a:bodyPr lIns="27360" rIns="0" tIns="23040" bIns="0"/>
        <a:p>
          <a:pPr>
            <a:lnSpc>
              <a:spcPct val="100000"/>
            </a:lnSpc>
          </a:pPr>
          <a:r>
            <a:rPr b="1" lang="en-GB" sz="1200">
              <a:solidFill>
                <a:srgbClr val="000000"/>
              </a:solidFill>
              <a:latin typeface="Arial"/>
            </a:rPr>
            <a:t>1.2V</a:t>
          </a:r>
          <a:endParaRPr/>
        </a:p>
      </xdr:txBody>
    </xdr:sp>
    <xdr:clientData/>
  </xdr:twoCellAnchor>
  <xdr:twoCellAnchor editAs="oneCell">
    <xdr:from>
      <xdr:col>9</xdr:col>
      <xdr:colOff>458640</xdr:colOff>
      <xdr:row>12</xdr:row>
      <xdr:rowOff>109080</xdr:rowOff>
    </xdr:from>
    <xdr:to>
      <xdr:col>9</xdr:col>
      <xdr:colOff>1055160</xdr:colOff>
      <xdr:row>14</xdr:row>
      <xdr:rowOff>21240</xdr:rowOff>
    </xdr:to>
    <xdr:sp>
      <xdr:nvSpPr>
        <xdr:cNvPr id="74" name="CustomShape 1"/>
        <xdr:cNvSpPr/>
      </xdr:nvSpPr>
      <xdr:spPr>
        <a:xfrm>
          <a:off x="10215360" y="2052000"/>
          <a:ext cx="596520" cy="236160"/>
        </a:xfrm>
        <a:prstGeom prst="rect">
          <a:avLst/>
        </a:prstGeom>
        <a:noFill/>
        <a:ln w="9360">
          <a:noFill/>
        </a:ln>
      </xdr:spPr>
      <xdr:txBody>
        <a:bodyPr lIns="27360" rIns="0" tIns="23040" bIns="0"/>
        <a:p>
          <a:pPr algn="ctr">
            <a:lnSpc>
              <a:spcPct val="100000"/>
            </a:lnSpc>
          </a:pPr>
          <a:r>
            <a:rPr b="1" lang="en-GB" sz="1200">
              <a:solidFill>
                <a:srgbClr val="000000"/>
              </a:solidFill>
              <a:latin typeface="Arial"/>
            </a:rPr>
            <a:t>25A</a:t>
          </a:r>
          <a:endParaRPr/>
        </a:p>
      </xdr:txBody>
    </xdr:sp>
    <xdr:clientData/>
  </xdr:twoCellAnchor>
  <xdr:twoCellAnchor editAs="oneCell">
    <xdr:from>
      <xdr:col>6</xdr:col>
      <xdr:colOff>597600</xdr:colOff>
      <xdr:row>15</xdr:row>
      <xdr:rowOff>108000</xdr:rowOff>
    </xdr:from>
    <xdr:to>
      <xdr:col>7</xdr:col>
      <xdr:colOff>355680</xdr:colOff>
      <xdr:row>16</xdr:row>
      <xdr:rowOff>159120</xdr:rowOff>
    </xdr:to>
    <xdr:sp>
      <xdr:nvSpPr>
        <xdr:cNvPr id="75" name="CustomShape 1"/>
        <xdr:cNvSpPr/>
      </xdr:nvSpPr>
      <xdr:spPr>
        <a:xfrm>
          <a:off x="7492320" y="2536560"/>
          <a:ext cx="443160" cy="213120"/>
        </a:xfrm>
        <a:prstGeom prst="rect">
          <a:avLst/>
        </a:prstGeom>
        <a:noFill/>
        <a:ln w="9360">
          <a:noFill/>
        </a:ln>
      </xdr:spPr>
      <xdr:txBody>
        <a:bodyPr lIns="27360" rIns="0" tIns="23040" bIns="0" anchor="ctr"/>
        <a:p>
          <a:pPr>
            <a:lnSpc>
              <a:spcPct val="100000"/>
            </a:lnSpc>
          </a:pPr>
          <a:r>
            <a:rPr lang="en-GB" sz="1000">
              <a:solidFill>
                <a:srgbClr val="000000"/>
              </a:solidFill>
              <a:latin typeface="Arialri"/>
            </a:rPr>
            <a:t>22µF</a:t>
          </a:r>
          <a:endParaRPr/>
        </a:p>
      </xdr:txBody>
    </xdr:sp>
    <xdr:clientData/>
  </xdr:twoCellAnchor>
  <xdr:twoCellAnchor editAs="oneCell">
    <xdr:from>
      <xdr:col>0</xdr:col>
      <xdr:colOff>416160</xdr:colOff>
      <xdr:row>7</xdr:row>
      <xdr:rowOff>128880</xdr:rowOff>
    </xdr:from>
    <xdr:to>
      <xdr:col>1</xdr:col>
      <xdr:colOff>95400</xdr:colOff>
      <xdr:row>9</xdr:row>
      <xdr:rowOff>16200</xdr:rowOff>
    </xdr:to>
    <xdr:sp>
      <xdr:nvSpPr>
        <xdr:cNvPr id="76" name="CustomShape 1"/>
        <xdr:cNvSpPr/>
      </xdr:nvSpPr>
      <xdr:spPr>
        <a:xfrm>
          <a:off x="416160" y="1262160"/>
          <a:ext cx="293760" cy="21132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C3</a:t>
          </a:r>
          <a:endParaRPr/>
        </a:p>
      </xdr:txBody>
    </xdr:sp>
    <xdr:clientData/>
  </xdr:twoCellAnchor>
  <xdr:twoCellAnchor editAs="oneCell">
    <xdr:from>
      <xdr:col>1</xdr:col>
      <xdr:colOff>669240</xdr:colOff>
      <xdr:row>5</xdr:row>
      <xdr:rowOff>35640</xdr:rowOff>
    </xdr:from>
    <xdr:to>
      <xdr:col>1</xdr:col>
      <xdr:colOff>988920</xdr:colOff>
      <xdr:row>6</xdr:row>
      <xdr:rowOff>76680</xdr:rowOff>
    </xdr:to>
    <xdr:sp>
      <xdr:nvSpPr>
        <xdr:cNvPr id="77" name="CustomShape 1"/>
        <xdr:cNvSpPr/>
      </xdr:nvSpPr>
      <xdr:spPr>
        <a:xfrm>
          <a:off x="1283760" y="844920"/>
          <a:ext cx="319680" cy="203040"/>
        </a:xfrm>
        <a:prstGeom prst="rect">
          <a:avLst/>
        </a:prstGeom>
        <a:noFill/>
        <a:ln w="9360">
          <a:noFill/>
        </a:ln>
      </xdr:spPr>
      <xdr:txBody>
        <a:bodyPr lIns="27360" rIns="0" tIns="27360" bIns="0" anchor="ctr"/>
        <a:p>
          <a:pPr algn="ctr">
            <a:lnSpc>
              <a:spcPct val="100000"/>
            </a:lnSpc>
          </a:pPr>
          <a:r>
            <a:rPr lang="en-GB" sz="1000">
              <a:solidFill>
                <a:srgbClr val="000000"/>
              </a:solidFill>
              <a:latin typeface="Arial"/>
            </a:rPr>
            <a:t>R</a:t>
          </a:r>
          <a:r>
            <a:rPr lang="en-GB" sz="1000" baseline="-25000">
              <a:solidFill>
                <a:srgbClr val="000000"/>
              </a:solidFill>
              <a:latin typeface="Arial"/>
            </a:rPr>
            <a:t>FB1</a:t>
          </a:r>
          <a:endParaRPr/>
        </a:p>
      </xdr:txBody>
    </xdr:sp>
    <xdr:clientData/>
  </xdr:twoCellAnchor>
  <xdr:twoCellAnchor editAs="oneCell">
    <xdr:from>
      <xdr:col>0</xdr:col>
      <xdr:colOff>446040</xdr:colOff>
      <xdr:row>4</xdr:row>
      <xdr:rowOff>126360</xdr:rowOff>
    </xdr:from>
    <xdr:to>
      <xdr:col>1</xdr:col>
      <xdr:colOff>131040</xdr:colOff>
      <xdr:row>6</xdr:row>
      <xdr:rowOff>43200</xdr:rowOff>
    </xdr:to>
    <xdr:sp>
      <xdr:nvSpPr>
        <xdr:cNvPr id="78" name="CustomShape 1"/>
        <xdr:cNvSpPr/>
      </xdr:nvSpPr>
      <xdr:spPr>
        <a:xfrm>
          <a:off x="446040" y="774000"/>
          <a:ext cx="299520" cy="24048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C2</a:t>
          </a:r>
          <a:endParaRPr/>
        </a:p>
      </xdr:txBody>
    </xdr:sp>
    <xdr:clientData/>
  </xdr:twoCellAnchor>
  <xdr:twoCellAnchor editAs="oneCell">
    <xdr:from>
      <xdr:col>9</xdr:col>
      <xdr:colOff>45720</xdr:colOff>
      <xdr:row>13</xdr:row>
      <xdr:rowOff>74160</xdr:rowOff>
    </xdr:from>
    <xdr:to>
      <xdr:col>9</xdr:col>
      <xdr:colOff>468360</xdr:colOff>
      <xdr:row>14</xdr:row>
      <xdr:rowOff>104400</xdr:rowOff>
    </xdr:to>
    <xdr:sp>
      <xdr:nvSpPr>
        <xdr:cNvPr id="79" name="CustomShape 1"/>
        <xdr:cNvSpPr/>
      </xdr:nvSpPr>
      <xdr:spPr>
        <a:xfrm>
          <a:off x="9802440" y="2179080"/>
          <a:ext cx="422640" cy="19224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C</a:t>
          </a:r>
          <a:r>
            <a:rPr lang="en-GB" sz="1000" baseline="-25000">
              <a:solidFill>
                <a:srgbClr val="000000"/>
              </a:solidFill>
              <a:latin typeface="Arial"/>
            </a:rPr>
            <a:t>OUT</a:t>
          </a:r>
          <a:endParaRPr/>
        </a:p>
      </xdr:txBody>
    </xdr:sp>
    <xdr:clientData/>
  </xdr:twoCellAnchor>
  <xdr:twoCellAnchor editAs="oneCell">
    <xdr:from>
      <xdr:col>8</xdr:col>
      <xdr:colOff>944640</xdr:colOff>
      <xdr:row>3</xdr:row>
      <xdr:rowOff>9720</xdr:rowOff>
    </xdr:from>
    <xdr:to>
      <xdr:col>9</xdr:col>
      <xdr:colOff>432000</xdr:colOff>
      <xdr:row>4</xdr:row>
      <xdr:rowOff>107640</xdr:rowOff>
    </xdr:to>
    <xdr:sp>
      <xdr:nvSpPr>
        <xdr:cNvPr id="80" name="CustomShape 1"/>
        <xdr:cNvSpPr/>
      </xdr:nvSpPr>
      <xdr:spPr>
        <a:xfrm>
          <a:off x="9663480" y="495360"/>
          <a:ext cx="525240" cy="25992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ISET</a:t>
          </a:r>
          <a:endParaRPr/>
        </a:p>
      </xdr:txBody>
    </xdr:sp>
    <xdr:clientData/>
  </xdr:twoCellAnchor>
  <xdr:twoCellAnchor editAs="oneCell">
    <xdr:from>
      <xdr:col>8</xdr:col>
      <xdr:colOff>304200</xdr:colOff>
      <xdr:row>5</xdr:row>
      <xdr:rowOff>72360</xdr:rowOff>
    </xdr:from>
    <xdr:to>
      <xdr:col>8</xdr:col>
      <xdr:colOff>514080</xdr:colOff>
      <xdr:row>6</xdr:row>
      <xdr:rowOff>121680</xdr:rowOff>
    </xdr:to>
    <xdr:sp>
      <xdr:nvSpPr>
        <xdr:cNvPr id="81" name="CustomShape 1"/>
        <xdr:cNvSpPr/>
      </xdr:nvSpPr>
      <xdr:spPr>
        <a:xfrm>
          <a:off x="9023040" y="881640"/>
          <a:ext cx="209880" cy="21132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S</a:t>
          </a:r>
          <a:endParaRPr/>
        </a:p>
      </xdr:txBody>
    </xdr:sp>
    <xdr:clientData/>
  </xdr:twoCellAnchor>
  <xdr:twoCellAnchor editAs="oneCell">
    <xdr:from>
      <xdr:col>7</xdr:col>
      <xdr:colOff>673200</xdr:colOff>
      <xdr:row>5</xdr:row>
      <xdr:rowOff>143280</xdr:rowOff>
    </xdr:from>
    <xdr:to>
      <xdr:col>7</xdr:col>
      <xdr:colOff>860400</xdr:colOff>
      <xdr:row>7</xdr:row>
      <xdr:rowOff>33480</xdr:rowOff>
    </xdr:to>
    <xdr:sp>
      <xdr:nvSpPr>
        <xdr:cNvPr id="82" name="CustomShape 1"/>
        <xdr:cNvSpPr/>
      </xdr:nvSpPr>
      <xdr:spPr>
        <a:xfrm>
          <a:off x="8253000" y="952560"/>
          <a:ext cx="187200" cy="21420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S</a:t>
          </a:r>
          <a:endParaRPr/>
        </a:p>
      </xdr:txBody>
    </xdr:sp>
    <xdr:clientData/>
  </xdr:twoCellAnchor>
  <xdr:twoCellAnchor editAs="oneCell">
    <xdr:from>
      <xdr:col>7</xdr:col>
      <xdr:colOff>555480</xdr:colOff>
      <xdr:row>10</xdr:row>
      <xdr:rowOff>86400</xdr:rowOff>
    </xdr:from>
    <xdr:to>
      <xdr:col>7</xdr:col>
      <xdr:colOff>897480</xdr:colOff>
      <xdr:row>11</xdr:row>
      <xdr:rowOff>141480</xdr:rowOff>
    </xdr:to>
    <xdr:sp>
      <xdr:nvSpPr>
        <xdr:cNvPr id="83" name="CustomShape 1"/>
        <xdr:cNvSpPr/>
      </xdr:nvSpPr>
      <xdr:spPr>
        <a:xfrm>
          <a:off x="8135280" y="1705320"/>
          <a:ext cx="342000" cy="21708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L</a:t>
          </a:r>
          <a:r>
            <a:rPr lang="en-GB" sz="1000" baseline="-25000">
              <a:solidFill>
                <a:srgbClr val="000000"/>
              </a:solidFill>
              <a:latin typeface="Arial"/>
            </a:rPr>
            <a:t>OUT</a:t>
          </a:r>
          <a:endParaRPr/>
        </a:p>
      </xdr:txBody>
    </xdr:sp>
    <xdr:clientData/>
  </xdr:twoCellAnchor>
  <xdr:twoCellAnchor editAs="oneCell">
    <xdr:from>
      <xdr:col>3</xdr:col>
      <xdr:colOff>882000</xdr:colOff>
      <xdr:row>2</xdr:row>
      <xdr:rowOff>132480</xdr:rowOff>
    </xdr:from>
    <xdr:to>
      <xdr:col>3</xdr:col>
      <xdr:colOff>1288440</xdr:colOff>
      <xdr:row>4</xdr:row>
      <xdr:rowOff>21240</xdr:rowOff>
    </xdr:to>
    <xdr:sp>
      <xdr:nvSpPr>
        <xdr:cNvPr id="84" name="CustomShape 1"/>
        <xdr:cNvSpPr/>
      </xdr:nvSpPr>
      <xdr:spPr>
        <a:xfrm>
          <a:off x="3684240" y="456120"/>
          <a:ext cx="406440" cy="212760"/>
        </a:xfrm>
        <a:prstGeom prst="rect">
          <a:avLst/>
        </a:prstGeom>
        <a:noFill/>
        <a:ln w="9360">
          <a:noFill/>
        </a:ln>
      </xdr:spPr>
      <xdr:txBody>
        <a:bodyPr lIns="27360" rIns="0" tIns="27360" bIns="0"/>
        <a:p>
          <a:pPr>
            <a:lnSpc>
              <a:spcPct val="100000"/>
            </a:lnSpc>
          </a:pPr>
          <a:r>
            <a:rPr lang="en-GB" sz="1000">
              <a:solidFill>
                <a:srgbClr val="000000"/>
              </a:solidFill>
              <a:latin typeface="Arial"/>
            </a:rPr>
            <a:t>100pF</a:t>
          </a:r>
          <a:endParaRPr/>
        </a:p>
      </xdr:txBody>
    </xdr:sp>
    <xdr:clientData/>
  </xdr:twoCellAnchor>
  <xdr:twoCellAnchor editAs="oneCell">
    <xdr:from>
      <xdr:col>6</xdr:col>
      <xdr:colOff>607680</xdr:colOff>
      <xdr:row>12</xdr:row>
      <xdr:rowOff>150480</xdr:rowOff>
    </xdr:from>
    <xdr:to>
      <xdr:col>7</xdr:col>
      <xdr:colOff>210960</xdr:colOff>
      <xdr:row>14</xdr:row>
      <xdr:rowOff>24120</xdr:rowOff>
    </xdr:to>
    <xdr:sp>
      <xdr:nvSpPr>
        <xdr:cNvPr id="85" name="CustomShape 1"/>
        <xdr:cNvSpPr/>
      </xdr:nvSpPr>
      <xdr:spPr>
        <a:xfrm>
          <a:off x="7502400" y="2093400"/>
          <a:ext cx="288360" cy="19764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IN</a:t>
          </a:r>
          <a:endParaRPr/>
        </a:p>
      </xdr:txBody>
    </xdr:sp>
    <xdr:clientData/>
  </xdr:twoCellAnchor>
  <xdr:twoCellAnchor editAs="oneCell">
    <xdr:from>
      <xdr:col>5</xdr:col>
      <xdr:colOff>1172520</xdr:colOff>
      <xdr:row>24</xdr:row>
      <xdr:rowOff>134280</xdr:rowOff>
    </xdr:from>
    <xdr:to>
      <xdr:col>6</xdr:col>
      <xdr:colOff>128520</xdr:colOff>
      <xdr:row>26</xdr:row>
      <xdr:rowOff>32040</xdr:rowOff>
    </xdr:to>
    <xdr:sp>
      <xdr:nvSpPr>
        <xdr:cNvPr id="86" name="CustomShape 1"/>
        <xdr:cNvSpPr/>
      </xdr:nvSpPr>
      <xdr:spPr>
        <a:xfrm>
          <a:off x="6615720" y="4020480"/>
          <a:ext cx="407520" cy="22140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VIN</a:t>
          </a:r>
          <a:endParaRPr/>
        </a:p>
      </xdr:txBody>
    </xdr:sp>
    <xdr:clientData/>
  </xdr:twoCellAnchor>
  <xdr:twoCellAnchor editAs="oneCell">
    <xdr:from>
      <xdr:col>5</xdr:col>
      <xdr:colOff>176040</xdr:colOff>
      <xdr:row>28</xdr:row>
      <xdr:rowOff>92880</xdr:rowOff>
    </xdr:from>
    <xdr:to>
      <xdr:col>5</xdr:col>
      <xdr:colOff>501840</xdr:colOff>
      <xdr:row>29</xdr:row>
      <xdr:rowOff>128160</xdr:rowOff>
    </xdr:to>
    <xdr:sp>
      <xdr:nvSpPr>
        <xdr:cNvPr id="87" name="CustomShape 1"/>
        <xdr:cNvSpPr/>
      </xdr:nvSpPr>
      <xdr:spPr>
        <a:xfrm>
          <a:off x="5619240" y="4626720"/>
          <a:ext cx="325800" cy="196920"/>
        </a:xfrm>
        <a:prstGeom prst="rect">
          <a:avLst/>
        </a:prstGeom>
        <a:noFill/>
        <a:ln w="9360">
          <a:noFill/>
        </a:ln>
      </xdr:spPr>
      <xdr:txBody>
        <a:bodyPr lIns="27360" rIns="0" tIns="27360" bIns="0" anchor="ctr"/>
        <a:p>
          <a:pPr algn="ctr">
            <a:lnSpc>
              <a:spcPct val="100000"/>
            </a:lnSpc>
          </a:pPr>
          <a:r>
            <a:rPr lang="en-GB" sz="1000">
              <a:solidFill>
                <a:srgbClr val="000000"/>
              </a:solidFill>
              <a:latin typeface="Arial"/>
            </a:rPr>
            <a:t>C</a:t>
          </a:r>
          <a:r>
            <a:rPr lang="en-GB" sz="1000" baseline="-25000">
              <a:solidFill>
                <a:srgbClr val="000000"/>
              </a:solidFill>
              <a:latin typeface="Arial"/>
            </a:rPr>
            <a:t>VIN</a:t>
          </a:r>
          <a:endParaRPr/>
        </a:p>
      </xdr:txBody>
    </xdr:sp>
    <xdr:clientData/>
  </xdr:twoCellAnchor>
  <xdr:twoCellAnchor editAs="oneCell">
    <xdr:from>
      <xdr:col>5</xdr:col>
      <xdr:colOff>885600</xdr:colOff>
      <xdr:row>3</xdr:row>
      <xdr:rowOff>139680</xdr:rowOff>
    </xdr:from>
    <xdr:to>
      <xdr:col>5</xdr:col>
      <xdr:colOff>1290240</xdr:colOff>
      <xdr:row>5</xdr:row>
      <xdr:rowOff>46440</xdr:rowOff>
    </xdr:to>
    <xdr:sp>
      <xdr:nvSpPr>
        <xdr:cNvPr id="88" name="CustomShape 1"/>
        <xdr:cNvSpPr/>
      </xdr:nvSpPr>
      <xdr:spPr>
        <a:xfrm>
          <a:off x="6328800" y="625320"/>
          <a:ext cx="404640" cy="23040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D</a:t>
          </a:r>
          <a:r>
            <a:rPr lang="en-GB" sz="1000" baseline="-25000">
              <a:solidFill>
                <a:srgbClr val="000000"/>
              </a:solidFill>
              <a:latin typeface="Arial"/>
            </a:rPr>
            <a:t>BOOT</a:t>
          </a:r>
          <a:endParaRPr/>
        </a:p>
      </xdr:txBody>
    </xdr:sp>
    <xdr:clientData/>
  </xdr:twoCellAnchor>
  <xdr:twoCellAnchor editAs="oneCell">
    <xdr:from>
      <xdr:col>5</xdr:col>
      <xdr:colOff>950400</xdr:colOff>
      <xdr:row>18</xdr:row>
      <xdr:rowOff>96480</xdr:rowOff>
    </xdr:from>
    <xdr:to>
      <xdr:col>5</xdr:col>
      <xdr:colOff>1319040</xdr:colOff>
      <xdr:row>19</xdr:row>
      <xdr:rowOff>136080</xdr:rowOff>
    </xdr:to>
    <xdr:sp>
      <xdr:nvSpPr>
        <xdr:cNvPr id="89" name="CustomShape 1"/>
        <xdr:cNvSpPr/>
      </xdr:nvSpPr>
      <xdr:spPr>
        <a:xfrm>
          <a:off x="6393600" y="3011040"/>
          <a:ext cx="368640" cy="20160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C</a:t>
          </a:r>
          <a:r>
            <a:rPr lang="en-GB" sz="1000" baseline="-25000">
              <a:solidFill>
                <a:srgbClr val="000000"/>
              </a:solidFill>
              <a:latin typeface="Arial"/>
            </a:rPr>
            <a:t>VDD</a:t>
          </a:r>
          <a:endParaRPr/>
        </a:p>
      </xdr:txBody>
    </xdr:sp>
    <xdr:clientData/>
  </xdr:twoCellAnchor>
  <xdr:twoCellAnchor editAs="oneCell">
    <xdr:from>
      <xdr:col>7</xdr:col>
      <xdr:colOff>720360</xdr:colOff>
      <xdr:row>3</xdr:row>
      <xdr:rowOff>-360</xdr:rowOff>
    </xdr:from>
    <xdr:to>
      <xdr:col>7</xdr:col>
      <xdr:colOff>1022400</xdr:colOff>
      <xdr:row>4</xdr:row>
      <xdr:rowOff>65160</xdr:rowOff>
    </xdr:to>
    <xdr:sp>
      <xdr:nvSpPr>
        <xdr:cNvPr id="90" name="CustomShape 1"/>
        <xdr:cNvSpPr/>
      </xdr:nvSpPr>
      <xdr:spPr>
        <a:xfrm>
          <a:off x="8300160" y="485280"/>
          <a:ext cx="302040" cy="22752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CS</a:t>
          </a:r>
          <a:endParaRPr/>
        </a:p>
        <a:p>
          <a:pPr>
            <a:lnSpc>
              <a:spcPct val="100000"/>
            </a:lnSpc>
          </a:pPr>
          <a:r>
            <a:rPr lang="en-GB" sz="1000" baseline="-25000">
              <a:solidFill>
                <a:srgbClr val="000000"/>
              </a:solidFill>
              <a:latin typeface="Arial"/>
            </a:rPr>
            <a:t>ood</a:t>
          </a:r>
          <a:endParaRPr/>
        </a:p>
      </xdr:txBody>
    </xdr:sp>
    <xdr:clientData/>
  </xdr:twoCellAnchor>
  <xdr:twoCellAnchor editAs="oneCell">
    <xdr:from>
      <xdr:col>2</xdr:col>
      <xdr:colOff>571320</xdr:colOff>
      <xdr:row>4</xdr:row>
      <xdr:rowOff>140040</xdr:rowOff>
    </xdr:from>
    <xdr:to>
      <xdr:col>2</xdr:col>
      <xdr:colOff>896400</xdr:colOff>
      <xdr:row>6</xdr:row>
      <xdr:rowOff>45720</xdr:rowOff>
    </xdr:to>
    <xdr:sp>
      <xdr:nvSpPr>
        <xdr:cNvPr id="91" name="CustomShape 1"/>
        <xdr:cNvSpPr/>
      </xdr:nvSpPr>
      <xdr:spPr>
        <a:xfrm>
          <a:off x="2234160" y="787680"/>
          <a:ext cx="325080" cy="22932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SS</a:t>
          </a:r>
          <a:endParaRPr/>
        </a:p>
      </xdr:txBody>
    </xdr:sp>
    <xdr:clientData/>
  </xdr:twoCellAnchor>
  <xdr:twoCellAnchor editAs="oneCell">
    <xdr:from>
      <xdr:col>1</xdr:col>
      <xdr:colOff>150480</xdr:colOff>
      <xdr:row>17</xdr:row>
      <xdr:rowOff>141480</xdr:rowOff>
    </xdr:from>
    <xdr:to>
      <xdr:col>1</xdr:col>
      <xdr:colOff>506160</xdr:colOff>
      <xdr:row>19</xdr:row>
      <xdr:rowOff>16560</xdr:rowOff>
    </xdr:to>
    <xdr:sp>
      <xdr:nvSpPr>
        <xdr:cNvPr id="92" name="CustomShape 1"/>
        <xdr:cNvSpPr/>
      </xdr:nvSpPr>
      <xdr:spPr>
        <a:xfrm>
          <a:off x="765000" y="2894040"/>
          <a:ext cx="355680" cy="19908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FB2</a:t>
          </a:r>
          <a:endParaRPr/>
        </a:p>
      </xdr:txBody>
    </xdr:sp>
    <xdr:clientData/>
  </xdr:twoCellAnchor>
  <xdr:twoCellAnchor editAs="oneCell">
    <xdr:from>
      <xdr:col>1</xdr:col>
      <xdr:colOff>777960</xdr:colOff>
      <xdr:row>15</xdr:row>
      <xdr:rowOff>149040</xdr:rowOff>
    </xdr:from>
    <xdr:to>
      <xdr:col>1</xdr:col>
      <xdr:colOff>1025280</xdr:colOff>
      <xdr:row>17</xdr:row>
      <xdr:rowOff>32040</xdr:rowOff>
    </xdr:to>
    <xdr:sp>
      <xdr:nvSpPr>
        <xdr:cNvPr id="93" name="CustomShape 1"/>
        <xdr:cNvSpPr/>
      </xdr:nvSpPr>
      <xdr:spPr>
        <a:xfrm>
          <a:off x="1392480" y="2577600"/>
          <a:ext cx="247320" cy="20700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C2</a:t>
          </a:r>
          <a:endParaRPr/>
        </a:p>
      </xdr:txBody>
    </xdr:sp>
    <xdr:clientData/>
  </xdr:twoCellAnchor>
  <xdr:twoCellAnchor editAs="oneCell">
    <xdr:from>
      <xdr:col>2</xdr:col>
      <xdr:colOff>198720</xdr:colOff>
      <xdr:row>10</xdr:row>
      <xdr:rowOff>136080</xdr:rowOff>
    </xdr:from>
    <xdr:to>
      <xdr:col>2</xdr:col>
      <xdr:colOff>511920</xdr:colOff>
      <xdr:row>12</xdr:row>
      <xdr:rowOff>37080</xdr:rowOff>
    </xdr:to>
    <xdr:sp>
      <xdr:nvSpPr>
        <xdr:cNvPr id="94" name="CustomShape 1"/>
        <xdr:cNvSpPr/>
      </xdr:nvSpPr>
      <xdr:spPr>
        <a:xfrm>
          <a:off x="1861560" y="1755000"/>
          <a:ext cx="313200" cy="22500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C1</a:t>
          </a:r>
          <a:endParaRPr/>
        </a:p>
      </xdr:txBody>
    </xdr:sp>
    <xdr:clientData/>
  </xdr:twoCellAnchor>
  <xdr:twoCellAnchor editAs="oneCell">
    <xdr:from>
      <xdr:col>1</xdr:col>
      <xdr:colOff>766440</xdr:colOff>
      <xdr:row>11</xdr:row>
      <xdr:rowOff>27000</xdr:rowOff>
    </xdr:from>
    <xdr:to>
      <xdr:col>2</xdr:col>
      <xdr:colOff>49320</xdr:colOff>
      <xdr:row>12</xdr:row>
      <xdr:rowOff>100440</xdr:rowOff>
    </xdr:to>
    <xdr:sp>
      <xdr:nvSpPr>
        <xdr:cNvPr id="95" name="CustomShape 1"/>
        <xdr:cNvSpPr/>
      </xdr:nvSpPr>
      <xdr:spPr>
        <a:xfrm>
          <a:off x="1380960" y="1807920"/>
          <a:ext cx="331200" cy="23544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C1</a:t>
          </a:r>
          <a:endParaRPr/>
        </a:p>
      </xdr:txBody>
    </xdr:sp>
    <xdr:clientData/>
  </xdr:twoCellAnchor>
  <xdr:twoCellAnchor editAs="oneCell">
    <xdr:from>
      <xdr:col>3</xdr:col>
      <xdr:colOff>964800</xdr:colOff>
      <xdr:row>1</xdr:row>
      <xdr:rowOff>73080</xdr:rowOff>
    </xdr:from>
    <xdr:to>
      <xdr:col>3</xdr:col>
      <xdr:colOff>1319760</xdr:colOff>
      <xdr:row>2</xdr:row>
      <xdr:rowOff>123120</xdr:rowOff>
    </xdr:to>
    <xdr:sp>
      <xdr:nvSpPr>
        <xdr:cNvPr id="96" name="CustomShape 1"/>
        <xdr:cNvSpPr/>
      </xdr:nvSpPr>
      <xdr:spPr>
        <a:xfrm>
          <a:off x="3767040" y="234720"/>
          <a:ext cx="354960" cy="21204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CS</a:t>
          </a:r>
          <a:endParaRPr/>
        </a:p>
      </xdr:txBody>
    </xdr:sp>
    <xdr:clientData/>
  </xdr:twoCellAnchor>
  <xdr:twoCellAnchor editAs="oneCell">
    <xdr:from>
      <xdr:col>5</xdr:col>
      <xdr:colOff>962640</xdr:colOff>
      <xdr:row>19</xdr:row>
      <xdr:rowOff>117360</xdr:rowOff>
    </xdr:from>
    <xdr:to>
      <xdr:col>5</xdr:col>
      <xdr:colOff>1373760</xdr:colOff>
      <xdr:row>21</xdr:row>
      <xdr:rowOff>25560</xdr:rowOff>
    </xdr:to>
    <xdr:sp>
      <xdr:nvSpPr>
        <xdr:cNvPr id="97" name="CustomShape 1"/>
        <xdr:cNvSpPr/>
      </xdr:nvSpPr>
      <xdr:spPr>
        <a:xfrm>
          <a:off x="6405840" y="3193920"/>
          <a:ext cx="411120" cy="23184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4.7μF</a:t>
          </a:r>
          <a:endParaRPr/>
        </a:p>
      </xdr:txBody>
    </xdr:sp>
    <xdr:clientData/>
  </xdr:twoCellAnchor>
  <xdr:twoCellAnchor editAs="oneCell">
    <xdr:from>
      <xdr:col>2</xdr:col>
      <xdr:colOff>56160</xdr:colOff>
      <xdr:row>12</xdr:row>
      <xdr:rowOff>24120</xdr:rowOff>
    </xdr:from>
    <xdr:to>
      <xdr:col>2</xdr:col>
      <xdr:colOff>557280</xdr:colOff>
      <xdr:row>13</xdr:row>
      <xdr:rowOff>70200</xdr:rowOff>
    </xdr:to>
    <xdr:sp>
      <xdr:nvSpPr>
        <xdr:cNvPr id="98" name="CustomShape 1"/>
        <xdr:cNvSpPr/>
      </xdr:nvSpPr>
      <xdr:spPr>
        <a:xfrm>
          <a:off x="1719000" y="1967040"/>
          <a:ext cx="501120" cy="208080"/>
        </a:xfrm>
        <a:prstGeom prst="rect">
          <a:avLst/>
        </a:prstGeom>
        <a:noFill/>
        <a:ln w="9360">
          <a:noFill/>
        </a:ln>
      </xdr:spPr>
      <xdr:txBody>
        <a:bodyPr lIns="27360" rIns="0" tIns="23040" bIns="0"/>
        <a:p>
          <a:pPr algn="r">
            <a:lnSpc>
              <a:spcPct val="100000"/>
            </a:lnSpc>
          </a:pPr>
          <a:r>
            <a:rPr lang="en-GB" sz="1000">
              <a:solidFill>
                <a:srgbClr val="000000"/>
              </a:solidFill>
              <a:latin typeface="Arial"/>
            </a:rPr>
            <a:t>4700pF</a:t>
          </a:r>
          <a:endParaRPr/>
        </a:p>
      </xdr:txBody>
    </xdr:sp>
    <xdr:clientData/>
  </xdr:twoCellAnchor>
  <xdr:twoCellAnchor editAs="oneCell">
    <xdr:from>
      <xdr:col>1</xdr:col>
      <xdr:colOff>751680</xdr:colOff>
      <xdr:row>17</xdr:row>
      <xdr:rowOff>14760</xdr:rowOff>
    </xdr:from>
    <xdr:to>
      <xdr:col>2</xdr:col>
      <xdr:colOff>181080</xdr:colOff>
      <xdr:row>18</xdr:row>
      <xdr:rowOff>51480</xdr:rowOff>
    </xdr:to>
    <xdr:sp>
      <xdr:nvSpPr>
        <xdr:cNvPr id="99" name="CustomShape 1"/>
        <xdr:cNvSpPr/>
      </xdr:nvSpPr>
      <xdr:spPr>
        <a:xfrm>
          <a:off x="1366200" y="2767320"/>
          <a:ext cx="477720" cy="198720"/>
        </a:xfrm>
        <a:prstGeom prst="rect">
          <a:avLst/>
        </a:prstGeom>
        <a:noFill/>
        <a:ln w="9360">
          <a:noFill/>
        </a:ln>
      </xdr:spPr>
      <xdr:txBody>
        <a:bodyPr lIns="27360" rIns="0" tIns="23040" bIns="0"/>
        <a:p>
          <a:pPr>
            <a:lnSpc>
              <a:spcPct val="100000"/>
            </a:lnSpc>
          </a:pPr>
          <a:r>
            <a:rPr lang="en-GB" sz="1000">
              <a:solidFill>
                <a:srgbClr val="000000"/>
              </a:solidFill>
              <a:latin typeface="Arial"/>
            </a:rPr>
            <a:t>220pF</a:t>
          </a:r>
          <a:endParaRPr/>
        </a:p>
      </xdr:txBody>
    </xdr:sp>
    <xdr:clientData/>
  </xdr:twoCellAnchor>
  <xdr:twoCellAnchor editAs="oneCell">
    <xdr:from>
      <xdr:col>0</xdr:col>
      <xdr:colOff>476280</xdr:colOff>
      <xdr:row>19</xdr:row>
      <xdr:rowOff>31680</xdr:rowOff>
    </xdr:from>
    <xdr:to>
      <xdr:col>1</xdr:col>
      <xdr:colOff>445320</xdr:colOff>
      <xdr:row>20</xdr:row>
      <xdr:rowOff>75960</xdr:rowOff>
    </xdr:to>
    <xdr:sp>
      <xdr:nvSpPr>
        <xdr:cNvPr id="100" name="CustomShape 1"/>
        <xdr:cNvSpPr/>
      </xdr:nvSpPr>
      <xdr:spPr>
        <a:xfrm>
          <a:off x="476280" y="3108240"/>
          <a:ext cx="583560" cy="205920"/>
        </a:xfrm>
        <a:prstGeom prst="rect">
          <a:avLst/>
        </a:prstGeom>
        <a:noFill/>
        <a:ln w="9360">
          <a:noFill/>
        </a:ln>
      </xdr:spPr>
      <xdr:txBody>
        <a:bodyPr lIns="27360" rIns="0" tIns="23040" bIns="0"/>
        <a:p>
          <a:pPr algn="r">
            <a:lnSpc>
              <a:spcPct val="100000"/>
            </a:lnSpc>
          </a:pPr>
          <a:r>
            <a:rPr lang="en-GB" sz="1000">
              <a:solidFill>
                <a:srgbClr val="000000"/>
              </a:solidFill>
              <a:latin typeface="Arial"/>
            </a:rPr>
            <a:t>10kΩ</a:t>
          </a:r>
          <a:endParaRPr/>
        </a:p>
      </xdr:txBody>
    </xdr:sp>
    <xdr:clientData/>
  </xdr:twoCellAnchor>
  <xdr:twoCellAnchor editAs="oneCell">
    <xdr:from>
      <xdr:col>0</xdr:col>
      <xdr:colOff>358560</xdr:colOff>
      <xdr:row>6</xdr:row>
      <xdr:rowOff>6840</xdr:rowOff>
    </xdr:from>
    <xdr:to>
      <xdr:col>1</xdr:col>
      <xdr:colOff>176760</xdr:colOff>
      <xdr:row>7</xdr:row>
      <xdr:rowOff>96480</xdr:rowOff>
    </xdr:to>
    <xdr:sp>
      <xdr:nvSpPr>
        <xdr:cNvPr id="101" name="CustomShape 1"/>
        <xdr:cNvSpPr/>
      </xdr:nvSpPr>
      <xdr:spPr>
        <a:xfrm>
          <a:off x="358560" y="978120"/>
          <a:ext cx="432720" cy="251640"/>
        </a:xfrm>
        <a:prstGeom prst="rect">
          <a:avLst/>
        </a:prstGeom>
        <a:noFill/>
        <a:ln w="9360">
          <a:noFill/>
        </a:ln>
      </xdr:spPr>
      <xdr:txBody>
        <a:bodyPr lIns="27360" rIns="0" tIns="23040" bIns="0"/>
        <a:p>
          <a:pPr algn="ctr">
            <a:lnSpc>
              <a:spcPct val="100000"/>
            </a:lnSpc>
          </a:pPr>
          <a:r>
            <a:rPr lang="en-GB" sz="1000">
              <a:solidFill>
                <a:srgbClr val="000000"/>
              </a:solidFill>
              <a:latin typeface="Arial"/>
            </a:rPr>
            <a:t>75Ω</a:t>
          </a:r>
          <a:endParaRPr/>
        </a:p>
      </xdr:txBody>
    </xdr:sp>
    <xdr:clientData/>
  </xdr:twoCellAnchor>
  <xdr:twoCellAnchor editAs="oneCell">
    <xdr:from>
      <xdr:col>0</xdr:col>
      <xdr:colOff>300240</xdr:colOff>
      <xdr:row>8</xdr:row>
      <xdr:rowOff>156600</xdr:rowOff>
    </xdr:from>
    <xdr:to>
      <xdr:col>1</xdr:col>
      <xdr:colOff>199440</xdr:colOff>
      <xdr:row>10</xdr:row>
      <xdr:rowOff>13680</xdr:rowOff>
    </xdr:to>
    <xdr:sp>
      <xdr:nvSpPr>
        <xdr:cNvPr id="102" name="CustomShape 1"/>
        <xdr:cNvSpPr/>
      </xdr:nvSpPr>
      <xdr:spPr>
        <a:xfrm>
          <a:off x="300240" y="1451880"/>
          <a:ext cx="513720" cy="180720"/>
        </a:xfrm>
        <a:prstGeom prst="rect">
          <a:avLst/>
        </a:prstGeom>
        <a:noFill/>
        <a:ln w="9360">
          <a:noFill/>
        </a:ln>
      </xdr:spPr>
      <xdr:txBody>
        <a:bodyPr lIns="27360" rIns="0" tIns="23040" bIns="0"/>
        <a:p>
          <a:pPr algn="ctr">
            <a:lnSpc>
              <a:spcPct val="100000"/>
            </a:lnSpc>
          </a:pPr>
          <a:r>
            <a:rPr lang="en-GB" sz="1000">
              <a:solidFill>
                <a:srgbClr val="000000"/>
              </a:solidFill>
              <a:latin typeface="Arial"/>
            </a:rPr>
            <a:t>1500pF</a:t>
          </a:r>
          <a:endParaRPr/>
        </a:p>
      </xdr:txBody>
    </xdr:sp>
    <xdr:clientData/>
  </xdr:twoCellAnchor>
  <xdr:twoCellAnchor editAs="oneCell">
    <xdr:from>
      <xdr:col>1</xdr:col>
      <xdr:colOff>693720</xdr:colOff>
      <xdr:row>6</xdr:row>
      <xdr:rowOff>59040</xdr:rowOff>
    </xdr:from>
    <xdr:to>
      <xdr:col>2</xdr:col>
      <xdr:colOff>83880</xdr:colOff>
      <xdr:row>7</xdr:row>
      <xdr:rowOff>133560</xdr:rowOff>
    </xdr:to>
    <xdr:sp>
      <xdr:nvSpPr>
        <xdr:cNvPr id="103" name="CustomShape 1"/>
        <xdr:cNvSpPr/>
      </xdr:nvSpPr>
      <xdr:spPr>
        <a:xfrm>
          <a:off x="1308240" y="1030320"/>
          <a:ext cx="438480" cy="236520"/>
        </a:xfrm>
        <a:prstGeom prst="rect">
          <a:avLst/>
        </a:prstGeom>
        <a:noFill/>
        <a:ln w="9360">
          <a:noFill/>
        </a:ln>
      </xdr:spPr>
      <xdr:txBody>
        <a:bodyPr lIns="27360" rIns="0" tIns="23040" bIns="0" anchor="ctr"/>
        <a:p>
          <a:pPr>
            <a:lnSpc>
              <a:spcPct val="100000"/>
            </a:lnSpc>
          </a:pPr>
          <a:r>
            <a:rPr lang="en-GB" sz="1000">
              <a:solidFill>
                <a:srgbClr val="000000"/>
              </a:solidFill>
              <a:latin typeface="Arial"/>
            </a:rPr>
            <a:t>10kΩ</a:t>
          </a:r>
          <a:endParaRPr/>
        </a:p>
      </xdr:txBody>
    </xdr:sp>
    <xdr:clientData/>
  </xdr:twoCellAnchor>
  <xdr:twoCellAnchor editAs="oneCell">
    <xdr:from>
      <xdr:col>7</xdr:col>
      <xdr:colOff>541080</xdr:colOff>
      <xdr:row>7</xdr:row>
      <xdr:rowOff>27360</xdr:rowOff>
    </xdr:from>
    <xdr:to>
      <xdr:col>7</xdr:col>
      <xdr:colOff>984960</xdr:colOff>
      <xdr:row>8</xdr:row>
      <xdr:rowOff>90360</xdr:rowOff>
    </xdr:to>
    <xdr:sp>
      <xdr:nvSpPr>
        <xdr:cNvPr id="104" name="CustomShape 1"/>
        <xdr:cNvSpPr/>
      </xdr:nvSpPr>
      <xdr:spPr>
        <a:xfrm>
          <a:off x="8120880" y="1160640"/>
          <a:ext cx="443880" cy="225000"/>
        </a:xfrm>
        <a:prstGeom prst="rect">
          <a:avLst/>
        </a:prstGeom>
        <a:noFill/>
        <a:ln w="9360">
          <a:noFill/>
        </a:ln>
      </xdr:spPr>
      <xdr:txBody>
        <a:bodyPr lIns="27360" rIns="0" tIns="23040" bIns="0"/>
        <a:p>
          <a:pPr>
            <a:lnSpc>
              <a:spcPct val="100000"/>
            </a:lnSpc>
          </a:pPr>
          <a:r>
            <a:rPr lang="en-GB" sz="1000">
              <a:solidFill>
                <a:srgbClr val="000000"/>
              </a:solidFill>
              <a:latin typeface="Arial"/>
            </a:rPr>
            <a:t>4.53kΩ</a:t>
          </a:r>
          <a:endParaRPr/>
        </a:p>
      </xdr:txBody>
    </xdr:sp>
    <xdr:clientData/>
  </xdr:twoCellAnchor>
  <xdr:twoCellAnchor editAs="oneCell">
    <xdr:from>
      <xdr:col>8</xdr:col>
      <xdr:colOff>913320</xdr:colOff>
      <xdr:row>4</xdr:row>
      <xdr:rowOff>53640</xdr:rowOff>
    </xdr:from>
    <xdr:to>
      <xdr:col>9</xdr:col>
      <xdr:colOff>501120</xdr:colOff>
      <xdr:row>5</xdr:row>
      <xdr:rowOff>100080</xdr:rowOff>
    </xdr:to>
    <xdr:sp>
      <xdr:nvSpPr>
        <xdr:cNvPr id="105" name="CustomShape 1"/>
        <xdr:cNvSpPr/>
      </xdr:nvSpPr>
      <xdr:spPr>
        <a:xfrm>
          <a:off x="9632160" y="701280"/>
          <a:ext cx="625680" cy="208080"/>
        </a:xfrm>
        <a:prstGeom prst="rect">
          <a:avLst/>
        </a:prstGeom>
        <a:noFill/>
        <a:ln w="9360">
          <a:noFill/>
        </a:ln>
      </xdr:spPr>
      <xdr:txBody>
        <a:bodyPr lIns="27360" rIns="0" tIns="23040" bIns="0"/>
        <a:p>
          <a:pPr>
            <a:lnSpc>
              <a:spcPct val="100000"/>
            </a:lnSpc>
          </a:pPr>
          <a:r>
            <a:rPr lang="en-GB" sz="1000">
              <a:solidFill>
                <a:srgbClr val="000000"/>
              </a:solidFill>
              <a:latin typeface="Arial"/>
            </a:rPr>
            <a:t>3.09kΩ</a:t>
          </a:r>
          <a:endParaRPr/>
        </a:p>
      </xdr:txBody>
    </xdr:sp>
    <xdr:clientData/>
  </xdr:twoCellAnchor>
  <xdr:twoCellAnchor editAs="oneCell">
    <xdr:from>
      <xdr:col>8</xdr:col>
      <xdr:colOff>211320</xdr:colOff>
      <xdr:row>6</xdr:row>
      <xdr:rowOff>118080</xdr:rowOff>
    </xdr:from>
    <xdr:to>
      <xdr:col>8</xdr:col>
      <xdr:colOff>689040</xdr:colOff>
      <xdr:row>8</xdr:row>
      <xdr:rowOff>39960</xdr:rowOff>
    </xdr:to>
    <xdr:sp>
      <xdr:nvSpPr>
        <xdr:cNvPr id="106" name="CustomShape 1"/>
        <xdr:cNvSpPr/>
      </xdr:nvSpPr>
      <xdr:spPr>
        <a:xfrm>
          <a:off x="8930160" y="1089360"/>
          <a:ext cx="477720" cy="245880"/>
        </a:xfrm>
        <a:prstGeom prst="rect">
          <a:avLst/>
        </a:prstGeom>
        <a:noFill/>
        <a:ln w="9360">
          <a:noFill/>
        </a:ln>
      </xdr:spPr>
      <xdr:txBody>
        <a:bodyPr lIns="27360" rIns="0" tIns="23040" bIns="0"/>
        <a:p>
          <a:pPr>
            <a:lnSpc>
              <a:spcPct val="100000"/>
            </a:lnSpc>
          </a:pPr>
          <a:r>
            <a:rPr lang="en-GB" sz="1000">
              <a:solidFill>
                <a:srgbClr val="000000"/>
              </a:solidFill>
              <a:latin typeface="Arial"/>
            </a:rPr>
            <a:t>0.22µF</a:t>
          </a:r>
          <a:endParaRPr/>
        </a:p>
      </xdr:txBody>
    </xdr:sp>
    <xdr:clientData/>
  </xdr:twoCellAnchor>
  <xdr:twoCellAnchor editAs="oneCell">
    <xdr:from>
      <xdr:col>7</xdr:col>
      <xdr:colOff>328320</xdr:colOff>
      <xdr:row>12</xdr:row>
      <xdr:rowOff>97920</xdr:rowOff>
    </xdr:from>
    <xdr:to>
      <xdr:col>7</xdr:col>
      <xdr:colOff>777600</xdr:colOff>
      <xdr:row>14</xdr:row>
      <xdr:rowOff>12960</xdr:rowOff>
    </xdr:to>
    <xdr:sp>
      <xdr:nvSpPr>
        <xdr:cNvPr id="107" name="CustomShape 1"/>
        <xdr:cNvSpPr/>
      </xdr:nvSpPr>
      <xdr:spPr>
        <a:xfrm>
          <a:off x="7908120" y="2040840"/>
          <a:ext cx="449280" cy="239040"/>
        </a:xfrm>
        <a:prstGeom prst="rect">
          <a:avLst/>
        </a:prstGeom>
        <a:noFill/>
        <a:ln w="9360">
          <a:noFill/>
        </a:ln>
      </xdr:spPr>
      <xdr:txBody>
        <a:bodyPr lIns="27360" rIns="0" tIns="23040" bIns="0" anchor="ctr"/>
        <a:p>
          <a:pPr>
            <a:lnSpc>
              <a:spcPct val="100000"/>
            </a:lnSpc>
          </a:pPr>
          <a:r>
            <a:rPr lang="en-GB" sz="1000">
              <a:solidFill>
                <a:srgbClr val="000000"/>
              </a:solidFill>
              <a:latin typeface="Arialri"/>
            </a:rPr>
            <a:t>1µH</a:t>
          </a:r>
          <a:endParaRPr/>
        </a:p>
      </xdr:txBody>
    </xdr:sp>
    <xdr:clientData/>
  </xdr:twoCellAnchor>
  <xdr:twoCellAnchor editAs="oneCell">
    <xdr:from>
      <xdr:col>5</xdr:col>
      <xdr:colOff>1186920</xdr:colOff>
      <xdr:row>26</xdr:row>
      <xdr:rowOff>14040</xdr:rowOff>
    </xdr:from>
    <xdr:to>
      <xdr:col>6</xdr:col>
      <xdr:colOff>189000</xdr:colOff>
      <xdr:row>27</xdr:row>
      <xdr:rowOff>74520</xdr:rowOff>
    </xdr:to>
    <xdr:sp>
      <xdr:nvSpPr>
        <xdr:cNvPr id="108" name="CustomShape 1"/>
        <xdr:cNvSpPr/>
      </xdr:nvSpPr>
      <xdr:spPr>
        <a:xfrm>
          <a:off x="6630120" y="4223880"/>
          <a:ext cx="453600" cy="222480"/>
        </a:xfrm>
        <a:prstGeom prst="rect">
          <a:avLst/>
        </a:prstGeom>
        <a:noFill/>
        <a:ln w="9360">
          <a:noFill/>
        </a:ln>
      </xdr:spPr>
      <xdr:txBody>
        <a:bodyPr lIns="27360" rIns="0" tIns="23040" bIns="0"/>
        <a:p>
          <a:pPr>
            <a:lnSpc>
              <a:spcPct val="100000"/>
            </a:lnSpc>
          </a:pPr>
          <a:r>
            <a:rPr lang="en-GB" sz="1000">
              <a:solidFill>
                <a:srgbClr val="000000"/>
              </a:solidFill>
              <a:latin typeface="Arial"/>
            </a:rPr>
            <a:t>2.2Ω</a:t>
          </a:r>
          <a:endParaRPr/>
        </a:p>
      </xdr:txBody>
    </xdr:sp>
    <xdr:clientData/>
  </xdr:twoCellAnchor>
  <xdr:twoCellAnchor editAs="oneCell">
    <xdr:from>
      <xdr:col>5</xdr:col>
      <xdr:colOff>187560</xdr:colOff>
      <xdr:row>29</xdr:row>
      <xdr:rowOff>151200</xdr:rowOff>
    </xdr:from>
    <xdr:to>
      <xdr:col>5</xdr:col>
      <xdr:colOff>513000</xdr:colOff>
      <xdr:row>31</xdr:row>
      <xdr:rowOff>36360</xdr:rowOff>
    </xdr:to>
    <xdr:sp>
      <xdr:nvSpPr>
        <xdr:cNvPr id="109" name="CustomShape 1"/>
        <xdr:cNvSpPr/>
      </xdr:nvSpPr>
      <xdr:spPr>
        <a:xfrm>
          <a:off x="5630760" y="4846680"/>
          <a:ext cx="325440" cy="209160"/>
        </a:xfrm>
        <a:prstGeom prst="rect">
          <a:avLst/>
        </a:prstGeom>
        <a:noFill/>
        <a:ln w="9360">
          <a:noFill/>
        </a:ln>
      </xdr:spPr>
      <xdr:txBody>
        <a:bodyPr lIns="27360" rIns="0" tIns="23040" bIns="0" anchor="ctr"/>
        <a:p>
          <a:pPr algn="ctr">
            <a:lnSpc>
              <a:spcPct val="100000"/>
            </a:lnSpc>
          </a:pPr>
          <a:r>
            <a:rPr lang="en-GB" sz="1000">
              <a:solidFill>
                <a:srgbClr val="000000"/>
              </a:solidFill>
              <a:latin typeface="Arial"/>
            </a:rPr>
            <a:t>1µF</a:t>
          </a:r>
          <a:endParaRPr/>
        </a:p>
      </xdr:txBody>
    </xdr:sp>
    <xdr:clientData/>
  </xdr:twoCellAnchor>
  <xdr:twoCellAnchor editAs="oneCell">
    <xdr:from>
      <xdr:col>5</xdr:col>
      <xdr:colOff>846000</xdr:colOff>
      <xdr:row>8</xdr:row>
      <xdr:rowOff>45720</xdr:rowOff>
    </xdr:from>
    <xdr:to>
      <xdr:col>5</xdr:col>
      <xdr:colOff>1212120</xdr:colOff>
      <xdr:row>9</xdr:row>
      <xdr:rowOff>106920</xdr:rowOff>
    </xdr:to>
    <xdr:sp>
      <xdr:nvSpPr>
        <xdr:cNvPr id="110" name="CustomShape 1"/>
        <xdr:cNvSpPr/>
      </xdr:nvSpPr>
      <xdr:spPr>
        <a:xfrm>
          <a:off x="6289200" y="1341000"/>
          <a:ext cx="366120" cy="223200"/>
        </a:xfrm>
        <a:prstGeom prst="rect">
          <a:avLst/>
        </a:prstGeom>
        <a:noFill/>
        <a:ln w="9360">
          <a:noFill/>
        </a:ln>
      </xdr:spPr>
      <xdr:txBody>
        <a:bodyPr lIns="27360" rIns="0" tIns="27360" bIns="0" anchor="ctr"/>
        <a:p>
          <a:pPr algn="ctr">
            <a:lnSpc>
              <a:spcPct val="100000"/>
            </a:lnSpc>
          </a:pPr>
          <a:r>
            <a:rPr lang="en-GB" sz="1000">
              <a:latin typeface="Arial"/>
            </a:rPr>
            <a:t>0.1μF</a:t>
          </a:r>
          <a:endParaRPr/>
        </a:p>
      </xdr:txBody>
    </xdr:sp>
    <xdr:clientData/>
  </xdr:twoCellAnchor>
  <xdr:twoCellAnchor editAs="oneCell">
    <xdr:from>
      <xdr:col>2</xdr:col>
      <xdr:colOff>543960</xdr:colOff>
      <xdr:row>6</xdr:row>
      <xdr:rowOff>12960</xdr:rowOff>
    </xdr:from>
    <xdr:to>
      <xdr:col>2</xdr:col>
      <xdr:colOff>898200</xdr:colOff>
      <xdr:row>7</xdr:row>
      <xdr:rowOff>85320</xdr:rowOff>
    </xdr:to>
    <xdr:sp>
      <xdr:nvSpPr>
        <xdr:cNvPr id="111" name="CustomShape 1"/>
        <xdr:cNvSpPr/>
      </xdr:nvSpPr>
      <xdr:spPr>
        <a:xfrm>
          <a:off x="2206800" y="984240"/>
          <a:ext cx="354240" cy="234360"/>
        </a:xfrm>
        <a:prstGeom prst="rect">
          <a:avLst/>
        </a:prstGeom>
        <a:noFill/>
        <a:ln w="9360">
          <a:noFill/>
        </a:ln>
      </xdr:spPr>
      <xdr:txBody>
        <a:bodyPr lIns="27360" rIns="0" tIns="23040" bIns="0"/>
        <a:p>
          <a:pPr>
            <a:lnSpc>
              <a:spcPct val="100000"/>
            </a:lnSpc>
          </a:pPr>
          <a:r>
            <a:rPr lang="en-GB" sz="1000">
              <a:solidFill>
                <a:srgbClr val="000000"/>
              </a:solidFill>
              <a:latin typeface="Arial"/>
            </a:rPr>
            <a:t>47nF</a:t>
          </a:r>
          <a:endParaRPr/>
        </a:p>
      </xdr:txBody>
    </xdr:sp>
    <xdr:clientData/>
  </xdr:twoCellAnchor>
  <xdr:twoCellAnchor editAs="oneCell">
    <xdr:from>
      <xdr:col>6</xdr:col>
      <xdr:colOff>621000</xdr:colOff>
      <xdr:row>4</xdr:row>
      <xdr:rowOff>126000</xdr:rowOff>
    </xdr:from>
    <xdr:to>
      <xdr:col>7</xdr:col>
      <xdr:colOff>356040</xdr:colOff>
      <xdr:row>6</xdr:row>
      <xdr:rowOff>40680</xdr:rowOff>
    </xdr:to>
    <xdr:sp>
      <xdr:nvSpPr>
        <xdr:cNvPr id="112" name="CustomShape 1"/>
        <xdr:cNvSpPr/>
      </xdr:nvSpPr>
      <xdr:spPr>
        <a:xfrm>
          <a:off x="7515720" y="773640"/>
          <a:ext cx="420120" cy="238320"/>
        </a:xfrm>
        <a:prstGeom prst="rect">
          <a:avLst/>
        </a:prstGeom>
        <a:noFill/>
        <a:ln w="9360">
          <a:noFill/>
        </a:ln>
      </xdr:spPr>
      <xdr:txBody>
        <a:bodyPr lIns="27360" rIns="0" tIns="23040" bIns="0"/>
        <a:p>
          <a:pPr>
            <a:lnSpc>
              <a:spcPct val="100000"/>
            </a:lnSpc>
          </a:pPr>
          <a:r>
            <a:rPr b="1" lang="en-GB" sz="1200">
              <a:solidFill>
                <a:srgbClr val="000000"/>
              </a:solidFill>
              <a:latin typeface="Arial"/>
            </a:rPr>
            <a:t>12V</a:t>
          </a:r>
          <a:endParaRPr/>
        </a:p>
      </xdr:txBody>
    </xdr:sp>
    <xdr:clientData/>
  </xdr:twoCellAnchor>
  <xdr:twoCellAnchor editAs="oneCell">
    <xdr:from>
      <xdr:col>1</xdr:col>
      <xdr:colOff>914760</xdr:colOff>
      <xdr:row>18</xdr:row>
      <xdr:rowOff>74880</xdr:rowOff>
    </xdr:from>
    <xdr:to>
      <xdr:col>2</xdr:col>
      <xdr:colOff>268200</xdr:colOff>
      <xdr:row>19</xdr:row>
      <xdr:rowOff>143280</xdr:rowOff>
    </xdr:to>
    <xdr:sp>
      <xdr:nvSpPr>
        <xdr:cNvPr id="113" name="CustomShape 1"/>
        <xdr:cNvSpPr/>
      </xdr:nvSpPr>
      <xdr:spPr>
        <a:xfrm>
          <a:off x="1529280" y="2989440"/>
          <a:ext cx="401760" cy="23040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FADJ</a:t>
          </a:r>
          <a:endParaRPr/>
        </a:p>
      </xdr:txBody>
    </xdr:sp>
    <xdr:clientData/>
  </xdr:twoCellAnchor>
  <xdr:twoCellAnchor editAs="oneCell">
    <xdr:from>
      <xdr:col>1</xdr:col>
      <xdr:colOff>756720</xdr:colOff>
      <xdr:row>19</xdr:row>
      <xdr:rowOff>126360</xdr:rowOff>
    </xdr:from>
    <xdr:to>
      <xdr:col>2</xdr:col>
      <xdr:colOff>262440</xdr:colOff>
      <xdr:row>21</xdr:row>
      <xdr:rowOff>18000</xdr:rowOff>
    </xdr:to>
    <xdr:sp>
      <xdr:nvSpPr>
        <xdr:cNvPr id="114" name="CustomShape 1"/>
        <xdr:cNvSpPr/>
      </xdr:nvSpPr>
      <xdr:spPr>
        <a:xfrm>
          <a:off x="1371240" y="3202920"/>
          <a:ext cx="554040" cy="215280"/>
        </a:xfrm>
        <a:prstGeom prst="rect">
          <a:avLst/>
        </a:prstGeom>
        <a:noFill/>
        <a:ln w="9360">
          <a:noFill/>
        </a:ln>
      </xdr:spPr>
      <xdr:txBody>
        <a:bodyPr lIns="27360" rIns="0" tIns="23040" bIns="0"/>
        <a:p>
          <a:pPr algn="r">
            <a:lnSpc>
              <a:spcPct val="100000"/>
            </a:lnSpc>
          </a:pPr>
          <a:r>
            <a:rPr lang="en-GB" sz="1000">
              <a:solidFill>
                <a:srgbClr val="000000"/>
              </a:solidFill>
              <a:latin typeface="Arial"/>
            </a:rPr>
            <a:t>47.5kΩ</a:t>
          </a:r>
          <a:endParaRPr/>
        </a:p>
      </xdr:txBody>
    </xdr:sp>
    <xdr:clientData/>
  </xdr:twoCellAnchor>
  <xdr:twoCellAnchor editAs="oneCell">
    <xdr:from>
      <xdr:col>5</xdr:col>
      <xdr:colOff>831960</xdr:colOff>
      <xdr:row>6</xdr:row>
      <xdr:rowOff>127800</xdr:rowOff>
    </xdr:from>
    <xdr:to>
      <xdr:col>5</xdr:col>
      <xdr:colOff>1218600</xdr:colOff>
      <xdr:row>8</xdr:row>
      <xdr:rowOff>19080</xdr:rowOff>
    </xdr:to>
    <xdr:sp>
      <xdr:nvSpPr>
        <xdr:cNvPr id="115" name="CustomShape 1"/>
        <xdr:cNvSpPr/>
      </xdr:nvSpPr>
      <xdr:spPr>
        <a:xfrm>
          <a:off x="6275160" y="1099080"/>
          <a:ext cx="386640" cy="215280"/>
        </a:xfrm>
        <a:prstGeom prst="rect">
          <a:avLst/>
        </a:prstGeom>
        <a:noFill/>
        <a:ln w="9360">
          <a:noFill/>
        </a:ln>
      </xdr:spPr>
      <xdr:txBody>
        <a:bodyPr lIns="27360" rIns="0" tIns="27360" bIns="0" anchor="ctr"/>
        <a:p>
          <a:pPr algn="ctr">
            <a:lnSpc>
              <a:spcPct val="100000"/>
            </a:lnSpc>
          </a:pPr>
          <a:r>
            <a:rPr lang="en-GB" sz="1000">
              <a:solidFill>
                <a:srgbClr val="000000"/>
              </a:solidFill>
              <a:latin typeface="Arial"/>
            </a:rPr>
            <a:t>C</a:t>
          </a:r>
          <a:r>
            <a:rPr lang="en-GB" sz="1000" baseline="-25000">
              <a:solidFill>
                <a:srgbClr val="000000"/>
              </a:solidFill>
              <a:latin typeface="Arial"/>
            </a:rPr>
            <a:t>BOOT</a:t>
          </a:r>
          <a:endParaRPr/>
        </a:p>
      </xdr:txBody>
    </xdr:sp>
    <xdr:clientData/>
  </xdr:twoCellAnchor>
  <xdr:twoCellAnchor editAs="oneCell">
    <xdr:from>
      <xdr:col>4</xdr:col>
      <xdr:colOff>80280</xdr:colOff>
      <xdr:row>28</xdr:row>
      <xdr:rowOff>131400</xdr:rowOff>
    </xdr:from>
    <xdr:to>
      <xdr:col>4</xdr:col>
      <xdr:colOff>461520</xdr:colOff>
      <xdr:row>30</xdr:row>
      <xdr:rowOff>34200</xdr:rowOff>
    </xdr:to>
    <xdr:sp>
      <xdr:nvSpPr>
        <xdr:cNvPr id="116" name="CustomShape 1"/>
        <xdr:cNvSpPr/>
      </xdr:nvSpPr>
      <xdr:spPr>
        <a:xfrm>
          <a:off x="4303440" y="4665240"/>
          <a:ext cx="381240" cy="22644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OTP</a:t>
          </a:r>
          <a:endParaRPr/>
        </a:p>
      </xdr:txBody>
    </xdr:sp>
    <xdr:clientData/>
  </xdr:twoCellAnchor>
  <xdr:twoCellAnchor editAs="oneCell">
    <xdr:from>
      <xdr:col>3</xdr:col>
      <xdr:colOff>524880</xdr:colOff>
      <xdr:row>29</xdr:row>
      <xdr:rowOff>45360</xdr:rowOff>
    </xdr:from>
    <xdr:to>
      <xdr:col>3</xdr:col>
      <xdr:colOff>889200</xdr:colOff>
      <xdr:row>30</xdr:row>
      <xdr:rowOff>69120</xdr:rowOff>
    </xdr:to>
    <xdr:sp>
      <xdr:nvSpPr>
        <xdr:cNvPr id="117" name="CustomShape 1"/>
        <xdr:cNvSpPr/>
      </xdr:nvSpPr>
      <xdr:spPr>
        <a:xfrm>
          <a:off x="3327120" y="4740840"/>
          <a:ext cx="364320" cy="18576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OTP</a:t>
          </a:r>
          <a:endParaRPr/>
        </a:p>
      </xdr:txBody>
    </xdr:sp>
    <xdr:clientData/>
  </xdr:twoCellAnchor>
  <xdr:twoCellAnchor editAs="oneCell">
    <xdr:from>
      <xdr:col>3</xdr:col>
      <xdr:colOff>512280</xdr:colOff>
      <xdr:row>30</xdr:row>
      <xdr:rowOff>92160</xdr:rowOff>
    </xdr:from>
    <xdr:to>
      <xdr:col>3</xdr:col>
      <xdr:colOff>906120</xdr:colOff>
      <xdr:row>31</xdr:row>
      <xdr:rowOff>137520</xdr:rowOff>
    </xdr:to>
    <xdr:sp>
      <xdr:nvSpPr>
        <xdr:cNvPr id="118" name="CustomShape 1"/>
        <xdr:cNvSpPr/>
      </xdr:nvSpPr>
      <xdr:spPr>
        <a:xfrm>
          <a:off x="3314520" y="4949640"/>
          <a:ext cx="393840" cy="207360"/>
        </a:xfrm>
        <a:prstGeom prst="rect">
          <a:avLst/>
        </a:prstGeom>
        <a:noFill/>
        <a:ln w="9360">
          <a:noFill/>
        </a:ln>
      </xdr:spPr>
      <xdr:txBody>
        <a:bodyPr lIns="27360" rIns="0" tIns="27360" bIns="0"/>
        <a:p>
          <a:pPr>
            <a:lnSpc>
              <a:spcPct val="100000"/>
            </a:lnSpc>
          </a:pPr>
          <a:r>
            <a:rPr lang="en-GB" sz="1000">
              <a:latin typeface="Arial"/>
            </a:rPr>
            <a:t>0.1μF</a:t>
          </a:r>
          <a:endParaRPr/>
        </a:p>
      </xdr:txBody>
    </xdr:sp>
    <xdr:clientData/>
  </xdr:twoCellAnchor>
  <xdr:twoCellAnchor editAs="oneCell">
    <xdr:from>
      <xdr:col>4</xdr:col>
      <xdr:colOff>80280</xdr:colOff>
      <xdr:row>30</xdr:row>
      <xdr:rowOff>720</xdr:rowOff>
    </xdr:from>
    <xdr:to>
      <xdr:col>4</xdr:col>
      <xdr:colOff>681120</xdr:colOff>
      <xdr:row>31</xdr:row>
      <xdr:rowOff>95400</xdr:rowOff>
    </xdr:to>
    <xdr:sp>
      <xdr:nvSpPr>
        <xdr:cNvPr id="119" name="CustomShape 1"/>
        <xdr:cNvSpPr/>
      </xdr:nvSpPr>
      <xdr:spPr>
        <a:xfrm>
          <a:off x="4303440" y="4858200"/>
          <a:ext cx="600840" cy="256680"/>
        </a:xfrm>
        <a:prstGeom prst="rect">
          <a:avLst/>
        </a:prstGeom>
        <a:noFill/>
        <a:ln w="9360">
          <a:noFill/>
        </a:ln>
      </xdr:spPr>
      <xdr:txBody>
        <a:bodyPr lIns="27360" rIns="0" tIns="23040" bIns="0" anchor="ctr"/>
        <a:p>
          <a:pPr>
            <a:lnSpc>
              <a:spcPct val="100000"/>
            </a:lnSpc>
          </a:pPr>
          <a:r>
            <a:rPr lang="en-GB" sz="1000">
              <a:solidFill>
                <a:srgbClr val="000000"/>
              </a:solidFill>
              <a:latin typeface="Arial"/>
            </a:rPr>
            <a:t>84.5kΩ</a:t>
          </a:r>
          <a:endParaRPr/>
        </a:p>
      </xdr:txBody>
    </xdr:sp>
    <xdr:clientData/>
  </xdr:twoCellAnchor>
  <xdr:twoCellAnchor editAs="oneCell">
    <xdr:from>
      <xdr:col>7</xdr:col>
      <xdr:colOff>442080</xdr:colOff>
      <xdr:row>4</xdr:row>
      <xdr:rowOff>56160</xdr:rowOff>
    </xdr:from>
    <xdr:to>
      <xdr:col>7</xdr:col>
      <xdr:colOff>1031760</xdr:colOff>
      <xdr:row>5</xdr:row>
      <xdr:rowOff>96120</xdr:rowOff>
    </xdr:to>
    <xdr:sp>
      <xdr:nvSpPr>
        <xdr:cNvPr id="120" name="CustomShape 1"/>
        <xdr:cNvSpPr/>
      </xdr:nvSpPr>
      <xdr:spPr>
        <a:xfrm>
          <a:off x="8021880" y="703800"/>
          <a:ext cx="589680" cy="201600"/>
        </a:xfrm>
        <a:prstGeom prst="rect">
          <a:avLst/>
        </a:prstGeom>
        <a:noFill/>
        <a:ln w="9360">
          <a:noFill/>
        </a:ln>
      </xdr:spPr>
      <xdr:txBody>
        <a:bodyPr lIns="27360" rIns="0" tIns="23040" bIns="0"/>
        <a:p>
          <a:pPr algn="r">
            <a:lnSpc>
              <a:spcPct val="100000"/>
            </a:lnSpc>
          </a:pPr>
          <a:r>
            <a:rPr lang="en-GB" sz="1000">
              <a:solidFill>
                <a:srgbClr val="000000"/>
              </a:solidFill>
              <a:latin typeface="Arial"/>
            </a:rPr>
            <a:t>3.09kΩ</a:t>
          </a:r>
          <a:endParaRPr/>
        </a:p>
      </xdr:txBody>
    </xdr:sp>
    <xdr:clientData/>
  </xdr:twoCellAnchor>
  <xdr:twoCellAnchor editAs="oneCell">
    <xdr:from>
      <xdr:col>2</xdr:col>
      <xdr:colOff>169560</xdr:colOff>
      <xdr:row>30</xdr:row>
      <xdr:rowOff>108000</xdr:rowOff>
    </xdr:from>
    <xdr:to>
      <xdr:col>2</xdr:col>
      <xdr:colOff>726480</xdr:colOff>
      <xdr:row>31</xdr:row>
      <xdr:rowOff>158400</xdr:rowOff>
    </xdr:to>
    <xdr:sp>
      <xdr:nvSpPr>
        <xdr:cNvPr id="121" name="CustomShape 1"/>
        <xdr:cNvSpPr/>
      </xdr:nvSpPr>
      <xdr:spPr>
        <a:xfrm>
          <a:off x="1832400" y="4965480"/>
          <a:ext cx="556920" cy="212400"/>
        </a:xfrm>
        <a:prstGeom prst="rect">
          <a:avLst/>
        </a:prstGeom>
        <a:noFill/>
        <a:ln w="9360">
          <a:noFill/>
        </a:ln>
      </xdr:spPr>
      <xdr:txBody>
        <a:bodyPr lIns="27360" rIns="0" tIns="23040" bIns="0"/>
        <a:p>
          <a:pPr algn="r">
            <a:lnSpc>
              <a:spcPct val="100000"/>
            </a:lnSpc>
          </a:pPr>
          <a:r>
            <a:rPr lang="en-GB" sz="1000">
              <a:solidFill>
                <a:srgbClr val="000000"/>
              </a:solidFill>
              <a:latin typeface="Arialri"/>
            </a:rPr>
            <a:t>11.3kΩ</a:t>
          </a:r>
          <a:endParaRPr/>
        </a:p>
      </xdr:txBody>
    </xdr:sp>
    <xdr:clientData/>
  </xdr:twoCellAnchor>
  <xdr:twoCellAnchor editAs="oneCell">
    <xdr:from>
      <xdr:col>2</xdr:col>
      <xdr:colOff>312480</xdr:colOff>
      <xdr:row>29</xdr:row>
      <xdr:rowOff>28800</xdr:rowOff>
    </xdr:from>
    <xdr:to>
      <xdr:col>2</xdr:col>
      <xdr:colOff>717840</xdr:colOff>
      <xdr:row>30</xdr:row>
      <xdr:rowOff>64800</xdr:rowOff>
    </xdr:to>
    <xdr:sp>
      <xdr:nvSpPr>
        <xdr:cNvPr id="122" name="CustomShape 1"/>
        <xdr:cNvSpPr/>
      </xdr:nvSpPr>
      <xdr:spPr>
        <a:xfrm>
          <a:off x="1975320" y="4724280"/>
          <a:ext cx="405360" cy="198000"/>
        </a:xfrm>
        <a:prstGeom prst="rect">
          <a:avLst/>
        </a:prstGeom>
        <a:noFill/>
        <a:ln w="9360">
          <a:noFill/>
        </a:ln>
      </xdr:spPr>
      <xdr:txBody>
        <a:bodyPr lIns="27360" rIns="0" tIns="27360" bIns="0"/>
        <a:p>
          <a:pPr algn="r">
            <a:lnSpc>
              <a:spcPct val="100000"/>
            </a:lnSpc>
          </a:pPr>
          <a:r>
            <a:rPr lang="en-GB" sz="1000">
              <a:solidFill>
                <a:srgbClr val="000000"/>
              </a:solidFill>
              <a:latin typeface="Arial"/>
            </a:rPr>
            <a:t>R</a:t>
          </a:r>
          <a:r>
            <a:rPr lang="en-GB" sz="1000" baseline="-25000">
              <a:solidFill>
                <a:srgbClr val="000000"/>
              </a:solidFill>
              <a:latin typeface="Arial"/>
            </a:rPr>
            <a:t>UV2</a:t>
          </a:r>
          <a:endParaRPr/>
        </a:p>
      </xdr:txBody>
    </xdr:sp>
    <xdr:clientData/>
  </xdr:twoCellAnchor>
  <xdr:twoCellAnchor editAs="oneCell">
    <xdr:from>
      <xdr:col>2</xdr:col>
      <xdr:colOff>163080</xdr:colOff>
      <xdr:row>26</xdr:row>
      <xdr:rowOff>59760</xdr:rowOff>
    </xdr:from>
    <xdr:to>
      <xdr:col>2</xdr:col>
      <xdr:colOff>720000</xdr:colOff>
      <xdr:row>27</xdr:row>
      <xdr:rowOff>104400</xdr:rowOff>
    </xdr:to>
    <xdr:sp>
      <xdr:nvSpPr>
        <xdr:cNvPr id="123" name="CustomShape 1"/>
        <xdr:cNvSpPr/>
      </xdr:nvSpPr>
      <xdr:spPr>
        <a:xfrm>
          <a:off x="1825920" y="4269600"/>
          <a:ext cx="556920" cy="206640"/>
        </a:xfrm>
        <a:prstGeom prst="rect">
          <a:avLst/>
        </a:prstGeom>
        <a:noFill/>
        <a:ln w="9360">
          <a:noFill/>
        </a:ln>
      </xdr:spPr>
      <xdr:txBody>
        <a:bodyPr lIns="27360" rIns="0" tIns="23040" bIns="0"/>
        <a:p>
          <a:pPr algn="r">
            <a:lnSpc>
              <a:spcPct val="100000"/>
            </a:lnSpc>
          </a:pPr>
          <a:r>
            <a:rPr lang="en-GB" sz="1000">
              <a:solidFill>
                <a:srgbClr val="000000"/>
              </a:solidFill>
              <a:latin typeface="Arialri"/>
            </a:rPr>
            <a:t>78.7kΩ</a:t>
          </a:r>
          <a:endParaRPr/>
        </a:p>
      </xdr:txBody>
    </xdr:sp>
    <xdr:clientData/>
  </xdr:twoCellAnchor>
  <xdr:twoCellAnchor editAs="oneCell">
    <xdr:from>
      <xdr:col>2</xdr:col>
      <xdr:colOff>360000</xdr:colOff>
      <xdr:row>24</xdr:row>
      <xdr:rowOff>154440</xdr:rowOff>
    </xdr:from>
    <xdr:to>
      <xdr:col>2</xdr:col>
      <xdr:colOff>765360</xdr:colOff>
      <xdr:row>26</xdr:row>
      <xdr:rowOff>28800</xdr:rowOff>
    </xdr:to>
    <xdr:sp>
      <xdr:nvSpPr>
        <xdr:cNvPr id="124" name="CustomShape 1"/>
        <xdr:cNvSpPr/>
      </xdr:nvSpPr>
      <xdr:spPr>
        <a:xfrm>
          <a:off x="2022840" y="4040640"/>
          <a:ext cx="405360" cy="198000"/>
        </a:xfrm>
        <a:prstGeom prst="rect">
          <a:avLst/>
        </a:prstGeom>
        <a:noFill/>
        <a:ln w="9360">
          <a:noFill/>
        </a:ln>
      </xdr:spPr>
      <xdr:txBody>
        <a:bodyPr lIns="27360" rIns="0" tIns="27360" bIns="0"/>
        <a:p>
          <a:pPr algn="ctr">
            <a:lnSpc>
              <a:spcPct val="100000"/>
            </a:lnSpc>
          </a:pPr>
          <a:r>
            <a:rPr lang="en-GB" sz="1000">
              <a:solidFill>
                <a:srgbClr val="000000"/>
              </a:solidFill>
              <a:latin typeface="Arial"/>
            </a:rPr>
            <a:t>R</a:t>
          </a:r>
          <a:r>
            <a:rPr lang="en-GB" sz="1000" baseline="-25000">
              <a:solidFill>
                <a:srgbClr val="000000"/>
              </a:solidFill>
              <a:latin typeface="Arial"/>
            </a:rPr>
            <a:t>UV1</a:t>
          </a:r>
          <a:endParaRPr/>
        </a:p>
      </xdr:txBody>
    </xdr:sp>
    <xdr:clientData/>
  </xdr:twoCellAnchor>
  <xdr:twoCellAnchor editAs="oneCell">
    <xdr:from>
      <xdr:col>7</xdr:col>
      <xdr:colOff>290160</xdr:colOff>
      <xdr:row>13</xdr:row>
      <xdr:rowOff>126360</xdr:rowOff>
    </xdr:from>
    <xdr:to>
      <xdr:col>7</xdr:col>
      <xdr:colOff>800640</xdr:colOff>
      <xdr:row>15</xdr:row>
      <xdr:rowOff>36360</xdr:rowOff>
    </xdr:to>
    <xdr:sp>
      <xdr:nvSpPr>
        <xdr:cNvPr id="125" name="CustomShape 1"/>
        <xdr:cNvSpPr/>
      </xdr:nvSpPr>
      <xdr:spPr>
        <a:xfrm>
          <a:off x="7869960" y="2231280"/>
          <a:ext cx="510480" cy="233640"/>
        </a:xfrm>
        <a:prstGeom prst="rect">
          <a:avLst/>
        </a:prstGeom>
        <a:noFill/>
        <a:ln w="9360">
          <a:noFill/>
        </a:ln>
      </xdr:spPr>
      <xdr:txBody>
        <a:bodyPr lIns="27360" rIns="0" tIns="23040" bIns="0" anchor="ctr"/>
        <a:p>
          <a:pPr>
            <a:lnSpc>
              <a:spcPct val="100000"/>
            </a:lnSpc>
          </a:pPr>
          <a:r>
            <a:rPr lang="en-GB" sz="1000">
              <a:solidFill>
                <a:srgbClr val="000000"/>
              </a:solidFill>
              <a:latin typeface="Arialri"/>
            </a:rPr>
            <a:t>1.1mΩ</a:t>
          </a:r>
          <a:endParaRPr/>
        </a:p>
      </xdr:txBody>
    </xdr:sp>
    <xdr:clientData/>
  </xdr:twoCellAnchor>
  <xdr:twoCellAnchor editAs="oneCell">
    <xdr:from>
      <xdr:col>4</xdr:col>
      <xdr:colOff>1076040</xdr:colOff>
      <xdr:row>25</xdr:row>
      <xdr:rowOff>17640</xdr:rowOff>
    </xdr:from>
    <xdr:to>
      <xdr:col>5</xdr:col>
      <xdr:colOff>404640</xdr:colOff>
      <xdr:row>26</xdr:row>
      <xdr:rowOff>76320</xdr:rowOff>
    </xdr:to>
    <xdr:sp>
      <xdr:nvSpPr>
        <xdr:cNvPr id="126" name="CustomShape 1"/>
        <xdr:cNvSpPr/>
      </xdr:nvSpPr>
      <xdr:spPr>
        <a:xfrm>
          <a:off x="5299200" y="4065480"/>
          <a:ext cx="548640" cy="220680"/>
        </a:xfrm>
        <a:prstGeom prst="rect">
          <a:avLst/>
        </a:prstGeom>
        <a:noFill/>
        <a:ln w="9360">
          <a:noFill/>
        </a:ln>
      </xdr:spPr>
      <xdr:txBody>
        <a:bodyPr lIns="27360" rIns="0" tIns="27360" bIns="0"/>
        <a:p>
          <a:pPr>
            <a:lnSpc>
              <a:spcPct val="100000"/>
            </a:lnSpc>
          </a:pPr>
          <a:r>
            <a:rPr lang="en-GB" sz="1000">
              <a:solidFill>
                <a:srgbClr val="000000"/>
              </a:solidFill>
              <a:latin typeface="Arial"/>
            </a:rPr>
            <a:t>R</a:t>
          </a:r>
          <a:r>
            <a:rPr lang="en-GB" sz="1000" baseline="-25000">
              <a:solidFill>
                <a:srgbClr val="000000"/>
              </a:solidFill>
              <a:latin typeface="Arial"/>
            </a:rPr>
            <a:t>PGOOD</a:t>
          </a:r>
          <a:endParaRPr/>
        </a:p>
      </xdr:txBody>
    </xdr:sp>
    <xdr:clientData/>
  </xdr:twoCellAnchor>
  <xdr:twoCellAnchor editAs="oneCell">
    <xdr:from>
      <xdr:col>4</xdr:col>
      <xdr:colOff>1153080</xdr:colOff>
      <xdr:row>26</xdr:row>
      <xdr:rowOff>30600</xdr:rowOff>
    </xdr:from>
    <xdr:to>
      <xdr:col>5</xdr:col>
      <xdr:colOff>602640</xdr:colOff>
      <xdr:row>27</xdr:row>
      <xdr:rowOff>104760</xdr:rowOff>
    </xdr:to>
    <xdr:sp>
      <xdr:nvSpPr>
        <xdr:cNvPr id="127" name="CustomShape 1"/>
        <xdr:cNvSpPr/>
      </xdr:nvSpPr>
      <xdr:spPr>
        <a:xfrm>
          <a:off x="5376240" y="4240440"/>
          <a:ext cx="669600" cy="236160"/>
        </a:xfrm>
        <a:prstGeom prst="rect">
          <a:avLst/>
        </a:prstGeom>
        <a:noFill/>
        <a:ln w="9360">
          <a:noFill/>
        </a:ln>
      </xdr:spPr>
      <xdr:txBody>
        <a:bodyPr lIns="27360" rIns="0" tIns="23040" bIns="0" anchor="ctr"/>
        <a:p>
          <a:pPr>
            <a:lnSpc>
              <a:spcPct val="100000"/>
            </a:lnSpc>
          </a:pPr>
          <a:r>
            <a:rPr lang="en-GB" sz="1000">
              <a:solidFill>
                <a:srgbClr val="000000"/>
              </a:solidFill>
              <a:latin typeface="Arialri"/>
            </a:rPr>
            <a:t>20kΩ</a:t>
          </a:r>
          <a:endParaRPr/>
        </a:p>
      </xdr:txBody>
    </xdr:sp>
    <xdr:clientData/>
  </xdr:twoCellAnchor>
  <xdr:twoCellAnchor editAs="oneCell">
    <xdr:from>
      <xdr:col>3</xdr:col>
      <xdr:colOff>1161720</xdr:colOff>
      <xdr:row>25</xdr:row>
      <xdr:rowOff>28800</xdr:rowOff>
    </xdr:from>
    <xdr:to>
      <xdr:col>4</xdr:col>
      <xdr:colOff>180360</xdr:colOff>
      <xdr:row>26</xdr:row>
      <xdr:rowOff>97200</xdr:rowOff>
    </xdr:to>
    <xdr:sp>
      <xdr:nvSpPr>
        <xdr:cNvPr id="128" name="CustomShape 1"/>
        <xdr:cNvSpPr/>
      </xdr:nvSpPr>
      <xdr:spPr>
        <a:xfrm>
          <a:off x="3963960" y="4076640"/>
          <a:ext cx="439560" cy="230400"/>
        </a:xfrm>
        <a:prstGeom prst="rect">
          <a:avLst/>
        </a:prstGeom>
        <a:noFill/>
        <a:ln w="9360">
          <a:noFill/>
        </a:ln>
      </xdr:spPr>
      <xdr:txBody>
        <a:bodyPr lIns="27360" rIns="0" tIns="27360" bIns="0"/>
        <a:p>
          <a:pPr>
            <a:lnSpc>
              <a:spcPct val="100000"/>
            </a:lnSpc>
          </a:pPr>
          <a:r>
            <a:rPr lang="en-GB" sz="1000">
              <a:solidFill>
                <a:srgbClr val="000000"/>
              </a:solidFill>
              <a:latin typeface="Arial"/>
            </a:rPr>
            <a:t>C</a:t>
          </a:r>
          <a:r>
            <a:rPr lang="en-GB" sz="1000" baseline="-25000">
              <a:solidFill>
                <a:srgbClr val="000000"/>
              </a:solidFill>
              <a:latin typeface="Arial"/>
            </a:rPr>
            <a:t>D</a:t>
          </a:r>
          <a:endParaRPr/>
        </a:p>
      </xdr:txBody>
    </xdr:sp>
    <xdr:clientData/>
  </xdr:twoCellAnchor>
  <xdr:twoCellAnchor editAs="oneCell">
    <xdr:from>
      <xdr:col>1</xdr:col>
      <xdr:colOff>696600</xdr:colOff>
      <xdr:row>12</xdr:row>
      <xdr:rowOff>40320</xdr:rowOff>
    </xdr:from>
    <xdr:to>
      <xdr:col>2</xdr:col>
      <xdr:colOff>47160</xdr:colOff>
      <xdr:row>13</xdr:row>
      <xdr:rowOff>79560</xdr:rowOff>
    </xdr:to>
    <xdr:sp>
      <xdr:nvSpPr>
        <xdr:cNvPr id="129" name="CustomShape 1"/>
        <xdr:cNvSpPr/>
      </xdr:nvSpPr>
      <xdr:spPr>
        <a:xfrm>
          <a:off x="1311120" y="1983240"/>
          <a:ext cx="398880" cy="201240"/>
        </a:xfrm>
        <a:prstGeom prst="rect">
          <a:avLst/>
        </a:prstGeom>
        <a:noFill/>
        <a:ln w="9360">
          <a:noFill/>
        </a:ln>
      </xdr:spPr>
      <xdr:txBody>
        <a:bodyPr lIns="27360" rIns="0" tIns="23040" bIns="0" anchor="ctr"/>
        <a:p>
          <a:pPr algn="ctr">
            <a:lnSpc>
              <a:spcPct val="100000"/>
            </a:lnSpc>
          </a:pPr>
          <a:r>
            <a:rPr lang="en-GB" sz="1000">
              <a:solidFill>
                <a:srgbClr val="000000"/>
              </a:solidFill>
              <a:latin typeface="Arialri"/>
            </a:rPr>
            <a:t>4.64kΩ</a:t>
          </a:r>
          <a:endParaRPr/>
        </a:p>
      </xdr:txBody>
    </xdr:sp>
    <xdr:clientData/>
  </xdr:twoCellAnchor>
  <xdr:twoCellAnchor editAs="oneCell">
    <xdr:from>
      <xdr:col>3</xdr:col>
      <xdr:colOff>1106280</xdr:colOff>
      <xdr:row>26</xdr:row>
      <xdr:rowOff>47520</xdr:rowOff>
    </xdr:from>
    <xdr:to>
      <xdr:col>4</xdr:col>
      <xdr:colOff>219960</xdr:colOff>
      <xdr:row>27</xdr:row>
      <xdr:rowOff>84240</xdr:rowOff>
    </xdr:to>
    <xdr:sp>
      <xdr:nvSpPr>
        <xdr:cNvPr id="130" name="CustomShape 1"/>
        <xdr:cNvSpPr/>
      </xdr:nvSpPr>
      <xdr:spPr>
        <a:xfrm>
          <a:off x="3908520" y="4257360"/>
          <a:ext cx="534600" cy="198720"/>
        </a:xfrm>
        <a:prstGeom prst="rect">
          <a:avLst/>
        </a:prstGeom>
        <a:noFill/>
        <a:ln w="9360">
          <a:noFill/>
        </a:ln>
      </xdr:spPr>
      <xdr:txBody>
        <a:bodyPr lIns="27360" rIns="0" tIns="23040" bIns="0"/>
        <a:p>
          <a:pPr>
            <a:lnSpc>
              <a:spcPct val="100000"/>
            </a:lnSpc>
          </a:pPr>
          <a:r>
            <a:rPr lang="en-GB" sz="1000">
              <a:solidFill>
                <a:srgbClr val="000000"/>
              </a:solidFill>
              <a:latin typeface="Arialri"/>
            </a:rPr>
            <a:t>1nF</a:t>
          </a:r>
          <a:endParaRPr/>
        </a:p>
      </xdr:txBody>
    </xdr:sp>
    <xdr:clientData/>
  </xdr:twoCellAnchor>
  <xdr:twoCellAnchor editAs="oneCell">
    <xdr:from>
      <xdr:col>6</xdr:col>
      <xdr:colOff>218160</xdr:colOff>
      <xdr:row>8</xdr:row>
      <xdr:rowOff>92160</xdr:rowOff>
    </xdr:from>
    <xdr:to>
      <xdr:col>6</xdr:col>
      <xdr:colOff>405360</xdr:colOff>
      <xdr:row>9</xdr:row>
      <xdr:rowOff>146520</xdr:rowOff>
    </xdr:to>
    <xdr:sp>
      <xdr:nvSpPr>
        <xdr:cNvPr id="131" name="CustomShape 1"/>
        <xdr:cNvSpPr/>
      </xdr:nvSpPr>
      <xdr:spPr>
        <a:xfrm>
          <a:off x="7112880" y="1387440"/>
          <a:ext cx="187200" cy="216360"/>
        </a:xfrm>
        <a:prstGeom prst="rect">
          <a:avLst/>
        </a:prstGeom>
        <a:noFill/>
        <a:ln w="9360">
          <a:noFill/>
        </a:ln>
      </xdr:spPr>
      <xdr:txBody>
        <a:bodyPr lIns="27360" rIns="0" tIns="27360" bIns="0"/>
        <a:p>
          <a:pPr>
            <a:lnSpc>
              <a:spcPct val="100000"/>
            </a:lnSpc>
          </a:pPr>
          <a:r>
            <a:rPr lang="en-GB" sz="1000">
              <a:solidFill>
                <a:srgbClr val="000000"/>
              </a:solidFill>
              <a:latin typeface="Arial"/>
            </a:rPr>
            <a:t>Q</a:t>
          </a:r>
          <a:r>
            <a:rPr lang="en-GB" sz="1000" baseline="-25000">
              <a:solidFill>
                <a:srgbClr val="000000"/>
              </a:solidFill>
              <a:latin typeface="Arial"/>
            </a:rPr>
            <a:t>1</a:t>
          </a:r>
          <a:endParaRPr/>
        </a:p>
      </xdr:txBody>
    </xdr:sp>
    <xdr:clientData/>
  </xdr:twoCellAnchor>
  <xdr:twoCellAnchor editAs="oneCell">
    <xdr:from>
      <xdr:col>6</xdr:col>
      <xdr:colOff>222840</xdr:colOff>
      <xdr:row>14</xdr:row>
      <xdr:rowOff>110160</xdr:rowOff>
    </xdr:from>
    <xdr:to>
      <xdr:col>6</xdr:col>
      <xdr:colOff>410040</xdr:colOff>
      <xdr:row>16</xdr:row>
      <xdr:rowOff>3240</xdr:rowOff>
    </xdr:to>
    <xdr:sp>
      <xdr:nvSpPr>
        <xdr:cNvPr id="132" name="CustomShape 1"/>
        <xdr:cNvSpPr/>
      </xdr:nvSpPr>
      <xdr:spPr>
        <a:xfrm>
          <a:off x="7117560" y="2377080"/>
          <a:ext cx="187200" cy="216720"/>
        </a:xfrm>
        <a:prstGeom prst="rect">
          <a:avLst/>
        </a:prstGeom>
        <a:noFill/>
        <a:ln w="9360">
          <a:noFill/>
        </a:ln>
      </xdr:spPr>
      <xdr:txBody>
        <a:bodyPr lIns="27360" rIns="0" tIns="27360" bIns="0"/>
        <a:p>
          <a:pPr>
            <a:lnSpc>
              <a:spcPct val="100000"/>
            </a:lnSpc>
          </a:pPr>
          <a:r>
            <a:rPr lang="en-GB" sz="1000">
              <a:solidFill>
                <a:srgbClr val="000000"/>
              </a:solidFill>
              <a:latin typeface="Arial"/>
            </a:rPr>
            <a:t>Q</a:t>
          </a:r>
          <a:r>
            <a:rPr lang="en-GB" sz="1000" baseline="-25000">
              <a:solidFill>
                <a:srgbClr val="000000"/>
              </a:solidFill>
              <a:latin typeface="Arial"/>
            </a:rPr>
            <a:t>2</a:t>
          </a:r>
          <a:endParaRPr/>
        </a:p>
      </xdr:txBody>
    </xdr:sp>
    <xdr:clientData/>
  </xdr:twoCellAnchor>
  <xdr:twoCellAnchor editAs="oneCell">
    <xdr:from>
      <xdr:col>8</xdr:col>
      <xdr:colOff>194040</xdr:colOff>
      <xdr:row>15</xdr:row>
      <xdr:rowOff>29160</xdr:rowOff>
    </xdr:from>
    <xdr:to>
      <xdr:col>8</xdr:col>
      <xdr:colOff>598680</xdr:colOff>
      <xdr:row>16</xdr:row>
      <xdr:rowOff>101880</xdr:rowOff>
    </xdr:to>
    <xdr:sp>
      <xdr:nvSpPr>
        <xdr:cNvPr id="133" name="CustomShape 1"/>
        <xdr:cNvSpPr/>
      </xdr:nvSpPr>
      <xdr:spPr>
        <a:xfrm>
          <a:off x="8912880" y="2457720"/>
          <a:ext cx="404640" cy="234720"/>
        </a:xfrm>
        <a:prstGeom prst="rect">
          <a:avLst/>
        </a:prstGeom>
        <a:noFill/>
        <a:ln w="9360">
          <a:noFill/>
        </a:ln>
      </xdr:spPr>
      <xdr:txBody>
        <a:bodyPr lIns="27360" rIns="0" tIns="27360" bIns="0" anchor="ctr"/>
        <a:p>
          <a:pPr>
            <a:lnSpc>
              <a:spcPct val="100000"/>
            </a:lnSpc>
          </a:pPr>
          <a:r>
            <a:rPr lang="en-GB" sz="1000">
              <a:solidFill>
                <a:srgbClr val="000000"/>
              </a:solidFill>
              <a:latin typeface="Arial"/>
            </a:rPr>
            <a:t>Q</a:t>
          </a:r>
          <a:r>
            <a:rPr lang="en-GB" sz="1000" baseline="-25000">
              <a:solidFill>
                <a:srgbClr val="000000"/>
              </a:solidFill>
              <a:latin typeface="Arial"/>
            </a:rPr>
            <a:t>T</a:t>
          </a:r>
          <a:endParaRPr/>
        </a:p>
      </xdr:txBody>
    </xdr:sp>
    <xdr:clientData/>
  </xdr:twoCellAnchor>
  <xdr:twoCellAnchor editAs="oneCell">
    <xdr:from>
      <xdr:col>6</xdr:col>
      <xdr:colOff>618480</xdr:colOff>
      <xdr:row>14</xdr:row>
      <xdr:rowOff>110160</xdr:rowOff>
    </xdr:from>
    <xdr:to>
      <xdr:col>7</xdr:col>
      <xdr:colOff>376560</xdr:colOff>
      <xdr:row>15</xdr:row>
      <xdr:rowOff>161280</xdr:rowOff>
    </xdr:to>
    <xdr:sp>
      <xdr:nvSpPr>
        <xdr:cNvPr id="134" name="CustomShape 1"/>
        <xdr:cNvSpPr/>
      </xdr:nvSpPr>
      <xdr:spPr>
        <a:xfrm>
          <a:off x="7513200" y="2377080"/>
          <a:ext cx="443160" cy="212760"/>
        </a:xfrm>
        <a:prstGeom prst="rect">
          <a:avLst/>
        </a:prstGeom>
        <a:noFill/>
        <a:ln w="9360">
          <a:noFill/>
        </a:ln>
      </xdr:spPr>
      <xdr:txBody>
        <a:bodyPr lIns="27360" rIns="0" tIns="23040" bIns="0" anchor="ctr"/>
        <a:p>
          <a:pPr>
            <a:lnSpc>
              <a:spcPct val="100000"/>
            </a:lnSpc>
          </a:pPr>
          <a:r>
            <a:rPr lang="en-GB" sz="1000">
              <a:solidFill>
                <a:srgbClr val="000000"/>
              </a:solidFill>
              <a:latin typeface="Arialri"/>
            </a:rPr>
            <a:t>2 x</a:t>
          </a:r>
          <a:endParaRPr/>
        </a:p>
      </xdr:txBody>
    </xdr:sp>
    <xdr:clientData/>
  </xdr:twoCellAnchor>
  <xdr:twoCellAnchor editAs="oneCell">
    <xdr:from>
      <xdr:col>3</xdr:col>
      <xdr:colOff>160200</xdr:colOff>
      <xdr:row>4</xdr:row>
      <xdr:rowOff>55080</xdr:rowOff>
    </xdr:from>
    <xdr:to>
      <xdr:col>3</xdr:col>
      <xdr:colOff>515160</xdr:colOff>
      <xdr:row>5</xdr:row>
      <xdr:rowOff>105120</xdr:rowOff>
    </xdr:to>
    <xdr:sp>
      <xdr:nvSpPr>
        <xdr:cNvPr id="135" name="CustomShape 1"/>
        <xdr:cNvSpPr/>
      </xdr:nvSpPr>
      <xdr:spPr>
        <a:xfrm>
          <a:off x="2962440" y="702720"/>
          <a:ext cx="354960" cy="211680"/>
        </a:xfrm>
        <a:prstGeom prst="rect">
          <a:avLst/>
        </a:prstGeom>
        <a:noFill/>
        <a:ln w="9360">
          <a:noFill/>
        </a:ln>
      </xdr:spPr>
      <xdr:txBody>
        <a:bodyPr lIns="27360" rIns="0" tIns="27360" bIns="0"/>
        <a:p>
          <a:pPr>
            <a:lnSpc>
              <a:spcPct val="100000"/>
            </a:lnSpc>
          </a:pPr>
          <a:r>
            <a:rPr lang="en-GB" sz="1000">
              <a:solidFill>
                <a:srgbClr val="000000"/>
              </a:solidFill>
              <a:latin typeface="Arial"/>
            </a:rPr>
            <a:t>U</a:t>
          </a:r>
          <a:r>
            <a:rPr lang="en-GB" sz="1000" baseline="-25000">
              <a:solidFill>
                <a:srgbClr val="000000"/>
              </a:solidFill>
              <a:latin typeface="Arial"/>
            </a:rPr>
            <a:t>1</a:t>
          </a:r>
          <a:endParaRPr/>
        </a:p>
      </xdr:txBody>
    </xdr:sp>
    <xdr:clientData/>
  </xdr:twoCellAnchor>
  <xdr:twoCellAnchor editAs="oneCell">
    <xdr:from>
      <xdr:col>9</xdr:col>
      <xdr:colOff>55440</xdr:colOff>
      <xdr:row>15</xdr:row>
      <xdr:rowOff>148320</xdr:rowOff>
    </xdr:from>
    <xdr:to>
      <xdr:col>9</xdr:col>
      <xdr:colOff>458280</xdr:colOff>
      <xdr:row>17</xdr:row>
      <xdr:rowOff>37440</xdr:rowOff>
    </xdr:to>
    <xdr:sp>
      <xdr:nvSpPr>
        <xdr:cNvPr id="136" name="CustomShape 1"/>
        <xdr:cNvSpPr/>
      </xdr:nvSpPr>
      <xdr:spPr>
        <a:xfrm>
          <a:off x="9812160" y="2576880"/>
          <a:ext cx="402840" cy="213120"/>
        </a:xfrm>
        <a:prstGeom prst="rect">
          <a:avLst/>
        </a:prstGeom>
        <a:noFill/>
        <a:ln w="9360">
          <a:noFill/>
        </a:ln>
      </xdr:spPr>
      <xdr:txBody>
        <a:bodyPr lIns="27360" rIns="0" tIns="23040" bIns="0" anchor="ctr"/>
        <a:p>
          <a:pPr>
            <a:lnSpc>
              <a:spcPct val="100000"/>
            </a:lnSpc>
          </a:pPr>
          <a:r>
            <a:rPr lang="en-GB" sz="1000">
              <a:solidFill>
                <a:srgbClr val="000000"/>
              </a:solidFill>
              <a:latin typeface="Arialri"/>
            </a:rPr>
            <a:t>100µF</a:t>
          </a:r>
          <a:endParaRPr/>
        </a:p>
      </xdr:txBody>
    </xdr:sp>
    <xdr:clientData/>
  </xdr:twoCellAnchor>
  <xdr:twoCellAnchor editAs="oneCell">
    <xdr:from>
      <xdr:col>9</xdr:col>
      <xdr:colOff>76320</xdr:colOff>
      <xdr:row>14</xdr:row>
      <xdr:rowOff>150840</xdr:rowOff>
    </xdr:from>
    <xdr:to>
      <xdr:col>9</xdr:col>
      <xdr:colOff>479160</xdr:colOff>
      <xdr:row>16</xdr:row>
      <xdr:rowOff>39960</xdr:rowOff>
    </xdr:to>
    <xdr:sp>
      <xdr:nvSpPr>
        <xdr:cNvPr id="137" name="CustomShape 1"/>
        <xdr:cNvSpPr/>
      </xdr:nvSpPr>
      <xdr:spPr>
        <a:xfrm>
          <a:off x="9833040" y="2417760"/>
          <a:ext cx="402840" cy="212760"/>
        </a:xfrm>
        <a:prstGeom prst="rect">
          <a:avLst/>
        </a:prstGeom>
        <a:noFill/>
        <a:ln w="9360">
          <a:noFill/>
        </a:ln>
      </xdr:spPr>
      <xdr:txBody>
        <a:bodyPr lIns="27360" rIns="0" tIns="23040" bIns="0" anchor="ctr"/>
        <a:p>
          <a:pPr>
            <a:lnSpc>
              <a:spcPct val="100000"/>
            </a:lnSpc>
          </a:pPr>
          <a:r>
            <a:rPr lang="en-GB" sz="1000">
              <a:solidFill>
                <a:srgbClr val="000000"/>
              </a:solidFill>
              <a:latin typeface="Arialri"/>
            </a:rPr>
            <a:t>3 x</a:t>
          </a:r>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12</xdr:col>
      <xdr:colOff>81360</xdr:colOff>
      <xdr:row>35</xdr:row>
      <xdr:rowOff>57600</xdr:rowOff>
    </xdr:from>
    <xdr:to>
      <xdr:col>21</xdr:col>
      <xdr:colOff>447480</xdr:colOff>
      <xdr:row>89</xdr:row>
      <xdr:rowOff>95400</xdr:rowOff>
    </xdr:to>
    <xdr:pic>
      <xdr:nvPicPr>
        <xdr:cNvPr id="138" name="Picture 3" descr=""/>
        <xdr:cNvPicPr/>
      </xdr:nvPicPr>
      <xdr:blipFill>
        <a:blip r:embed="rId1"/>
        <a:stretch>
          <a:fillRect/>
        </a:stretch>
      </xdr:blipFill>
      <xdr:spPr>
        <a:xfrm>
          <a:off x="7823160" y="6258240"/>
          <a:ext cx="6827760" cy="8781840"/>
        </a:xfrm>
        <a:prstGeom prst="rect">
          <a:avLst/>
        </a:prstGeom>
        <a:ln>
          <a:noFill/>
        </a:ln>
      </xdr:spPr>
    </xdr:pic>
    <xdr:clientData/>
  </xdr:twoCellAnchor>
  <xdr:twoCellAnchor editAs="oneCell">
    <xdr:from>
      <xdr:col>1</xdr:col>
      <xdr:colOff>46080</xdr:colOff>
      <xdr:row>7</xdr:row>
      <xdr:rowOff>57600</xdr:rowOff>
    </xdr:from>
    <xdr:to>
      <xdr:col>9</xdr:col>
      <xdr:colOff>605520</xdr:colOff>
      <xdr:row>32</xdr:row>
      <xdr:rowOff>142920</xdr:rowOff>
    </xdr:to>
    <xdr:pic>
      <xdr:nvPicPr>
        <xdr:cNvPr id="139" name="Picture 4" descr=""/>
        <xdr:cNvPicPr/>
      </xdr:nvPicPr>
      <xdr:blipFill>
        <a:blip r:embed="rId2"/>
        <a:stretch>
          <a:fillRect/>
        </a:stretch>
      </xdr:blipFill>
      <xdr:spPr>
        <a:xfrm>
          <a:off x="691200" y="1724400"/>
          <a:ext cx="5720760" cy="4133520"/>
        </a:xfrm>
        <a:prstGeom prst="rect">
          <a:avLst/>
        </a:prstGeom>
        <a:ln>
          <a:noFill/>
        </a:ln>
      </xdr:spPr>
    </xdr:pic>
    <xdr:clientData/>
  </xdr:twoCellAnchor>
  <xdr:twoCellAnchor editAs="oneCell">
    <xdr:from>
      <xdr:col>0</xdr:col>
      <xdr:colOff>274680</xdr:colOff>
      <xdr:row>35</xdr:row>
      <xdr:rowOff>124200</xdr:rowOff>
    </xdr:from>
    <xdr:to>
      <xdr:col>10</xdr:col>
      <xdr:colOff>325440</xdr:colOff>
      <xdr:row>89</xdr:row>
      <xdr:rowOff>104760</xdr:rowOff>
    </xdr:to>
    <xdr:pic>
      <xdr:nvPicPr>
        <xdr:cNvPr id="140" name="Picture 5" descr=""/>
        <xdr:cNvPicPr/>
      </xdr:nvPicPr>
      <xdr:blipFill>
        <a:blip r:embed="rId3"/>
        <a:stretch>
          <a:fillRect/>
        </a:stretch>
      </xdr:blipFill>
      <xdr:spPr>
        <a:xfrm>
          <a:off x="274680" y="6324840"/>
          <a:ext cx="6502320" cy="8724600"/>
        </a:xfrm>
        <a:prstGeom prst="rect">
          <a:avLst/>
        </a:prstGeom>
        <a:ln>
          <a:noFill/>
        </a:ln>
      </xdr:spPr>
    </xdr:pic>
    <xdr:clientData/>
  </xdr:twoCellAnchor>
  <xdr:twoCellAnchor editAs="oneCell">
    <xdr:from>
      <xdr:col>11</xdr:col>
      <xdr:colOff>554040</xdr:colOff>
      <xdr:row>7</xdr:row>
      <xdr:rowOff>66960</xdr:rowOff>
    </xdr:from>
    <xdr:to>
      <xdr:col>21</xdr:col>
      <xdr:colOff>414360</xdr:colOff>
      <xdr:row>31</xdr:row>
      <xdr:rowOff>80640</xdr:rowOff>
    </xdr:to>
    <xdr:pic>
      <xdr:nvPicPr>
        <xdr:cNvPr id="141" name="Picture 9" descr=""/>
        <xdr:cNvPicPr/>
      </xdr:nvPicPr>
      <xdr:blipFill>
        <a:blip r:embed="rId4"/>
        <a:stretch>
          <a:fillRect/>
        </a:stretch>
      </xdr:blipFill>
      <xdr:spPr>
        <a:xfrm>
          <a:off x="7650720" y="1733760"/>
          <a:ext cx="6967080" cy="389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9</xdr:col>
      <xdr:colOff>246240</xdr:colOff>
      <xdr:row>8</xdr:row>
      <xdr:rowOff>105480</xdr:rowOff>
    </xdr:from>
    <xdr:to>
      <xdr:col>17</xdr:col>
      <xdr:colOff>312840</xdr:colOff>
      <xdr:row>29</xdr:row>
      <xdr:rowOff>105480</xdr:rowOff>
    </xdr:to>
    <xdr:pic>
      <xdr:nvPicPr>
        <xdr:cNvPr id="142" name="Picture 1" descr=""/>
        <xdr:cNvPicPr/>
      </xdr:nvPicPr>
      <xdr:blipFill>
        <a:blip r:embed="rId1"/>
        <a:stretch>
          <a:fillRect/>
        </a:stretch>
      </xdr:blipFill>
      <xdr:spPr>
        <a:xfrm>
          <a:off x="9343800" y="1753200"/>
          <a:ext cx="5227920" cy="346716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36</xdr:col>
      <xdr:colOff>227160</xdr:colOff>
      <xdr:row>8</xdr:row>
      <xdr:rowOff>10080</xdr:rowOff>
    </xdr:from>
    <xdr:to>
      <xdr:col>44</xdr:col>
      <xdr:colOff>769680</xdr:colOff>
      <xdr:row>30</xdr:row>
      <xdr:rowOff>76320</xdr:rowOff>
    </xdr:to>
    <xdr:graphicFrame>
      <xdr:nvGraphicFramePr>
        <xdr:cNvPr id="143" name="Chart 11"/>
        <xdr:cNvGraphicFramePr/>
      </xdr:nvGraphicFramePr>
      <xdr:xfrm>
        <a:off x="25939440" y="1629000"/>
        <a:ext cx="5742000" cy="36288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28</xdr:col>
      <xdr:colOff>5400</xdr:colOff>
      <xdr:row>8</xdr:row>
      <xdr:rowOff>19440</xdr:rowOff>
    </xdr:from>
    <xdr:to>
      <xdr:col>36</xdr:col>
      <xdr:colOff>207720</xdr:colOff>
      <xdr:row>30</xdr:row>
      <xdr:rowOff>114480</xdr:rowOff>
    </xdr:to>
    <xdr:graphicFrame>
      <xdr:nvGraphicFramePr>
        <xdr:cNvPr id="144" name="Chart 15"/>
        <xdr:cNvGraphicFramePr/>
      </xdr:nvGraphicFramePr>
      <xdr:xfrm>
        <a:off x="20366640" y="1638360"/>
        <a:ext cx="5553360" cy="36576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28</xdr:col>
      <xdr:colOff>36360</xdr:colOff>
      <xdr:row>30</xdr:row>
      <xdr:rowOff>143280</xdr:rowOff>
    </xdr:from>
    <xdr:to>
      <xdr:col>36</xdr:col>
      <xdr:colOff>236160</xdr:colOff>
      <xdr:row>53</xdr:row>
      <xdr:rowOff>85680</xdr:rowOff>
    </xdr:to>
    <xdr:graphicFrame>
      <xdr:nvGraphicFramePr>
        <xdr:cNvPr id="145" name="Chart 16"/>
        <xdr:cNvGraphicFramePr/>
      </xdr:nvGraphicFramePr>
      <xdr:xfrm>
        <a:off x="20397600" y="5324760"/>
        <a:ext cx="5550840" cy="366660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75</xdr:col>
      <xdr:colOff>493560</xdr:colOff>
      <xdr:row>6</xdr:row>
      <xdr:rowOff>67320</xdr:rowOff>
    </xdr:from>
    <xdr:to>
      <xdr:col>84</xdr:col>
      <xdr:colOff>264600</xdr:colOff>
      <xdr:row>29</xdr:row>
      <xdr:rowOff>9720</xdr:rowOff>
    </xdr:to>
    <xdr:graphicFrame>
      <xdr:nvGraphicFramePr>
        <xdr:cNvPr id="146" name="Chart 18"/>
        <xdr:cNvGraphicFramePr/>
      </xdr:nvGraphicFramePr>
      <xdr:xfrm>
        <a:off x="53821440" y="1362600"/>
        <a:ext cx="5280120" cy="366660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264960</xdr:colOff>
      <xdr:row>40</xdr:row>
      <xdr:rowOff>95760</xdr:rowOff>
    </xdr:from>
    <xdr:to>
      <xdr:col>16</xdr:col>
      <xdr:colOff>273960</xdr:colOff>
      <xdr:row>69</xdr:row>
      <xdr:rowOff>114480</xdr:rowOff>
    </xdr:to>
    <xdr:graphicFrame>
      <xdr:nvGraphicFramePr>
        <xdr:cNvPr id="147" name="Chart 1"/>
        <xdr:cNvGraphicFramePr/>
      </xdr:nvGraphicFramePr>
      <xdr:xfrm>
        <a:off x="8773920" y="7086960"/>
        <a:ext cx="7380000" cy="47145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284040</xdr:colOff>
      <xdr:row>11</xdr:row>
      <xdr:rowOff>76680</xdr:rowOff>
    </xdr:from>
    <xdr:to>
      <xdr:col>26</xdr:col>
      <xdr:colOff>569520</xdr:colOff>
      <xdr:row>40</xdr:row>
      <xdr:rowOff>104760</xdr:rowOff>
    </xdr:to>
    <xdr:graphicFrame>
      <xdr:nvGraphicFramePr>
        <xdr:cNvPr id="148" name="Chart 2"/>
        <xdr:cNvGraphicFramePr/>
      </xdr:nvGraphicFramePr>
      <xdr:xfrm>
        <a:off x="16164000" y="2372040"/>
        <a:ext cx="7827480" cy="47239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274680</xdr:colOff>
      <xdr:row>11</xdr:row>
      <xdr:rowOff>67320</xdr:rowOff>
    </xdr:from>
    <xdr:to>
      <xdr:col>16</xdr:col>
      <xdr:colOff>274320</xdr:colOff>
      <xdr:row>40</xdr:row>
      <xdr:rowOff>95400</xdr:rowOff>
    </xdr:to>
    <xdr:graphicFrame>
      <xdr:nvGraphicFramePr>
        <xdr:cNvPr id="149" name="Chart 4"/>
        <xdr:cNvGraphicFramePr/>
      </xdr:nvGraphicFramePr>
      <xdr:xfrm>
        <a:off x="8783640" y="2362680"/>
        <a:ext cx="7370640" cy="472392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www.ti.com/product/lm27403" TargetMode="External"/><Relationship Id="rId3" Type="http://schemas.openxmlformats.org/officeDocument/2006/relationships/hyperlink" Target="http://www.ti.com/pol" TargetMode="External"/><Relationship Id="rId4" Type="http://schemas.openxmlformats.org/officeDocument/2006/relationships/drawing" Target="../drawings/drawing1.xml"/><Relationship Id="rId5" Type="http://schemas.openxmlformats.org/officeDocument/2006/relationships/vmlDrawing" Target="../drawings/vmlDrawing1.v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_rels/sheet7.xml.rels><?xml version="1.0" encoding="UTF-8"?>
<Relationships xmlns="http://schemas.openxmlformats.org/package/2006/relationships"><Relationship Id="rId1" Type="http://schemas.openxmlformats.org/officeDocument/2006/relationships/drawing" Target="../drawings/drawing6.xml"/>
</Relationships>
</file>

<file path=xl/worksheets/sheet1.xml><?xml version="1.0" encoding="utf-8"?>
<worksheet xmlns="http://schemas.openxmlformats.org/spreadsheetml/2006/main" xmlns:r="http://schemas.openxmlformats.org/officeDocument/2006/relationships">
  <sheetPr filterMode="false">
    <tabColor rgb="00FFFFFF"/>
    <pageSetUpPr fitToPage="true"/>
  </sheetPr>
  <dimension ref="1:106"/>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E28" activeCellId="0" sqref="E28"/>
    </sheetView>
  </sheetViews>
  <sheetFormatPr defaultRowHeight="12.75"/>
  <cols>
    <col collapsed="false" hidden="false" max="1" min="1" style="1" width="8.29081632653061"/>
    <col collapsed="false" hidden="false" max="2" min="2" style="2" width="8.29081632653061"/>
    <col collapsed="false" hidden="false" max="3" min="3" style="2" width="10.2857142857143"/>
    <col collapsed="false" hidden="false" max="4" min="4" style="2" width="10.8520408163265"/>
    <col collapsed="false" hidden="false" max="5" min="5" style="2" width="6.28061224489796"/>
    <col collapsed="false" hidden="false" max="6" min="6" style="2" width="8.29081632653061"/>
    <col collapsed="false" hidden="false" max="7" min="7" style="2" width="9.14285714285714"/>
    <col collapsed="false" hidden="false" max="8" min="8" style="2" width="11.8622448979592"/>
    <col collapsed="false" hidden="false" max="9" min="9" style="2" width="9.14285714285714"/>
    <col collapsed="false" hidden="false" max="10" min="10" style="2" width="12.4183673469388"/>
    <col collapsed="false" hidden="false" max="11" min="11" style="2" width="9.14285714285714"/>
    <col collapsed="false" hidden="false" max="12" min="12" style="2" width="12.4183673469388"/>
    <col collapsed="false" hidden="false" max="15" min="13" style="2" width="9.14285714285714"/>
    <col collapsed="false" hidden="false" max="16" min="16" style="2" width="10.1428571428571"/>
    <col collapsed="false" hidden="false" max="17" min="17" style="2" width="34.8571428571429"/>
    <col collapsed="false" hidden="false" max="18" min="18" style="2" width="3.14285714285714"/>
    <col collapsed="false" hidden="false" max="19" min="19" style="2" width="10"/>
    <col collapsed="false" hidden="false" max="1025" min="20" style="2" width="9.14285714285714"/>
  </cols>
  <sheetData>
    <row r="1" customFormat="false" ht="47.25" hidden="false" customHeight="true" outlineLevel="0" collapsed="false">
      <c r="A1" s="3" t="s">
        <v>0</v>
      </c>
      <c r="B1" s="3"/>
      <c r="C1" s="3"/>
      <c r="D1" s="3"/>
      <c r="E1" s="3"/>
      <c r="F1" s="3"/>
      <c r="G1" s="3"/>
      <c r="H1" s="3"/>
      <c r="I1" s="3"/>
      <c r="J1" s="3"/>
      <c r="K1" s="3"/>
      <c r="L1" s="3"/>
      <c r="M1" s="3"/>
      <c r="N1" s="3"/>
      <c r="O1" s="3"/>
      <c r="P1" s="3"/>
      <c r="Q1" s="3"/>
      <c r="R1" s="4"/>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4.1" hidden="false" customHeight="true" outlineLevel="0" collapsed="false">
      <c r="A2" s="5"/>
      <c r="B2" s="6"/>
      <c r="C2" s="6"/>
      <c r="D2" s="6"/>
      <c r="E2" s="6"/>
      <c r="F2" s="6"/>
      <c r="G2" s="6"/>
      <c r="H2" s="6"/>
      <c r="I2" s="6"/>
      <c r="J2" s="6"/>
      <c r="K2" s="6"/>
      <c r="L2" s="6"/>
      <c r="M2" s="6"/>
      <c r="N2" s="6"/>
      <c r="O2" s="7" t="s">
        <v>1</v>
      </c>
      <c r="P2" s="6"/>
      <c r="Q2" s="6"/>
      <c r="R2" s="4"/>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95" hidden="false" customHeight="true" outlineLevel="0" collapsed="false">
      <c r="A3" s="8" t="s">
        <v>2</v>
      </c>
      <c r="B3" s="9"/>
      <c r="C3" s="10" t="s">
        <v>3</v>
      </c>
      <c r="D3" s="11"/>
      <c r="E3" s="12"/>
      <c r="F3" s="13" t="s">
        <v>4</v>
      </c>
      <c r="G3" s="14"/>
      <c r="H3" s="6"/>
      <c r="I3" s="6"/>
      <c r="J3" s="14"/>
      <c r="K3" s="15"/>
      <c r="L3" s="16"/>
      <c r="M3" s="4"/>
      <c r="N3" s="4"/>
      <c r="O3" s="17" t="s">
        <v>5</v>
      </c>
      <c r="P3" s="17"/>
      <c r="Q3" s="4" t="s">
        <v>6</v>
      </c>
      <c r="R3" s="4"/>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4.1" hidden="false" customHeight="true" outlineLevel="0" collapsed="false">
      <c r="A4" s="18"/>
      <c r="B4" s="19"/>
      <c r="C4" s="20"/>
      <c r="D4" s="20"/>
      <c r="E4" s="20"/>
      <c r="F4" s="20"/>
      <c r="G4" s="20"/>
      <c r="H4" s="20"/>
      <c r="I4" s="20"/>
      <c r="J4" s="20"/>
      <c r="K4" s="20"/>
      <c r="L4" s="20"/>
      <c r="M4" s="21"/>
      <c r="N4" s="21"/>
      <c r="O4" s="21"/>
      <c r="P4" s="21"/>
      <c r="Q4" s="21"/>
      <c r="R4" s="4"/>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0.1" hidden="false" customHeight="true" outlineLevel="0" collapsed="false">
      <c r="A5" s="22" t="s">
        <v>7</v>
      </c>
      <c r="B5" s="23"/>
      <c r="C5" s="24"/>
      <c r="D5" s="24"/>
      <c r="E5" s="25"/>
      <c r="F5" s="24"/>
      <c r="G5" s="26"/>
      <c r="H5" s="27"/>
      <c r="I5" s="27"/>
      <c r="J5" s="27"/>
      <c r="K5" s="27"/>
      <c r="L5" s="27"/>
      <c r="M5" s="27"/>
      <c r="N5" s="27"/>
      <c r="O5" s="27"/>
      <c r="P5" s="27"/>
      <c r="Q5" s="28"/>
      <c r="R5" s="4"/>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4.1" hidden="false" customHeight="true" outlineLevel="0" collapsed="false">
      <c r="A6" s="29"/>
      <c r="B6" s="30"/>
      <c r="C6" s="31"/>
      <c r="D6" s="32" t="s">
        <v>8</v>
      </c>
      <c r="E6" s="33" t="n">
        <v>18</v>
      </c>
      <c r="F6" s="34" t="s">
        <v>9</v>
      </c>
      <c r="G6" s="35"/>
      <c r="H6" s="36"/>
      <c r="I6" s="27"/>
      <c r="J6" s="27"/>
      <c r="K6" s="27"/>
      <c r="L6" s="27"/>
      <c r="M6" s="27"/>
      <c r="N6" s="27"/>
      <c r="O6" s="27"/>
      <c r="P6" s="27"/>
      <c r="Q6" s="28"/>
      <c r="R6" s="4"/>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4.1" hidden="false" customHeight="true" outlineLevel="0" collapsed="false">
      <c r="A7" s="37"/>
      <c r="B7" s="36"/>
      <c r="C7" s="38"/>
      <c r="D7" s="39" t="s">
        <v>10</v>
      </c>
      <c r="E7" s="40" t="n">
        <v>6</v>
      </c>
      <c r="F7" s="41" t="s">
        <v>9</v>
      </c>
      <c r="G7" s="35"/>
      <c r="H7" s="36"/>
      <c r="I7" s="27"/>
      <c r="J7" s="27"/>
      <c r="K7" s="27"/>
      <c r="L7" s="27"/>
      <c r="M7" s="27"/>
      <c r="N7" s="27"/>
      <c r="O7" s="27"/>
      <c r="P7" s="27"/>
      <c r="Q7" s="28"/>
      <c r="R7" s="4"/>
      <c r="S7" s="42"/>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4.1" hidden="false" customHeight="true" outlineLevel="0" collapsed="false">
      <c r="A8" s="37"/>
      <c r="B8" s="36"/>
      <c r="C8" s="38"/>
      <c r="D8" s="39" t="s">
        <v>11</v>
      </c>
      <c r="E8" s="40" t="n">
        <v>2</v>
      </c>
      <c r="F8" s="41" t="s">
        <v>12</v>
      </c>
      <c r="G8" s="35"/>
      <c r="H8" s="36"/>
      <c r="I8" s="27"/>
      <c r="J8" s="27"/>
      <c r="K8" s="27"/>
      <c r="L8" s="27"/>
      <c r="M8" s="27"/>
      <c r="N8" s="27"/>
      <c r="O8" s="27"/>
      <c r="P8" s="27"/>
      <c r="Q8" s="28"/>
      <c r="R8" s="4"/>
      <c r="S8" s="42"/>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4.1" hidden="false" customHeight="true" outlineLevel="0" collapsed="false">
      <c r="A9" s="37"/>
      <c r="B9" s="36"/>
      <c r="C9" s="38"/>
      <c r="D9" s="39" t="s">
        <v>13</v>
      </c>
      <c r="E9" s="43" t="n">
        <v>700</v>
      </c>
      <c r="F9" s="41" t="s">
        <v>14</v>
      </c>
      <c r="G9" s="35"/>
      <c r="H9" s="36"/>
      <c r="I9" s="27"/>
      <c r="J9" s="27"/>
      <c r="K9" s="27"/>
      <c r="L9" s="27"/>
      <c r="M9" s="27"/>
      <c r="N9" s="27"/>
      <c r="O9" s="27"/>
      <c r="P9" s="27"/>
      <c r="Q9" s="28"/>
      <c r="R9" s="4"/>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4.1" hidden="false" customHeight="true" outlineLevel="0" collapsed="false">
      <c r="A10" s="37"/>
      <c r="B10" s="36"/>
      <c r="C10" s="38"/>
      <c r="D10" s="39" t="s">
        <v>15</v>
      </c>
      <c r="E10" s="43" t="n">
        <v>700</v>
      </c>
      <c r="F10" s="41" t="s">
        <v>14</v>
      </c>
      <c r="G10" s="44"/>
      <c r="H10" s="36"/>
      <c r="I10" s="27"/>
      <c r="J10" s="27"/>
      <c r="K10" s="27"/>
      <c r="L10" s="27"/>
      <c r="M10" s="27"/>
      <c r="N10" s="27"/>
      <c r="O10" s="27"/>
      <c r="P10" s="27"/>
      <c r="Q10" s="28"/>
      <c r="R10" s="4"/>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5.95" hidden="false" customHeight="true" outlineLevel="0" collapsed="false">
      <c r="A11" s="45"/>
      <c r="B11" s="46"/>
      <c r="C11" s="47"/>
      <c r="D11" s="47" t="s">
        <v>16</v>
      </c>
      <c r="E11" s="48" t="n">
        <f aca="false">IF('Standard Value Calculator'!S4/1000&gt;105, "N/A",'Standard Value Calculator'!S4/1000)</f>
        <v>11</v>
      </c>
      <c r="F11" s="49" t="s">
        <v>17</v>
      </c>
      <c r="G11" s="35"/>
      <c r="H11" s="36"/>
      <c r="I11" s="27"/>
      <c r="J11" s="27"/>
      <c r="K11" s="27"/>
      <c r="L11" s="27"/>
      <c r="M11" s="27"/>
      <c r="N11" s="27"/>
      <c r="O11" s="27"/>
      <c r="P11" s="27"/>
      <c r="Q11" s="28"/>
      <c r="R11" s="4"/>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1" hidden="false" customHeight="true" outlineLevel="0" collapsed="false">
      <c r="A12" s="37"/>
      <c r="B12" s="36"/>
      <c r="C12" s="36"/>
      <c r="D12" s="50"/>
      <c r="E12" s="51"/>
      <c r="F12" s="36"/>
      <c r="G12" s="35"/>
      <c r="H12" s="36"/>
      <c r="I12" s="27"/>
      <c r="J12" s="27"/>
      <c r="K12" s="27"/>
      <c r="L12" s="27"/>
      <c r="M12" s="27"/>
      <c r="N12" s="27"/>
      <c r="O12" s="27"/>
      <c r="P12" s="27"/>
      <c r="Q12" s="28"/>
      <c r="R12" s="4"/>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0.1" hidden="false" customHeight="true" outlineLevel="0" collapsed="false">
      <c r="A13" s="22" t="s">
        <v>18</v>
      </c>
      <c r="B13" s="52"/>
      <c r="C13" s="53"/>
      <c r="D13" s="53"/>
      <c r="E13" s="54"/>
      <c r="F13" s="53"/>
      <c r="G13" s="35"/>
      <c r="H13" s="36"/>
      <c r="I13" s="27"/>
      <c r="J13" s="27"/>
      <c r="K13" s="27"/>
      <c r="L13" s="27"/>
      <c r="M13" s="27"/>
      <c r="N13" s="27"/>
      <c r="O13" s="27"/>
      <c r="P13" s="27"/>
      <c r="Q13" s="28"/>
      <c r="R13" s="4"/>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4.1" hidden="false" customHeight="true" outlineLevel="0" collapsed="false">
      <c r="A14" s="29"/>
      <c r="B14" s="30"/>
      <c r="C14" s="31"/>
      <c r="D14" s="31" t="s">
        <v>19</v>
      </c>
      <c r="E14" s="55" t="n">
        <f aca="false">Lout1*1000000</f>
        <v>8.58000858000858</v>
      </c>
      <c r="F14" s="56" t="s">
        <v>20</v>
      </c>
      <c r="G14" s="35"/>
      <c r="H14" s="36"/>
      <c r="I14" s="27"/>
      <c r="J14" s="27"/>
      <c r="K14" s="27"/>
      <c r="L14" s="27"/>
      <c r="M14" s="27"/>
      <c r="N14" s="27"/>
      <c r="O14" s="27"/>
      <c r="P14" s="27"/>
      <c r="Q14" s="28"/>
      <c r="R14" s="4"/>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4.1" hidden="false" customHeight="true" outlineLevel="0" collapsed="false">
      <c r="A15" s="37"/>
      <c r="B15" s="36"/>
      <c r="C15" s="38"/>
      <c r="D15" s="39" t="s">
        <v>21</v>
      </c>
      <c r="E15" s="40" t="n">
        <v>6.8</v>
      </c>
      <c r="F15" s="41" t="s">
        <v>20</v>
      </c>
      <c r="G15" s="35"/>
      <c r="H15" s="36"/>
      <c r="I15" s="27"/>
      <c r="J15" s="27"/>
      <c r="K15" s="27"/>
      <c r="L15" s="27"/>
      <c r="M15" s="27"/>
      <c r="N15" s="27"/>
      <c r="O15" s="27"/>
      <c r="P15" s="27"/>
      <c r="Q15" s="28"/>
      <c r="R15" s="4"/>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4.1" hidden="false" customHeight="true" outlineLevel="0" collapsed="false">
      <c r="A16" s="37"/>
      <c r="B16" s="36"/>
      <c r="C16" s="38"/>
      <c r="D16" s="39" t="s">
        <v>22</v>
      </c>
      <c r="E16" s="40" t="n">
        <v>23</v>
      </c>
      <c r="F16" s="41" t="s">
        <v>23</v>
      </c>
      <c r="G16" s="35"/>
      <c r="H16" s="36"/>
      <c r="I16" s="27"/>
      <c r="J16" s="27"/>
      <c r="K16" s="27"/>
      <c r="L16" s="27"/>
      <c r="M16" s="27"/>
      <c r="N16" s="27"/>
      <c r="O16" s="27"/>
      <c r="P16" s="27"/>
      <c r="Q16" s="28"/>
      <c r="R16" s="4"/>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4.1" hidden="false" customHeight="true" outlineLevel="0" collapsed="false">
      <c r="A17" s="37"/>
      <c r="B17" s="36"/>
      <c r="C17" s="38"/>
      <c r="D17" s="38" t="s">
        <v>24</v>
      </c>
      <c r="E17" s="57" t="n">
        <f aca="false">Iripple1</f>
        <v>0.846778711484594</v>
      </c>
      <c r="F17" s="58" t="s">
        <v>25</v>
      </c>
      <c r="G17" s="35"/>
      <c r="H17" s="36"/>
      <c r="I17" s="27"/>
      <c r="J17" s="27"/>
      <c r="K17" s="27"/>
      <c r="L17" s="27"/>
      <c r="M17" s="27"/>
      <c r="N17" s="27"/>
      <c r="O17" s="27"/>
      <c r="P17" s="27"/>
      <c r="Q17" s="28"/>
      <c r="R17" s="4"/>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4.1" hidden="false" customHeight="true" outlineLevel="0" collapsed="false">
      <c r="A18" s="45"/>
      <c r="B18" s="46"/>
      <c r="C18" s="47"/>
      <c r="D18" s="47" t="s">
        <v>26</v>
      </c>
      <c r="E18" s="59" t="n">
        <f aca="false">Iripple1/Iout*100</f>
        <v>42.3389355742297</v>
      </c>
      <c r="F18" s="49" t="s">
        <v>27</v>
      </c>
      <c r="G18" s="35"/>
      <c r="H18" s="36"/>
      <c r="I18" s="27"/>
      <c r="J18" s="27"/>
      <c r="K18" s="27"/>
      <c r="L18" s="27"/>
      <c r="M18" s="27"/>
      <c r="N18" s="27"/>
      <c r="O18" s="27"/>
      <c r="P18" s="27"/>
      <c r="Q18" s="28"/>
      <c r="R18" s="4"/>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4.1" hidden="false" customHeight="true" outlineLevel="0" collapsed="false">
      <c r="A19" s="37"/>
      <c r="B19" s="36"/>
      <c r="C19" s="36"/>
      <c r="D19" s="36"/>
      <c r="E19" s="36"/>
      <c r="F19" s="36"/>
      <c r="G19" s="35"/>
      <c r="H19" s="36"/>
      <c r="I19" s="27"/>
      <c r="J19" s="27"/>
      <c r="K19" s="27"/>
      <c r="L19" s="27"/>
      <c r="M19" s="27"/>
      <c r="N19" s="27"/>
      <c r="O19" s="27"/>
      <c r="P19" s="27"/>
      <c r="Q19" s="28"/>
      <c r="R19" s="4"/>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1" hidden="false" customHeight="true" outlineLevel="0" collapsed="false">
      <c r="A20" s="60" t="s">
        <v>28</v>
      </c>
      <c r="B20" s="61"/>
      <c r="C20" s="36"/>
      <c r="D20" s="36"/>
      <c r="E20" s="36"/>
      <c r="F20" s="36"/>
      <c r="G20" s="35"/>
      <c r="H20" s="36"/>
      <c r="I20" s="27"/>
      <c r="J20" s="27"/>
      <c r="K20" s="27"/>
      <c r="L20" s="27"/>
      <c r="M20" s="27"/>
      <c r="N20" s="27"/>
      <c r="O20" s="27"/>
      <c r="P20" s="27"/>
      <c r="Q20" s="28"/>
      <c r="R20" s="4"/>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4.1" hidden="false" customHeight="true" outlineLevel="0" collapsed="false">
      <c r="A21" s="29"/>
      <c r="B21" s="30"/>
      <c r="C21" s="30"/>
      <c r="D21" s="32" t="s">
        <v>29</v>
      </c>
      <c r="E21" s="33" t="n">
        <v>4.5</v>
      </c>
      <c r="F21" s="34" t="s">
        <v>12</v>
      </c>
      <c r="G21" s="35"/>
      <c r="H21" s="36"/>
      <c r="I21" s="27"/>
      <c r="J21" s="27"/>
      <c r="K21" s="27"/>
      <c r="L21" s="27"/>
      <c r="M21" s="27"/>
      <c r="N21" s="27"/>
      <c r="O21" s="27"/>
      <c r="P21" s="27"/>
      <c r="Q21" s="28"/>
      <c r="R21" s="4"/>
      <c r="S21" s="2" t="s">
        <v>30</v>
      </c>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4.1" hidden="false" customHeight="true" outlineLevel="0" collapsed="false">
      <c r="A22" s="37"/>
      <c r="B22" s="36"/>
      <c r="C22" s="36"/>
      <c r="D22" s="38" t="s">
        <v>31</v>
      </c>
      <c r="E22" s="62" t="n">
        <f aca="false">'Standard Value Calculator'!S22/1000</f>
        <v>11.5</v>
      </c>
      <c r="F22" s="58" t="s">
        <v>17</v>
      </c>
      <c r="G22" s="35"/>
      <c r="H22" s="36"/>
      <c r="I22" s="27"/>
      <c r="J22" s="27"/>
      <c r="K22" s="27"/>
      <c r="L22" s="27"/>
      <c r="M22" s="27"/>
      <c r="N22" s="27"/>
      <c r="O22" s="27"/>
      <c r="P22" s="27"/>
      <c r="Q22" s="28"/>
      <c r="R22" s="4"/>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1" hidden="false" customHeight="true" outlineLevel="0" collapsed="false">
      <c r="A23" s="36"/>
      <c r="B23" s="36"/>
      <c r="C23" s="36"/>
      <c r="D23" s="38" t="s">
        <v>32</v>
      </c>
      <c r="E23" s="36" t="n">
        <f aca="false">Rs/1000</f>
        <v>1.47</v>
      </c>
      <c r="F23" s="58" t="s">
        <v>17</v>
      </c>
      <c r="G23" s="44"/>
      <c r="H23" s="36"/>
      <c r="I23" s="27"/>
      <c r="J23" s="27"/>
      <c r="K23" s="27"/>
      <c r="L23" s="27"/>
      <c r="M23" s="27"/>
      <c r="N23" s="27"/>
      <c r="O23" s="27"/>
      <c r="P23" s="27"/>
      <c r="Q23" s="28"/>
      <c r="R23" s="4"/>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1" hidden="false" customHeight="true" outlineLevel="0" collapsed="false">
      <c r="A24" s="37"/>
      <c r="B24" s="36"/>
      <c r="C24" s="36"/>
      <c r="D24" s="38" t="s">
        <v>33</v>
      </c>
      <c r="E24" s="62" t="n">
        <f aca="false">Cs*1000000</f>
        <v>0.22</v>
      </c>
      <c r="F24" s="58" t="s">
        <v>34</v>
      </c>
      <c r="G24" s="36"/>
      <c r="H24" s="36"/>
      <c r="I24" s="27"/>
      <c r="J24" s="27"/>
      <c r="K24" s="27"/>
      <c r="L24" s="27"/>
      <c r="M24" s="27"/>
      <c r="N24" s="27"/>
      <c r="O24" s="27"/>
      <c r="P24" s="27"/>
      <c r="Q24" s="28"/>
      <c r="R24" s="4"/>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4.1" hidden="false" customHeight="true" outlineLevel="0" collapsed="false">
      <c r="A25" s="45"/>
      <c r="B25" s="46"/>
      <c r="C25" s="46"/>
      <c r="D25" s="47" t="s">
        <v>35</v>
      </c>
      <c r="E25" s="63" t="n">
        <f aca="false">Ilimit2</f>
        <v>4.5266106442577</v>
      </c>
      <c r="F25" s="49" t="s">
        <v>12</v>
      </c>
      <c r="G25" s="36"/>
      <c r="H25" s="36"/>
      <c r="I25" s="27"/>
      <c r="J25" s="27"/>
      <c r="K25" s="27"/>
      <c r="L25" s="27"/>
      <c r="M25" s="27"/>
      <c r="N25" s="27"/>
      <c r="O25" s="27"/>
      <c r="P25" s="27"/>
      <c r="Q25" s="28"/>
      <c r="R25" s="4"/>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4.1" hidden="false" customHeight="true" outlineLevel="0" collapsed="false">
      <c r="A26" s="37"/>
      <c r="B26" s="36"/>
      <c r="C26" s="36"/>
      <c r="D26" s="36"/>
      <c r="E26" s="36"/>
      <c r="F26" s="36"/>
      <c r="G26" s="36"/>
      <c r="H26" s="36"/>
      <c r="I26" s="27"/>
      <c r="J26" s="27"/>
      <c r="K26" s="27"/>
      <c r="L26" s="27"/>
      <c r="M26" s="27"/>
      <c r="N26" s="27"/>
      <c r="O26" s="27"/>
      <c r="P26" s="27"/>
      <c r="Q26" s="28"/>
      <c r="R26" s="4"/>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9.5" hidden="false" customHeight="false" outlineLevel="0" collapsed="false">
      <c r="A27" s="22" t="s">
        <v>36</v>
      </c>
      <c r="B27" s="52"/>
      <c r="C27" s="53"/>
      <c r="D27" s="53"/>
      <c r="E27" s="54"/>
      <c r="F27" s="53"/>
      <c r="G27" s="36"/>
      <c r="H27" s="36"/>
      <c r="I27" s="27"/>
      <c r="J27" s="27"/>
      <c r="K27" s="27"/>
      <c r="L27" s="27"/>
      <c r="M27" s="27"/>
      <c r="N27" s="27"/>
      <c r="O27" s="27"/>
      <c r="P27" s="27"/>
      <c r="Q27" s="28"/>
      <c r="R27" s="4"/>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4.1" hidden="false" customHeight="true" outlineLevel="0" collapsed="false">
      <c r="A28" s="64"/>
      <c r="B28" s="65"/>
      <c r="C28" s="31"/>
      <c r="D28" s="66" t="s">
        <v>37</v>
      </c>
      <c r="E28" s="67" t="n">
        <v>80</v>
      </c>
      <c r="F28" s="34" t="s">
        <v>38</v>
      </c>
      <c r="G28" s="36"/>
      <c r="H28" s="36"/>
      <c r="I28" s="27"/>
      <c r="J28" s="27"/>
      <c r="K28" s="27"/>
      <c r="L28" s="27"/>
      <c r="M28" s="27"/>
      <c r="N28" s="27"/>
      <c r="O28" s="27"/>
      <c r="P28" s="27"/>
      <c r="Q28" s="28"/>
      <c r="R28" s="4"/>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1" hidden="false" customHeight="true" outlineLevel="0" collapsed="false">
      <c r="A29" s="37"/>
      <c r="B29" s="36"/>
      <c r="C29" s="38"/>
      <c r="D29" s="38" t="s">
        <v>39</v>
      </c>
      <c r="E29" s="68" t="n">
        <f aca="false">Coutmin*1000000</f>
        <v>1.89013105242097</v>
      </c>
      <c r="F29" s="58" t="s">
        <v>34</v>
      </c>
      <c r="G29" s="36"/>
      <c r="H29" s="36"/>
      <c r="I29" s="27"/>
      <c r="J29" s="27"/>
      <c r="K29" s="27"/>
      <c r="L29" s="27"/>
      <c r="M29" s="27"/>
      <c r="N29" s="27"/>
      <c r="O29" s="27"/>
      <c r="P29" s="27"/>
      <c r="Q29" s="28"/>
      <c r="R29" s="4"/>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4.1" hidden="false" customHeight="true" outlineLevel="0" collapsed="false">
      <c r="A30" s="37"/>
      <c r="B30" s="36"/>
      <c r="C30" s="38"/>
      <c r="D30" s="69" t="s">
        <v>40</v>
      </c>
      <c r="E30" s="43" t="n">
        <v>2</v>
      </c>
      <c r="F30" s="41" t="s">
        <v>34</v>
      </c>
      <c r="G30" s="35"/>
      <c r="H30" s="36"/>
      <c r="I30" s="27"/>
      <c r="J30" s="27"/>
      <c r="K30" s="27"/>
      <c r="L30" s="27"/>
      <c r="M30" s="27"/>
      <c r="N30" s="27"/>
      <c r="O30" s="27"/>
      <c r="P30" s="27"/>
      <c r="Q30" s="28"/>
      <c r="R30" s="4"/>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4.1" hidden="false" customHeight="true" outlineLevel="0" collapsed="false">
      <c r="A31" s="37"/>
      <c r="B31" s="36"/>
      <c r="C31" s="38"/>
      <c r="D31" s="38" t="s">
        <v>41</v>
      </c>
      <c r="E31" s="70" t="n">
        <f aca="false">IF(ISERROR(Resrmax*1000),"N/A",Resrmax*1000)</f>
        <v>30.8823015016854</v>
      </c>
      <c r="F31" s="58" t="s">
        <v>23</v>
      </c>
      <c r="G31" s="35"/>
      <c r="H31" s="36"/>
      <c r="I31" s="27"/>
      <c r="J31" s="27"/>
      <c r="K31" s="27"/>
      <c r="L31" s="27"/>
      <c r="M31" s="27"/>
      <c r="N31" s="27"/>
      <c r="O31" s="27"/>
      <c r="P31" s="27"/>
      <c r="Q31" s="28"/>
      <c r="R31" s="4"/>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4.1" hidden="false" customHeight="true" outlineLevel="0" collapsed="false">
      <c r="A32" s="37"/>
      <c r="B32" s="36"/>
      <c r="C32" s="38"/>
      <c r="D32" s="69" t="s">
        <v>42</v>
      </c>
      <c r="E32" s="43" t="n">
        <v>0.5</v>
      </c>
      <c r="F32" s="41" t="s">
        <v>23</v>
      </c>
      <c r="G32" s="35"/>
      <c r="H32" s="36"/>
      <c r="I32" s="27"/>
      <c r="J32" s="27"/>
      <c r="K32" s="27"/>
      <c r="L32" s="27"/>
      <c r="M32" s="27"/>
      <c r="N32" s="27"/>
      <c r="O32" s="27"/>
      <c r="P32" s="27"/>
      <c r="Q32" s="28"/>
      <c r="R32" s="4"/>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4.1" hidden="false" customHeight="true" outlineLevel="0" collapsed="false">
      <c r="A33" s="37"/>
      <c r="B33" s="36"/>
      <c r="C33" s="36"/>
      <c r="D33" s="38" t="s">
        <v>43</v>
      </c>
      <c r="E33" s="68" t="n">
        <f aca="false">Vripple2*1000</f>
        <v>75.6064275777407</v>
      </c>
      <c r="F33" s="58" t="s">
        <v>44</v>
      </c>
      <c r="G33" s="35"/>
      <c r="H33" s="36"/>
      <c r="I33" s="27"/>
      <c r="J33" s="27"/>
      <c r="K33" s="27"/>
      <c r="L33" s="27"/>
      <c r="M33" s="27"/>
      <c r="N33" s="27"/>
      <c r="O33" s="27"/>
      <c r="P33" s="27"/>
      <c r="Q33" s="28"/>
      <c r="R33" s="4"/>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4.1" hidden="false" customHeight="true" outlineLevel="0" collapsed="false">
      <c r="A34" s="45"/>
      <c r="B34" s="46"/>
      <c r="C34" s="46"/>
      <c r="D34" s="47" t="s">
        <v>45</v>
      </c>
      <c r="E34" s="63" t="n">
        <f aca="false">Icoutrms</f>
        <v>0.244443958509837</v>
      </c>
      <c r="F34" s="49" t="s">
        <v>46</v>
      </c>
      <c r="G34" s="44"/>
      <c r="H34" s="36"/>
      <c r="I34" s="27"/>
      <c r="J34" s="27"/>
      <c r="K34" s="71"/>
      <c r="L34" s="27"/>
      <c r="M34" s="27"/>
      <c r="N34" s="27"/>
      <c r="O34" s="27"/>
      <c r="P34" s="27"/>
      <c r="Q34" s="28"/>
      <c r="R34" s="4"/>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4.1" hidden="false" customHeight="true" outlineLevel="0" collapsed="false">
      <c r="A35" s="37"/>
      <c r="B35" s="72"/>
      <c r="C35" s="72"/>
      <c r="D35" s="72"/>
      <c r="E35" s="72"/>
      <c r="F35" s="72"/>
      <c r="G35" s="36"/>
      <c r="H35" s="36"/>
      <c r="I35" s="27"/>
      <c r="J35" s="27"/>
      <c r="K35" s="27"/>
      <c r="L35" s="27"/>
      <c r="M35" s="27"/>
      <c r="N35" s="27"/>
      <c r="O35" s="27"/>
      <c r="P35" s="27"/>
      <c r="Q35" s="28"/>
      <c r="R35" s="4"/>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9.5" hidden="false" customHeight="false" outlineLevel="0" collapsed="false">
      <c r="A36" s="60" t="s">
        <v>47</v>
      </c>
      <c r="B36" s="61"/>
      <c r="C36" s="73"/>
      <c r="D36" s="73"/>
      <c r="E36" s="36"/>
      <c r="F36" s="36"/>
      <c r="G36" s="36"/>
      <c r="H36" s="36"/>
      <c r="I36" s="27"/>
      <c r="J36" s="27"/>
      <c r="K36" s="27"/>
      <c r="L36" s="74"/>
      <c r="M36" s="27"/>
      <c r="N36" s="27"/>
      <c r="O36" s="27"/>
      <c r="P36" s="27"/>
      <c r="Q36" s="28"/>
      <c r="R36" s="4"/>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4.1" hidden="false" customHeight="true" outlineLevel="0" collapsed="false">
      <c r="A37" s="75"/>
      <c r="B37" s="76"/>
      <c r="C37" s="30"/>
      <c r="D37" s="32" t="s">
        <v>48</v>
      </c>
      <c r="E37" s="67" t="n">
        <v>300</v>
      </c>
      <c r="F37" s="77" t="s">
        <v>38</v>
      </c>
      <c r="G37" s="36"/>
      <c r="H37" s="36"/>
      <c r="I37" s="27"/>
      <c r="J37" s="78"/>
      <c r="K37" s="27"/>
      <c r="L37" s="27"/>
      <c r="M37" s="27"/>
      <c r="N37" s="27"/>
      <c r="O37" s="27"/>
      <c r="P37" s="27"/>
      <c r="Q37" s="28"/>
      <c r="R37" s="4"/>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4.1" hidden="false" customHeight="true" outlineLevel="0" collapsed="false">
      <c r="A38" s="79"/>
      <c r="B38" s="73"/>
      <c r="C38" s="36"/>
      <c r="D38" s="38" t="s">
        <v>49</v>
      </c>
      <c r="E38" s="68" t="n">
        <f aca="false">'Variable Management'!B59*1000000</f>
        <v>2.12445279247501</v>
      </c>
      <c r="F38" s="58" t="s">
        <v>34</v>
      </c>
      <c r="G38" s="36"/>
      <c r="H38" s="36"/>
      <c r="I38" s="27"/>
      <c r="J38" s="78"/>
      <c r="K38" s="27"/>
      <c r="L38" s="27"/>
      <c r="M38" s="27"/>
      <c r="N38" s="27"/>
      <c r="O38" s="27"/>
      <c r="P38" s="27"/>
      <c r="Q38" s="28"/>
      <c r="R38" s="4"/>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4.1" hidden="false" customHeight="true" outlineLevel="0" collapsed="false">
      <c r="A39" s="37"/>
      <c r="B39" s="36"/>
      <c r="C39" s="73"/>
      <c r="D39" s="39" t="s">
        <v>50</v>
      </c>
      <c r="E39" s="80" t="n">
        <v>10</v>
      </c>
      <c r="F39" s="41" t="s">
        <v>34</v>
      </c>
      <c r="G39" s="36"/>
      <c r="H39" s="36"/>
      <c r="I39" s="27"/>
      <c r="J39" s="78"/>
      <c r="K39" s="27"/>
      <c r="L39" s="27"/>
      <c r="M39" s="27"/>
      <c r="N39" s="27"/>
      <c r="O39" s="27"/>
      <c r="P39" s="27"/>
      <c r="Q39" s="28"/>
      <c r="R39" s="4"/>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4.1" hidden="false" customHeight="true" outlineLevel="0" collapsed="false">
      <c r="A40" s="37"/>
      <c r="B40" s="36"/>
      <c r="C40" s="73"/>
      <c r="D40" s="38" t="s">
        <v>41</v>
      </c>
      <c r="E40" s="70" t="n">
        <f aca="false">IF(CinEsrMax*1000&lt;0,"N/A",CinEsrMax*1000)</f>
        <v>97.4942040023032</v>
      </c>
      <c r="F40" s="58" t="s">
        <v>23</v>
      </c>
      <c r="G40" s="36"/>
      <c r="H40" s="36"/>
      <c r="I40" s="27"/>
      <c r="J40" s="81"/>
      <c r="K40" s="27"/>
      <c r="L40" s="27"/>
      <c r="M40" s="27"/>
      <c r="N40" s="27"/>
      <c r="O40" s="27"/>
      <c r="P40" s="27"/>
      <c r="Q40" s="28" t="s">
        <v>51</v>
      </c>
      <c r="R40" s="4"/>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4.1" hidden="false" customHeight="true" outlineLevel="0" collapsed="false">
      <c r="A41" s="37"/>
      <c r="B41" s="36"/>
      <c r="C41" s="73"/>
      <c r="D41" s="39" t="s">
        <v>52</v>
      </c>
      <c r="E41" s="80" t="n">
        <v>1</v>
      </c>
      <c r="F41" s="41" t="s">
        <v>23</v>
      </c>
      <c r="G41" s="36"/>
      <c r="H41" s="36"/>
      <c r="I41" s="27"/>
      <c r="J41" s="81"/>
      <c r="K41" s="27"/>
      <c r="L41" s="27"/>
      <c r="M41" s="27"/>
      <c r="N41" s="27"/>
      <c r="O41" s="27"/>
      <c r="P41" s="27"/>
      <c r="Q41" s="28"/>
      <c r="R41" s="4"/>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4.1" hidden="false" customHeight="true" outlineLevel="0" collapsed="false">
      <c r="A42" s="37"/>
      <c r="B42" s="36"/>
      <c r="C42" s="73"/>
      <c r="D42" s="38" t="s">
        <v>53</v>
      </c>
      <c r="E42" s="68" t="n">
        <f aca="false">Vinripple2*1000</f>
        <v>66.1569731299927</v>
      </c>
      <c r="F42" s="58" t="s">
        <v>44</v>
      </c>
      <c r="G42" s="36"/>
      <c r="H42" s="36"/>
      <c r="I42" s="27"/>
      <c r="J42" s="81"/>
      <c r="K42" s="27"/>
      <c r="L42" s="27"/>
      <c r="M42" s="27"/>
      <c r="N42" s="27"/>
      <c r="O42" s="27"/>
      <c r="P42" s="27"/>
      <c r="Q42" s="28"/>
      <c r="R42" s="4"/>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4.1" hidden="false" customHeight="true" outlineLevel="0" collapsed="false">
      <c r="A43" s="45"/>
      <c r="B43" s="46"/>
      <c r="C43" s="46"/>
      <c r="D43" s="47" t="s">
        <v>54</v>
      </c>
      <c r="E43" s="63" t="n">
        <f aca="false">Icinrms</f>
        <v>0.944600536120696</v>
      </c>
      <c r="F43" s="82" t="s">
        <v>46</v>
      </c>
      <c r="G43" s="36"/>
      <c r="H43" s="36"/>
      <c r="I43" s="27"/>
      <c r="J43" s="27"/>
      <c r="K43" s="27"/>
      <c r="L43" s="27"/>
      <c r="M43" s="27"/>
      <c r="N43" s="27"/>
      <c r="O43" s="27"/>
      <c r="P43" s="27"/>
      <c r="Q43" s="28"/>
      <c r="R43" s="4"/>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4.1" hidden="false" customHeight="true" outlineLevel="0" collapsed="false">
      <c r="A44" s="37"/>
      <c r="B44" s="36"/>
      <c r="C44" s="36"/>
      <c r="D44" s="38"/>
      <c r="E44" s="36"/>
      <c r="F44" s="36"/>
      <c r="G44" s="36"/>
      <c r="H44" s="36"/>
      <c r="I44" s="27"/>
      <c r="J44" s="27"/>
      <c r="K44" s="27"/>
      <c r="L44" s="27"/>
      <c r="M44" s="27"/>
      <c r="N44" s="27"/>
      <c r="O44" s="27"/>
      <c r="P44" s="27"/>
      <c r="Q44" s="28"/>
      <c r="R44" s="4"/>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9.5" hidden="false" customHeight="false" outlineLevel="0" collapsed="false">
      <c r="A45" s="60" t="s">
        <v>55</v>
      </c>
      <c r="B45" s="61"/>
      <c r="C45" s="36"/>
      <c r="D45" s="38"/>
      <c r="E45" s="36"/>
      <c r="F45" s="36"/>
      <c r="G45" s="36"/>
      <c r="H45" s="61"/>
      <c r="I45" s="27"/>
      <c r="J45" s="27"/>
      <c r="K45" s="27"/>
      <c r="L45" s="27"/>
      <c r="M45" s="83"/>
      <c r="N45" s="27"/>
      <c r="O45" s="27"/>
      <c r="P45" s="27"/>
      <c r="Q45" s="28"/>
      <c r="R45" s="4"/>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4.1" hidden="false" customHeight="true" outlineLevel="0" collapsed="false">
      <c r="A46" s="29"/>
      <c r="B46" s="30"/>
      <c r="C46" s="30"/>
      <c r="D46" s="32" t="s">
        <v>56</v>
      </c>
      <c r="E46" s="84" t="n">
        <v>6</v>
      </c>
      <c r="F46" s="34" t="s">
        <v>57</v>
      </c>
      <c r="G46" s="36"/>
      <c r="H46" s="72"/>
      <c r="I46" s="83"/>
      <c r="J46" s="83"/>
      <c r="K46" s="83"/>
      <c r="L46" s="83"/>
      <c r="M46" s="83"/>
      <c r="N46" s="27"/>
      <c r="O46" s="27"/>
      <c r="P46" s="27"/>
      <c r="Q46" s="28"/>
      <c r="R46" s="4"/>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4.1" hidden="false" customHeight="true" outlineLevel="0" collapsed="false">
      <c r="A47" s="37"/>
      <c r="B47" s="36"/>
      <c r="C47" s="36"/>
      <c r="D47" s="38" t="s">
        <v>58</v>
      </c>
      <c r="E47" s="85" t="n">
        <f aca="false">IF(Tss&gt;1.28/1000,Css_u*1000000000,"N/A")</f>
        <v>33</v>
      </c>
      <c r="F47" s="58" t="s">
        <v>59</v>
      </c>
      <c r="G47" s="36"/>
      <c r="H47" s="72"/>
      <c r="I47" s="83"/>
      <c r="J47" s="83"/>
      <c r="K47" s="83"/>
      <c r="L47" s="83"/>
      <c r="M47" s="83"/>
      <c r="N47" s="27"/>
      <c r="O47" s="27"/>
      <c r="P47" s="27"/>
      <c r="Q47" s="28"/>
      <c r="R47" s="4"/>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4.1" hidden="false" customHeight="true" outlineLevel="0" collapsed="false">
      <c r="A48" s="37"/>
      <c r="B48" s="36"/>
      <c r="C48" s="36"/>
      <c r="D48" s="39" t="s">
        <v>60</v>
      </c>
      <c r="E48" s="80" t="n">
        <v>105</v>
      </c>
      <c r="F48" s="41" t="s">
        <v>61</v>
      </c>
      <c r="G48" s="36"/>
      <c r="H48" s="36"/>
      <c r="I48" s="27"/>
      <c r="J48" s="86"/>
      <c r="K48" s="87"/>
      <c r="L48" s="27"/>
      <c r="M48" s="83"/>
      <c r="N48" s="27"/>
      <c r="O48" s="27"/>
      <c r="P48" s="27"/>
      <c r="Q48" s="28"/>
      <c r="R48" s="4"/>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4.1" hidden="false" customHeight="true" outlineLevel="0" collapsed="false">
      <c r="A49" s="37"/>
      <c r="B49" s="36"/>
      <c r="C49" s="36"/>
      <c r="D49" s="38" t="s">
        <v>62</v>
      </c>
      <c r="E49" s="70" t="n">
        <f aca="false">Rotp_exact/1000</f>
        <v>84.9698412698413</v>
      </c>
      <c r="F49" s="58" t="s">
        <v>17</v>
      </c>
      <c r="G49" s="36"/>
      <c r="H49" s="36"/>
      <c r="I49" s="27"/>
      <c r="J49" s="86"/>
      <c r="K49" s="87"/>
      <c r="L49" s="27"/>
      <c r="M49" s="83"/>
      <c r="N49" s="27"/>
      <c r="O49" s="27"/>
      <c r="P49" s="27"/>
      <c r="Q49" s="28"/>
      <c r="R49" s="4"/>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4.1" hidden="false" customHeight="true" outlineLevel="0" collapsed="false">
      <c r="A50" s="37"/>
      <c r="B50" s="36"/>
      <c r="C50" s="73"/>
      <c r="D50" s="69" t="s">
        <v>63</v>
      </c>
      <c r="E50" s="88" t="n">
        <v>9</v>
      </c>
      <c r="F50" s="41" t="s">
        <v>9</v>
      </c>
      <c r="G50" s="36"/>
      <c r="H50" s="36"/>
      <c r="I50" s="27"/>
      <c r="J50" s="86"/>
      <c r="K50" s="87"/>
      <c r="L50" s="27"/>
      <c r="M50" s="83"/>
      <c r="N50" s="27"/>
      <c r="O50" s="27"/>
      <c r="P50" s="27"/>
      <c r="Q50" s="28"/>
      <c r="R50" s="4"/>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4.1" hidden="false" customHeight="true" outlineLevel="0" collapsed="false">
      <c r="A51" s="37"/>
      <c r="B51" s="36"/>
      <c r="C51" s="73"/>
      <c r="D51" s="69" t="s">
        <v>64</v>
      </c>
      <c r="E51" s="88" t="n">
        <v>7</v>
      </c>
      <c r="F51" s="41" t="s">
        <v>9</v>
      </c>
      <c r="G51" s="36"/>
      <c r="H51" s="36"/>
      <c r="I51" s="27"/>
      <c r="J51" s="86"/>
      <c r="K51" s="87"/>
      <c r="L51" s="27"/>
      <c r="M51" s="83"/>
      <c r="N51" s="27"/>
      <c r="O51" s="27"/>
      <c r="P51" s="27"/>
      <c r="Q51" s="28"/>
      <c r="R51" s="4"/>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4.1" hidden="false" customHeight="true" outlineLevel="0" collapsed="false">
      <c r="A52" s="37"/>
      <c r="B52" s="36"/>
      <c r="C52" s="36"/>
      <c r="D52" s="38" t="s">
        <v>65</v>
      </c>
      <c r="E52" s="89" t="n">
        <f aca="false">'Variable Management'!F76</f>
        <v>78.7</v>
      </c>
      <c r="F52" s="58" t="s">
        <v>17</v>
      </c>
      <c r="G52" s="36"/>
      <c r="H52" s="36"/>
      <c r="I52" s="27"/>
      <c r="J52" s="86"/>
      <c r="K52" s="87"/>
      <c r="L52" s="27"/>
      <c r="M52" s="83"/>
      <c r="N52" s="27"/>
      <c r="O52" s="27"/>
      <c r="P52" s="27"/>
      <c r="Q52" s="28"/>
      <c r="R52" s="4"/>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4.1" hidden="false" customHeight="true" outlineLevel="0" collapsed="false">
      <c r="A53" s="45"/>
      <c r="B53" s="46"/>
      <c r="C53" s="46"/>
      <c r="D53" s="47" t="s">
        <v>66</v>
      </c>
      <c r="E53" s="48" t="n">
        <f aca="false">'Variable Management'!F77</f>
        <v>11.3</v>
      </c>
      <c r="F53" s="49" t="s">
        <v>17</v>
      </c>
      <c r="G53" s="36"/>
      <c r="H53" s="36"/>
      <c r="I53" s="27"/>
      <c r="J53" s="86"/>
      <c r="K53" s="87"/>
      <c r="L53" s="27"/>
      <c r="M53" s="83"/>
      <c r="N53" s="27"/>
      <c r="O53" s="27"/>
      <c r="P53" s="27"/>
      <c r="Q53" s="28"/>
      <c r="R53" s="4"/>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4.1" hidden="false" customHeight="true" outlineLevel="0" collapsed="false">
      <c r="A54" s="37" t="s">
        <v>67</v>
      </c>
      <c r="B54" s="36"/>
      <c r="C54" s="36"/>
      <c r="D54" s="38"/>
      <c r="E54" s="90"/>
      <c r="F54" s="36"/>
      <c r="G54" s="36"/>
      <c r="H54" s="36"/>
      <c r="I54" s="27"/>
      <c r="J54" s="86"/>
      <c r="K54" s="87"/>
      <c r="L54" s="27"/>
      <c r="M54" s="83"/>
      <c r="N54" s="27"/>
      <c r="O54" s="27"/>
      <c r="P54" s="27"/>
      <c r="Q54" s="28"/>
      <c r="R54" s="4"/>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4.1" hidden="false" customHeight="true" outlineLevel="0" collapsed="false">
      <c r="A55" s="91"/>
      <c r="B55" s="36"/>
      <c r="C55" s="36"/>
      <c r="D55" s="38"/>
      <c r="E55" s="90"/>
      <c r="F55" s="36"/>
      <c r="G55" s="36"/>
      <c r="H55" s="36"/>
      <c r="I55" s="27"/>
      <c r="J55" s="86"/>
      <c r="K55" s="87"/>
      <c r="L55" s="27"/>
      <c r="M55" s="83"/>
      <c r="N55" s="27"/>
      <c r="O55" s="27"/>
      <c r="P55" s="27"/>
      <c r="Q55" s="28"/>
      <c r="R55" s="4"/>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4.95" hidden="false" customHeight="true" outlineLevel="0" collapsed="false">
      <c r="A56" s="92" t="s">
        <v>68</v>
      </c>
      <c r="B56" s="93"/>
      <c r="C56" s="53"/>
      <c r="D56" s="53"/>
      <c r="E56" s="54"/>
      <c r="F56" s="53"/>
      <c r="G56" s="36"/>
      <c r="H56" s="36"/>
      <c r="I56" s="27"/>
      <c r="J56" s="27"/>
      <c r="K56" s="27"/>
      <c r="L56" s="27"/>
      <c r="M56" s="27"/>
      <c r="N56" s="27"/>
      <c r="O56" s="27"/>
      <c r="P56" s="27"/>
      <c r="Q56" s="28"/>
      <c r="R56" s="94"/>
      <c r="S56" s="95"/>
      <c r="T56" s="95"/>
      <c r="U56" s="0"/>
      <c r="V56" s="0"/>
      <c r="W56" s="95"/>
      <c r="X56" s="95"/>
      <c r="Y56" s="95"/>
      <c r="Z56" s="0"/>
      <c r="AA56" s="0"/>
      <c r="AB56" s="95"/>
      <c r="AC56" s="95"/>
      <c r="AD56" s="95"/>
      <c r="AE56" s="0"/>
      <c r="AF56" s="0"/>
      <c r="AG56" s="95"/>
      <c r="AH56" s="95"/>
      <c r="AI56" s="95"/>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4.1" hidden="false" customHeight="true" outlineLevel="0" collapsed="false">
      <c r="A57" s="29"/>
      <c r="B57" s="30"/>
      <c r="C57" s="31"/>
      <c r="D57" s="31" t="s">
        <v>69</v>
      </c>
      <c r="E57" s="96" t="n">
        <f aca="false">Fo/1000</f>
        <v>43.3184745001039</v>
      </c>
      <c r="F57" s="56" t="s">
        <v>14</v>
      </c>
      <c r="G57" s="36"/>
      <c r="H57" s="36"/>
      <c r="I57" s="27"/>
      <c r="J57" s="27"/>
      <c r="K57" s="27"/>
      <c r="L57" s="27"/>
      <c r="M57" s="27"/>
      <c r="N57" s="27"/>
      <c r="O57" s="27"/>
      <c r="P57" s="27"/>
      <c r="Q57" s="28"/>
      <c r="R57" s="94"/>
      <c r="S57" s="95"/>
      <c r="T57" s="95"/>
      <c r="U57" s="0"/>
      <c r="V57" s="0"/>
      <c r="W57" s="95"/>
      <c r="X57" s="95"/>
      <c r="Y57" s="95"/>
      <c r="Z57" s="0"/>
      <c r="AA57" s="0"/>
      <c r="AB57" s="95"/>
      <c r="AC57" s="95"/>
      <c r="AD57" s="95"/>
      <c r="AE57" s="0"/>
      <c r="AF57" s="0"/>
      <c r="AG57" s="95"/>
      <c r="AH57" s="95"/>
      <c r="AI57" s="95"/>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4.1" hidden="false" customHeight="true" outlineLevel="0" collapsed="false">
      <c r="A58" s="37"/>
      <c r="B58" s="36"/>
      <c r="C58" s="38"/>
      <c r="D58" s="38" t="s">
        <v>70</v>
      </c>
      <c r="E58" s="68" t="n">
        <f aca="false">Fesr/1000</f>
        <v>159154.943273756</v>
      </c>
      <c r="F58" s="58" t="s">
        <v>14</v>
      </c>
      <c r="G58" s="36"/>
      <c r="H58" s="36"/>
      <c r="I58" s="27"/>
      <c r="J58" s="27"/>
      <c r="K58" s="27"/>
      <c r="L58" s="27"/>
      <c r="M58" s="27"/>
      <c r="N58" s="27"/>
      <c r="O58" s="27"/>
      <c r="P58" s="27"/>
      <c r="Q58" s="28"/>
      <c r="R58" s="94"/>
      <c r="S58" s="95"/>
      <c r="T58" s="95"/>
      <c r="U58" s="0"/>
      <c r="V58" s="0"/>
      <c r="W58" s="95"/>
      <c r="X58" s="95"/>
      <c r="Y58" s="95"/>
      <c r="Z58" s="0"/>
      <c r="AA58" s="0"/>
      <c r="AB58" s="95"/>
      <c r="AC58" s="95"/>
      <c r="AD58" s="95"/>
      <c r="AE58" s="0"/>
      <c r="AF58" s="0"/>
      <c r="AG58" s="95"/>
      <c r="AH58" s="95"/>
      <c r="AI58" s="95"/>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4.1" hidden="false" customHeight="true" outlineLevel="0" collapsed="false">
      <c r="A59" s="37"/>
      <c r="B59" s="36"/>
      <c r="C59" s="38"/>
      <c r="D59" s="69" t="s">
        <v>71</v>
      </c>
      <c r="E59" s="97" t="n">
        <v>105</v>
      </c>
      <c r="F59" s="98" t="str">
        <f aca="false">"     kHz "</f>
        <v>     kHz </v>
      </c>
      <c r="G59" s="36"/>
      <c r="H59" s="36"/>
      <c r="I59" s="27"/>
      <c r="J59" s="27"/>
      <c r="K59" s="27"/>
      <c r="L59" s="27"/>
      <c r="M59" s="27"/>
      <c r="N59" s="27"/>
      <c r="O59" s="27"/>
      <c r="P59" s="27"/>
      <c r="Q59" s="28"/>
      <c r="R59" s="94"/>
      <c r="S59" s="95"/>
      <c r="T59" s="95"/>
      <c r="U59" s="0"/>
      <c r="V59" s="0"/>
      <c r="W59" s="95"/>
      <c r="X59" s="95"/>
      <c r="Y59" s="95"/>
      <c r="Z59" s="0"/>
      <c r="AA59" s="0"/>
      <c r="AB59" s="95"/>
      <c r="AC59" s="95"/>
      <c r="AD59" s="95"/>
      <c r="AE59" s="0"/>
      <c r="AF59" s="0"/>
      <c r="AG59" s="95"/>
      <c r="AH59" s="95"/>
      <c r="AI59" s="95"/>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4.1" hidden="false" customHeight="true" outlineLevel="0" collapsed="false">
      <c r="A60" s="37"/>
      <c r="B60" s="36"/>
      <c r="C60" s="38"/>
      <c r="D60" s="38" t="s">
        <v>72</v>
      </c>
      <c r="E60" s="62" t="n">
        <f aca="false">Kmidband</f>
        <v>0.269323119091802</v>
      </c>
      <c r="F60" s="58" t="s">
        <v>73</v>
      </c>
      <c r="G60" s="36"/>
      <c r="H60" s="36"/>
      <c r="I60" s="27"/>
      <c r="J60" s="27"/>
      <c r="K60" s="27"/>
      <c r="L60" s="27"/>
      <c r="M60" s="27"/>
      <c r="N60" s="27"/>
      <c r="O60" s="27"/>
      <c r="P60" s="27"/>
      <c r="Q60" s="28"/>
      <c r="R60" s="94"/>
      <c r="S60" s="95"/>
      <c r="T60" s="95"/>
      <c r="U60" s="0"/>
      <c r="V60" s="0"/>
      <c r="W60" s="95"/>
      <c r="X60" s="95"/>
      <c r="Y60" s="95"/>
      <c r="Z60" s="0"/>
      <c r="AA60" s="0"/>
      <c r="AB60" s="95"/>
      <c r="AC60" s="95"/>
      <c r="AD60" s="95"/>
      <c r="AE60" s="0"/>
      <c r="AF60" s="0"/>
      <c r="AG60" s="95"/>
      <c r="AH60" s="95"/>
      <c r="AI60" s="95"/>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5.95" hidden="false" customHeight="true" outlineLevel="0" collapsed="false">
      <c r="A61" s="37"/>
      <c r="B61" s="36"/>
      <c r="C61" s="38"/>
      <c r="D61" s="69" t="s">
        <v>74</v>
      </c>
      <c r="E61" s="99" t="n">
        <v>20</v>
      </c>
      <c r="F61" s="41" t="s">
        <v>17</v>
      </c>
      <c r="G61" s="36"/>
      <c r="H61" s="36"/>
      <c r="I61" s="27"/>
      <c r="J61" s="27"/>
      <c r="K61" s="27"/>
      <c r="L61" s="27"/>
      <c r="M61" s="27"/>
      <c r="N61" s="27"/>
      <c r="O61" s="27"/>
      <c r="P61" s="27"/>
      <c r="Q61" s="28"/>
      <c r="R61" s="94"/>
      <c r="S61" s="95"/>
      <c r="T61" s="95"/>
      <c r="U61" s="0"/>
      <c r="V61" s="0"/>
      <c r="W61" s="95"/>
      <c r="X61" s="95"/>
      <c r="Y61" s="95"/>
      <c r="Z61" s="0"/>
      <c r="AA61" s="0"/>
      <c r="AB61" s="95"/>
      <c r="AC61" s="95"/>
      <c r="AD61" s="95"/>
      <c r="AE61" s="0"/>
      <c r="AF61" s="0"/>
      <c r="AG61" s="95"/>
      <c r="AH61" s="95"/>
      <c r="AI61" s="95"/>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5.95" hidden="false" customHeight="true" outlineLevel="0" collapsed="false">
      <c r="A62" s="45"/>
      <c r="B62" s="46"/>
      <c r="C62" s="47"/>
      <c r="D62" s="47" t="s">
        <v>75</v>
      </c>
      <c r="E62" s="48" t="n">
        <f aca="false">IF(Vout=Vref,"OPEN",Rfb2_u/1000)</f>
        <v>2.21</v>
      </c>
      <c r="F62" s="49" t="str">
        <f aca="false">IF(Vout=Vref,"","kΩ")</f>
        <v>kΩ</v>
      </c>
      <c r="G62" s="36"/>
      <c r="H62" s="36"/>
      <c r="I62" s="27"/>
      <c r="J62" s="27"/>
      <c r="K62" s="27"/>
      <c r="L62" s="27"/>
      <c r="M62" s="27"/>
      <c r="N62" s="27"/>
      <c r="O62" s="27"/>
      <c r="P62" s="27"/>
      <c r="Q62" s="28"/>
      <c r="R62" s="94"/>
      <c r="S62" s="95"/>
      <c r="T62" s="95"/>
      <c r="U62" s="0"/>
      <c r="V62" s="0"/>
      <c r="W62" s="95"/>
      <c r="X62" s="95"/>
      <c r="Y62" s="95"/>
      <c r="Z62" s="0"/>
      <c r="AA62" s="0"/>
      <c r="AB62" s="95"/>
      <c r="AC62" s="95"/>
      <c r="AD62" s="95"/>
      <c r="AE62" s="0"/>
      <c r="AF62" s="0"/>
      <c r="AG62" s="95"/>
      <c r="AH62" s="95"/>
      <c r="AI62" s="95"/>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3.5" hidden="false" customHeight="false" outlineLevel="0" collapsed="false">
      <c r="A63" s="37"/>
      <c r="B63" s="36"/>
      <c r="C63" s="38"/>
      <c r="D63" s="100"/>
      <c r="E63" s="101"/>
      <c r="F63" s="102"/>
      <c r="G63" s="36"/>
      <c r="H63" s="36"/>
      <c r="I63" s="27"/>
      <c r="J63" s="27"/>
      <c r="K63" s="27"/>
      <c r="L63" s="27"/>
      <c r="M63" s="27"/>
      <c r="N63" s="27"/>
      <c r="O63" s="27"/>
      <c r="P63" s="27"/>
      <c r="Q63" s="28"/>
      <c r="R63" s="94"/>
      <c r="S63" s="95"/>
      <c r="T63" s="95"/>
      <c r="U63" s="0"/>
      <c r="V63" s="0"/>
      <c r="W63" s="95"/>
      <c r="X63" s="95"/>
      <c r="Y63" s="95"/>
      <c r="Z63" s="0"/>
      <c r="AA63" s="0"/>
      <c r="AB63" s="95"/>
      <c r="AC63" s="95"/>
      <c r="AD63" s="95"/>
      <c r="AE63" s="0"/>
      <c r="AF63" s="0"/>
      <c r="AG63" s="95"/>
      <c r="AH63" s="95"/>
      <c r="AI63" s="95"/>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5.95" hidden="false" customHeight="true" outlineLevel="0" collapsed="false">
      <c r="A64" s="75" t="s">
        <v>76</v>
      </c>
      <c r="B64" s="103"/>
      <c r="C64" s="103"/>
      <c r="D64" s="104" t="s">
        <v>77</v>
      </c>
      <c r="E64" s="105" t="n">
        <f aca="false">Fo/1000*0.7</f>
        <v>30.3229321500728</v>
      </c>
      <c r="F64" s="106" t="str">
        <f aca="false">"     kHz  "</f>
        <v>     kHz  </v>
      </c>
      <c r="G64" s="70"/>
      <c r="H64" s="107"/>
      <c r="I64" s="27"/>
      <c r="J64" s="27"/>
      <c r="K64" s="27"/>
      <c r="L64" s="27"/>
      <c r="M64" s="27"/>
      <c r="N64" s="27"/>
      <c r="O64" s="27"/>
      <c r="P64" s="27"/>
      <c r="Q64" s="28"/>
      <c r="R64" s="94"/>
      <c r="S64" s="95"/>
      <c r="T64" s="95"/>
      <c r="U64" s="0"/>
      <c r="V64" s="0"/>
      <c r="W64" s="95"/>
      <c r="X64" s="95"/>
      <c r="Y64" s="95"/>
      <c r="Z64" s="0"/>
      <c r="AA64" s="0"/>
      <c r="AB64" s="95"/>
      <c r="AC64" s="95"/>
      <c r="AD64" s="95"/>
      <c r="AE64" s="0"/>
      <c r="AF64" s="0"/>
      <c r="AG64" s="95"/>
      <c r="AH64" s="95"/>
      <c r="AI64" s="95"/>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5.95" hidden="false" customHeight="true" outlineLevel="0" collapsed="false">
      <c r="A65" s="108" t="str">
        <f aca="false">"Baseline P/Z Frequencies:"</f>
        <v>Baseline P/Z Frequencies:</v>
      </c>
      <c r="B65" s="27"/>
      <c r="C65" s="27"/>
      <c r="D65" s="109" t="s">
        <v>78</v>
      </c>
      <c r="E65" s="110" t="n">
        <f aca="false">Fo/1000</f>
        <v>43.3184745001039</v>
      </c>
      <c r="F65" s="98" t="str">
        <f aca="false">"     kHz"</f>
        <v>     kHz</v>
      </c>
      <c r="G65" s="70"/>
      <c r="H65" s="107"/>
      <c r="I65" s="27"/>
      <c r="J65" s="27"/>
      <c r="K65" s="27"/>
      <c r="L65" s="27"/>
      <c r="M65" s="27"/>
      <c r="N65" s="27"/>
      <c r="O65" s="27"/>
      <c r="P65" s="27"/>
      <c r="Q65" s="28"/>
      <c r="R65" s="94"/>
      <c r="S65" s="95"/>
      <c r="T65" s="95"/>
      <c r="U65" s="0"/>
      <c r="V65" s="0"/>
      <c r="W65" s="95"/>
      <c r="X65" s="95"/>
      <c r="Y65" s="95"/>
      <c r="Z65" s="0"/>
      <c r="AA65" s="0"/>
      <c r="AB65" s="95"/>
      <c r="AC65" s="95"/>
      <c r="AD65" s="95"/>
      <c r="AE65" s="0"/>
      <c r="AF65" s="0"/>
      <c r="AG65" s="95"/>
      <c r="AH65" s="95"/>
      <c r="AI65" s="95"/>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5.95" hidden="false" customHeight="true" outlineLevel="0" collapsed="false">
      <c r="A66" s="91"/>
      <c r="B66" s="27"/>
      <c r="C66" s="27"/>
      <c r="D66" s="111" t="s">
        <v>79</v>
      </c>
      <c r="E66" s="112" t="n">
        <f aca="false">Fesr/1000</f>
        <v>159154.943273756</v>
      </c>
      <c r="F66" s="98" t="str">
        <f aca="false">"     kHz"</f>
        <v>     kHz</v>
      </c>
      <c r="G66" s="85"/>
      <c r="H66" s="107"/>
      <c r="I66" s="27"/>
      <c r="J66" s="27"/>
      <c r="K66" s="27"/>
      <c r="L66" s="27"/>
      <c r="M66" s="27"/>
      <c r="N66" s="27"/>
      <c r="O66" s="27"/>
      <c r="P66" s="27"/>
      <c r="Q66" s="28"/>
      <c r="R66" s="94"/>
      <c r="S66" s="95"/>
      <c r="T66" s="95"/>
      <c r="U66" s="0"/>
      <c r="V66" s="0"/>
      <c r="W66" s="95"/>
      <c r="X66" s="95"/>
      <c r="Y66" s="95"/>
      <c r="Z66" s="0"/>
      <c r="AA66" s="0"/>
      <c r="AB66" s="95"/>
      <c r="AC66" s="95"/>
      <c r="AD66" s="95"/>
      <c r="AE66" s="0"/>
      <c r="AF66" s="0"/>
      <c r="AG66" s="95"/>
      <c r="AH66" s="95"/>
      <c r="AI66" s="95"/>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5.95" hidden="false" customHeight="true" outlineLevel="0" collapsed="false">
      <c r="A67" s="113"/>
      <c r="B67" s="114"/>
      <c r="C67" s="114"/>
      <c r="D67" s="115" t="s">
        <v>80</v>
      </c>
      <c r="E67" s="116" t="n">
        <f aca="false">Fsw/2000</f>
        <v>350</v>
      </c>
      <c r="F67" s="117" t="str">
        <f aca="false">"     kHz"</f>
        <v>     kHz</v>
      </c>
      <c r="G67" s="85"/>
      <c r="H67" s="107"/>
      <c r="I67" s="27"/>
      <c r="J67" s="27"/>
      <c r="K67" s="27"/>
      <c r="L67" s="27"/>
      <c r="M67" s="27"/>
      <c r="N67" s="27"/>
      <c r="O67" s="27"/>
      <c r="P67" s="27"/>
      <c r="Q67" s="28"/>
      <c r="R67" s="94"/>
      <c r="S67" s="95"/>
      <c r="T67" s="95"/>
      <c r="U67" s="0"/>
      <c r="V67" s="0"/>
      <c r="W67" s="95"/>
      <c r="X67" s="95"/>
      <c r="Y67" s="95"/>
      <c r="Z67" s="0"/>
      <c r="AA67" s="0"/>
      <c r="AB67" s="95"/>
      <c r="AC67" s="95"/>
      <c r="AD67" s="95"/>
      <c r="AE67" s="0"/>
      <c r="AF67" s="0"/>
      <c r="AG67" s="95"/>
      <c r="AH67" s="95"/>
      <c r="AI67" s="95"/>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5.95" hidden="false" customHeight="true" outlineLevel="0" collapsed="false">
      <c r="A68" s="118"/>
      <c r="B68" s="119"/>
      <c r="C68" s="120"/>
      <c r="D68" s="72"/>
      <c r="E68" s="72"/>
      <c r="F68" s="72"/>
      <c r="G68" s="85"/>
      <c r="H68" s="107"/>
      <c r="I68" s="27"/>
      <c r="J68" s="27"/>
      <c r="K68" s="27"/>
      <c r="L68" s="27"/>
      <c r="M68" s="27"/>
      <c r="N68" s="27"/>
      <c r="O68" s="27"/>
      <c r="P68" s="27"/>
      <c r="Q68" s="28"/>
      <c r="R68" s="94"/>
      <c r="S68" s="95"/>
      <c r="T68" s="95"/>
      <c r="U68" s="0"/>
      <c r="V68" s="0"/>
      <c r="W68" s="95"/>
      <c r="X68" s="95"/>
      <c r="Y68" s="95"/>
      <c r="Z68" s="0"/>
      <c r="AA68" s="0"/>
      <c r="AB68" s="95"/>
      <c r="AC68" s="95"/>
      <c r="AD68" s="95"/>
      <c r="AE68" s="0"/>
      <c r="AF68" s="0"/>
      <c r="AG68" s="95"/>
      <c r="AH68" s="95"/>
      <c r="AI68" s="95"/>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8" hidden="false" customHeight="true" outlineLevel="0" collapsed="false">
      <c r="A69" s="79" t="s">
        <v>81</v>
      </c>
      <c r="B69" s="121"/>
      <c r="C69" s="38"/>
      <c r="D69" s="100"/>
      <c r="E69" s="101"/>
      <c r="F69" s="102"/>
      <c r="G69" s="107"/>
      <c r="H69" s="36"/>
      <c r="I69" s="27"/>
      <c r="J69" s="27"/>
      <c r="K69" s="27"/>
      <c r="L69" s="27"/>
      <c r="M69" s="27"/>
      <c r="N69" s="27"/>
      <c r="O69" s="27"/>
      <c r="P69" s="27"/>
      <c r="Q69" s="28"/>
      <c r="R69" s="94"/>
      <c r="S69" s="95"/>
      <c r="T69" s="95"/>
      <c r="W69" s="95"/>
      <c r="X69" s="95"/>
      <c r="Y69" s="95"/>
      <c r="AB69" s="95"/>
      <c r="AC69" s="95"/>
      <c r="AD69" s="95"/>
      <c r="AG69" s="95"/>
      <c r="AH69" s="95"/>
      <c r="AI69" s="95"/>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s="132" customFormat="true" ht="13.5" hidden="false" customHeight="true" outlineLevel="0" collapsed="false">
      <c r="A70" s="122"/>
      <c r="B70" s="123" t="s">
        <v>82</v>
      </c>
      <c r="C70" s="124" t="s">
        <v>83</v>
      </c>
      <c r="D70" s="125" t="str">
        <f aca="false">"    Selected"</f>
        <v>    Selected</v>
      </c>
      <c r="E70" s="126"/>
      <c r="F70" s="127" t="s">
        <v>84</v>
      </c>
      <c r="G70" s="127"/>
      <c r="H70" s="127"/>
      <c r="I70" s="128"/>
      <c r="J70" s="128"/>
      <c r="K70" s="128"/>
      <c r="L70" s="128"/>
      <c r="M70" s="128"/>
      <c r="N70" s="128"/>
      <c r="O70" s="128"/>
      <c r="P70" s="128"/>
      <c r="Q70" s="129"/>
      <c r="R70" s="130"/>
      <c r="S70" s="131"/>
      <c r="T70" s="131"/>
      <c r="W70" s="131"/>
      <c r="X70" s="131"/>
      <c r="Y70" s="131"/>
      <c r="AB70" s="131"/>
      <c r="AC70" s="131"/>
      <c r="AD70" s="131"/>
      <c r="AG70" s="131"/>
      <c r="AH70" s="131"/>
      <c r="AI70" s="131"/>
    </row>
    <row r="71" customFormat="false" ht="14.25" hidden="false" customHeight="false" outlineLevel="0" collapsed="false">
      <c r="A71" s="133" t="s">
        <v>85</v>
      </c>
      <c r="B71" s="134" t="n">
        <f aca="false">Rcea1/1000</f>
        <v>5.38646238183603</v>
      </c>
      <c r="C71" s="135" t="n">
        <f aca="false">'Standard Value Calculator'!S27</f>
        <v>5.36</v>
      </c>
      <c r="D71" s="136" t="n">
        <v>3.24</v>
      </c>
      <c r="E71" s="137" t="s">
        <v>17</v>
      </c>
      <c r="F71" s="138" t="n">
        <f aca="false">Fz1_u/1000</f>
        <v>40.9349133934559</v>
      </c>
      <c r="G71" s="139" t="s">
        <v>86</v>
      </c>
      <c r="H71" s="72"/>
      <c r="I71" s="27"/>
      <c r="J71" s="27"/>
      <c r="K71" s="27"/>
      <c r="L71" s="27"/>
      <c r="M71" s="27"/>
      <c r="N71" s="27"/>
      <c r="O71" s="27"/>
      <c r="P71" s="27"/>
      <c r="Q71" s="28"/>
      <c r="R71" s="94"/>
      <c r="S71" s="95"/>
      <c r="T71" s="95"/>
      <c r="W71" s="95"/>
      <c r="X71" s="95"/>
      <c r="Y71" s="95"/>
      <c r="AB71" s="95"/>
      <c r="AC71" s="95"/>
      <c r="AD71" s="95"/>
      <c r="AG71" s="95"/>
      <c r="AH71" s="95"/>
      <c r="AI71" s="95"/>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4.25" hidden="false" customHeight="false" outlineLevel="0" collapsed="false">
      <c r="A72" s="140" t="s">
        <v>87</v>
      </c>
      <c r="B72" s="141" t="n">
        <f aca="false">Cc1ea*1000000000000</f>
        <v>974.418020043406</v>
      </c>
      <c r="C72" s="107" t="n">
        <f aca="false">'Standard Value Calculator'!S28</f>
        <v>1000</v>
      </c>
      <c r="D72" s="142" t="n">
        <v>1200</v>
      </c>
      <c r="E72" s="143" t="s">
        <v>88</v>
      </c>
      <c r="F72" s="144" t="n">
        <f aca="false">Fz2_u/1000</f>
        <v>0.0360748972920202</v>
      </c>
      <c r="G72" s="98" t="s">
        <v>89</v>
      </c>
      <c r="H72" s="72"/>
      <c r="I72" s="27"/>
      <c r="J72" s="27"/>
      <c r="K72" s="27"/>
      <c r="L72" s="27"/>
      <c r="M72" s="27"/>
      <c r="N72" s="27"/>
      <c r="O72" s="27"/>
      <c r="P72" s="27"/>
      <c r="Q72" s="28"/>
      <c r="R72" s="94"/>
      <c r="S72" s="95"/>
      <c r="T72" s="95"/>
      <c r="W72" s="95"/>
      <c r="X72" s="95"/>
      <c r="Y72" s="95"/>
      <c r="AB72" s="95"/>
      <c r="AC72" s="95"/>
      <c r="AD72" s="95"/>
      <c r="AG72" s="95"/>
      <c r="AH72" s="95"/>
      <c r="AI72" s="95"/>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4.25" hidden="false" customHeight="false" outlineLevel="0" collapsed="false">
      <c r="A73" s="140" t="s">
        <v>90</v>
      </c>
      <c r="B73" s="141" t="n">
        <f aca="false">Cc2ea*1000000000000</f>
        <v>92.4283111901396</v>
      </c>
      <c r="C73" s="107" t="n">
        <f aca="false">'Standard Value Calculator'!S29</f>
        <v>100</v>
      </c>
      <c r="D73" s="142" t="n">
        <v>150</v>
      </c>
      <c r="E73" s="143" t="s">
        <v>88</v>
      </c>
      <c r="F73" s="144" t="n">
        <f aca="false">Fp1_u/1000</f>
        <v>13.4968574689413</v>
      </c>
      <c r="G73" s="98" t="s">
        <v>91</v>
      </c>
      <c r="H73" s="72"/>
      <c r="I73" s="27"/>
      <c r="J73" s="27"/>
      <c r="K73" s="27"/>
      <c r="L73" s="27"/>
      <c r="M73" s="27"/>
      <c r="N73" s="27"/>
      <c r="O73" s="27"/>
      <c r="P73" s="27"/>
      <c r="Q73" s="28"/>
      <c r="R73" s="94"/>
      <c r="S73" s="95"/>
      <c r="T73" s="95"/>
      <c r="W73" s="95"/>
      <c r="X73" s="95"/>
      <c r="Y73" s="95"/>
      <c r="AB73" s="95"/>
      <c r="AC73" s="95"/>
      <c r="AD73" s="95"/>
      <c r="AG73" s="95"/>
      <c r="AH73" s="95"/>
      <c r="AI73" s="95"/>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4.25" hidden="false" customHeight="false" outlineLevel="0" collapsed="false">
      <c r="A74" s="140" t="s">
        <v>92</v>
      </c>
      <c r="B74" s="141" t="n">
        <f aca="false">Rcea2</f>
        <v>5.44504206462059</v>
      </c>
      <c r="C74" s="107" t="n">
        <f aca="false">'Standard Value Calculator'!S30</f>
        <v>5.49</v>
      </c>
      <c r="D74" s="142" t="n">
        <v>53.6</v>
      </c>
      <c r="E74" s="143" t="s">
        <v>93</v>
      </c>
      <c r="F74" s="144" t="n">
        <f aca="false">Fp2_u/1000</f>
        <v>368.414220541103</v>
      </c>
      <c r="G74" s="98" t="s">
        <v>94</v>
      </c>
      <c r="H74" s="72"/>
      <c r="I74" s="27"/>
      <c r="J74" s="27"/>
      <c r="K74" s="27"/>
      <c r="L74" s="27"/>
      <c r="M74" s="27"/>
      <c r="N74" s="27"/>
      <c r="O74" s="27"/>
      <c r="P74" s="27"/>
      <c r="Q74" s="28"/>
      <c r="R74" s="94"/>
      <c r="S74" s="95"/>
      <c r="T74" s="95"/>
      <c r="W74" s="95"/>
      <c r="X74" s="95"/>
      <c r="Y74" s="95"/>
      <c r="AB74" s="95"/>
      <c r="AC74" s="95"/>
      <c r="AD74" s="95"/>
      <c r="AG74" s="95"/>
      <c r="AH74" s="95"/>
      <c r="AI74" s="95"/>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15" hidden="false" customHeight="true" outlineLevel="0" collapsed="false">
      <c r="A75" s="145" t="s">
        <v>95</v>
      </c>
      <c r="B75" s="146" t="n">
        <f aca="false">Cc3ea*1000000000000</f>
        <v>183.653310320144</v>
      </c>
      <c r="C75" s="147" t="n">
        <f aca="false">'Standard Value Calculator'!S31</f>
        <v>180</v>
      </c>
      <c r="D75" s="148" t="n">
        <v>220000</v>
      </c>
      <c r="E75" s="149" t="s">
        <v>88</v>
      </c>
      <c r="F75" s="150"/>
      <c r="G75" s="151"/>
      <c r="H75" s="72"/>
      <c r="I75" s="27"/>
      <c r="J75" s="27"/>
      <c r="K75" s="27"/>
      <c r="L75" s="27"/>
      <c r="M75" s="27"/>
      <c r="N75" s="27"/>
      <c r="O75" s="27"/>
      <c r="P75" s="27"/>
      <c r="Q75" s="28"/>
      <c r="R75" s="94"/>
      <c r="S75" s="95"/>
      <c r="T75" s="95"/>
      <c r="W75" s="95"/>
      <c r="X75" s="95"/>
      <c r="Y75" s="95"/>
      <c r="AB75" s="95"/>
      <c r="AC75" s="95"/>
      <c r="AD75" s="95"/>
      <c r="AG75" s="95"/>
      <c r="AH75" s="95"/>
      <c r="AI75" s="95"/>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3.5" hidden="false" customHeight="false" outlineLevel="0" collapsed="false">
      <c r="A76" s="37"/>
      <c r="B76" s="38"/>
      <c r="C76" s="38"/>
      <c r="D76" s="36"/>
      <c r="E76" s="36"/>
      <c r="F76" s="36"/>
      <c r="G76" s="36"/>
      <c r="H76" s="36"/>
      <c r="I76" s="27"/>
      <c r="J76" s="27"/>
      <c r="K76" s="27"/>
      <c r="L76" s="27"/>
      <c r="M76" s="27"/>
      <c r="N76" s="27"/>
      <c r="O76" s="27"/>
      <c r="P76" s="27"/>
      <c r="Q76" s="28"/>
      <c r="R76" s="94"/>
      <c r="S76" s="95"/>
      <c r="T76" s="95"/>
      <c r="W76" s="95"/>
      <c r="X76" s="95"/>
      <c r="Y76" s="95"/>
      <c r="AB76" s="95"/>
      <c r="AC76" s="95"/>
      <c r="AD76" s="95"/>
      <c r="AG76" s="95"/>
      <c r="AH76" s="95"/>
      <c r="AI76" s="95"/>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s="159" customFormat="true" ht="18.75" hidden="false" customHeight="false" outlineLevel="0" collapsed="false">
      <c r="A77" s="152" t="s">
        <v>96</v>
      </c>
      <c r="B77" s="153"/>
      <c r="C77" s="154"/>
      <c r="D77" s="154"/>
      <c r="E77" s="154"/>
      <c r="F77" s="154"/>
      <c r="G77" s="154"/>
      <c r="H77" s="154"/>
      <c r="I77" s="155"/>
      <c r="J77" s="155"/>
      <c r="K77" s="155"/>
      <c r="L77" s="155"/>
      <c r="M77" s="155"/>
      <c r="N77" s="155"/>
      <c r="O77" s="155"/>
      <c r="P77" s="155"/>
      <c r="Q77" s="156"/>
      <c r="R77" s="157"/>
      <c r="S77" s="158"/>
      <c r="T77" s="158"/>
      <c r="W77" s="158"/>
      <c r="X77" s="158"/>
      <c r="Y77" s="158"/>
      <c r="AB77" s="158"/>
      <c r="AC77" s="158"/>
      <c r="AD77" s="158"/>
      <c r="AG77" s="158"/>
      <c r="AH77" s="158"/>
      <c r="AI77" s="158"/>
    </row>
    <row r="78" customFormat="false" ht="12.75" hidden="false" customHeight="false" outlineLevel="0" collapsed="false">
      <c r="A78" s="37"/>
      <c r="B78" s="72"/>
      <c r="C78" s="36"/>
      <c r="D78" s="36"/>
      <c r="E78" s="36"/>
      <c r="F78" s="36"/>
      <c r="G78" s="36"/>
      <c r="H78" s="36"/>
      <c r="I78" s="27"/>
      <c r="J78" s="27"/>
      <c r="K78" s="27"/>
      <c r="L78" s="27"/>
      <c r="M78" s="27"/>
      <c r="N78" s="27"/>
      <c r="O78" s="27"/>
      <c r="P78" s="27"/>
      <c r="Q78" s="28"/>
      <c r="R78" s="94"/>
      <c r="S78" s="95"/>
      <c r="T78" s="95"/>
      <c r="W78" s="95"/>
      <c r="X78" s="95"/>
      <c r="Y78" s="95"/>
      <c r="AB78" s="95"/>
      <c r="AC78" s="95"/>
      <c r="AD78" s="95"/>
      <c r="AG78" s="95"/>
      <c r="AH78" s="95"/>
      <c r="AI78" s="95"/>
    </row>
    <row r="79" customFormat="false" ht="18.75" hidden="false" customHeight="false" outlineLevel="0" collapsed="false">
      <c r="A79" s="22" t="s">
        <v>97</v>
      </c>
      <c r="B79" s="52"/>
      <c r="C79" s="36"/>
      <c r="D79" s="36"/>
      <c r="E79" s="36"/>
      <c r="F79" s="36"/>
      <c r="G79" s="36"/>
      <c r="H79" s="36"/>
      <c r="I79" s="27"/>
      <c r="J79" s="27"/>
      <c r="K79" s="27"/>
      <c r="L79" s="27"/>
      <c r="M79" s="27"/>
      <c r="N79" s="27"/>
      <c r="O79" s="27"/>
      <c r="P79" s="27"/>
      <c r="Q79" s="28"/>
      <c r="R79" s="94"/>
      <c r="S79" s="95"/>
      <c r="T79" s="95"/>
      <c r="W79" s="95"/>
      <c r="X79" s="95"/>
      <c r="Y79" s="95"/>
      <c r="AB79" s="95"/>
      <c r="AC79" s="95"/>
      <c r="AD79" s="95"/>
      <c r="AG79" s="95"/>
      <c r="AH79" s="95"/>
      <c r="AI79" s="95"/>
    </row>
    <row r="80" customFormat="false" ht="13.5" hidden="false" customHeight="true" outlineLevel="0" collapsed="false">
      <c r="A80" s="37"/>
      <c r="B80" s="36"/>
      <c r="C80" s="36"/>
      <c r="D80" s="36"/>
      <c r="E80" s="36"/>
      <c r="F80" s="36"/>
      <c r="G80" s="36"/>
      <c r="H80" s="36"/>
      <c r="I80" s="27"/>
      <c r="J80" s="27"/>
      <c r="K80" s="27"/>
      <c r="L80" s="27"/>
      <c r="M80" s="27"/>
      <c r="N80" s="27"/>
      <c r="O80" s="27"/>
      <c r="P80" s="27"/>
      <c r="Q80" s="28"/>
      <c r="R80" s="94"/>
      <c r="S80" s="95"/>
      <c r="T80" s="160"/>
      <c r="U80" s="160"/>
      <c r="W80" s="95"/>
      <c r="X80" s="95"/>
      <c r="Y80" s="95"/>
      <c r="AB80" s="95"/>
      <c r="AC80" s="95"/>
      <c r="AD80" s="95"/>
      <c r="AG80" s="95"/>
      <c r="AH80" s="95"/>
      <c r="AI80" s="95"/>
    </row>
    <row r="81" customFormat="false" ht="18" hidden="false" customHeight="true" outlineLevel="0" collapsed="false">
      <c r="A81" s="75"/>
      <c r="B81" s="76"/>
      <c r="C81" s="30"/>
      <c r="D81" s="161" t="s">
        <v>98</v>
      </c>
      <c r="E81" s="162" t="s">
        <v>99</v>
      </c>
      <c r="F81" s="56"/>
      <c r="G81" s="36"/>
      <c r="H81" s="36"/>
      <c r="I81" s="27"/>
      <c r="J81" s="27"/>
      <c r="K81" s="27"/>
      <c r="L81" s="27"/>
      <c r="M81" s="27"/>
      <c r="N81" s="27"/>
      <c r="O81" s="27"/>
      <c r="P81" s="27"/>
      <c r="Q81" s="28"/>
      <c r="R81" s="94"/>
      <c r="S81" s="95"/>
      <c r="T81" s="160"/>
      <c r="U81" s="160"/>
      <c r="W81" s="95"/>
      <c r="X81" s="95"/>
      <c r="Y81" s="95"/>
      <c r="AB81" s="95"/>
      <c r="AC81" s="95"/>
      <c r="AD81" s="95"/>
      <c r="AG81" s="95"/>
      <c r="AH81" s="95"/>
      <c r="AI81" s="95"/>
    </row>
    <row r="82" customFormat="false" ht="14.45" hidden="false" customHeight="true" outlineLevel="0" collapsed="false">
      <c r="A82" s="37"/>
      <c r="B82" s="36"/>
      <c r="C82" s="73"/>
      <c r="D82" s="69" t="s">
        <v>100</v>
      </c>
      <c r="E82" s="163" t="n">
        <v>5</v>
      </c>
      <c r="F82" s="58" t="s">
        <v>23</v>
      </c>
      <c r="G82" s="36"/>
      <c r="H82" s="36"/>
      <c r="I82" s="27"/>
      <c r="J82" s="27"/>
      <c r="K82" s="27"/>
      <c r="L82" s="27"/>
      <c r="M82" s="27"/>
      <c r="N82" s="27"/>
      <c r="O82" s="27"/>
      <c r="P82" s="27"/>
      <c r="Q82" s="28"/>
      <c r="R82" s="94"/>
      <c r="S82" s="95"/>
      <c r="T82" s="160"/>
      <c r="U82" s="160"/>
      <c r="W82" s="95"/>
      <c r="X82" s="95"/>
      <c r="Y82" s="95"/>
      <c r="AB82" s="95"/>
      <c r="AC82" s="95"/>
      <c r="AD82" s="95"/>
      <c r="AG82" s="95"/>
      <c r="AH82" s="95"/>
      <c r="AI82" s="95"/>
    </row>
    <row r="83" customFormat="false" ht="14.45" hidden="false" customHeight="true" outlineLevel="0" collapsed="false">
      <c r="A83" s="37"/>
      <c r="B83" s="36"/>
      <c r="C83" s="73"/>
      <c r="D83" s="69" t="s">
        <v>101</v>
      </c>
      <c r="E83" s="163" t="n">
        <v>8.4</v>
      </c>
      <c r="F83" s="58" t="s">
        <v>102</v>
      </c>
      <c r="G83" s="36"/>
      <c r="H83" s="36"/>
      <c r="I83" s="27"/>
      <c r="J83" s="27"/>
      <c r="K83" s="27"/>
      <c r="L83" s="27"/>
      <c r="M83" s="27"/>
      <c r="N83" s="27"/>
      <c r="O83" s="27"/>
      <c r="P83" s="27"/>
      <c r="Q83" s="28"/>
      <c r="R83" s="94"/>
      <c r="S83" s="95"/>
      <c r="T83" s="160"/>
      <c r="U83" s="160"/>
      <c r="W83" s="95"/>
      <c r="X83" s="95"/>
      <c r="Y83" s="95"/>
      <c r="AB83" s="95"/>
      <c r="AC83" s="95"/>
      <c r="AD83" s="95"/>
      <c r="AG83" s="95"/>
      <c r="AH83" s="95"/>
      <c r="AI83" s="95"/>
    </row>
    <row r="84" customFormat="false" ht="14.45" hidden="false" customHeight="true" outlineLevel="0" collapsed="false">
      <c r="A84" s="37"/>
      <c r="B84" s="36"/>
      <c r="C84" s="73"/>
      <c r="D84" s="69" t="s">
        <v>103</v>
      </c>
      <c r="E84" s="80" t="n">
        <v>1.6</v>
      </c>
      <c r="F84" s="58" t="s">
        <v>102</v>
      </c>
      <c r="G84" s="36"/>
      <c r="H84" s="36"/>
      <c r="I84" s="27"/>
      <c r="J84" s="27"/>
      <c r="K84" s="27"/>
      <c r="L84" s="27"/>
      <c r="M84" s="27"/>
      <c r="N84" s="27"/>
      <c r="O84" s="27"/>
      <c r="P84" s="27"/>
      <c r="Q84" s="28"/>
      <c r="R84" s="94"/>
      <c r="S84" s="95"/>
      <c r="T84" s="160"/>
      <c r="U84" s="160"/>
      <c r="W84" s="95"/>
      <c r="X84" s="95"/>
      <c r="Y84" s="95"/>
      <c r="AB84" s="95"/>
      <c r="AC84" s="95"/>
      <c r="AD84" s="95"/>
      <c r="AG84" s="95"/>
      <c r="AH84" s="95"/>
      <c r="AI84" s="95"/>
    </row>
    <row r="85" customFormat="false" ht="14.45" hidden="false" customHeight="true" outlineLevel="0" collapsed="false">
      <c r="A85" s="37"/>
      <c r="B85" s="36"/>
      <c r="C85" s="73"/>
      <c r="D85" s="69" t="s">
        <v>104</v>
      </c>
      <c r="E85" s="80" t="n">
        <v>2.6</v>
      </c>
      <c r="F85" s="58" t="s">
        <v>102</v>
      </c>
      <c r="G85" s="36"/>
      <c r="H85" s="36"/>
      <c r="I85" s="27"/>
      <c r="J85" s="27"/>
      <c r="K85" s="27"/>
      <c r="L85" s="27"/>
      <c r="M85" s="27"/>
      <c r="N85" s="27"/>
      <c r="O85" s="27"/>
      <c r="P85" s="27"/>
      <c r="Q85" s="28"/>
      <c r="R85" s="94"/>
      <c r="S85" s="95"/>
      <c r="T85" s="160"/>
      <c r="U85" s="160"/>
      <c r="W85" s="95"/>
      <c r="X85" s="95"/>
      <c r="Y85" s="95"/>
      <c r="AB85" s="95"/>
      <c r="AC85" s="95"/>
      <c r="AD85" s="95"/>
      <c r="AG85" s="95"/>
      <c r="AH85" s="95"/>
      <c r="AI85" s="95"/>
    </row>
    <row r="86" customFormat="false" ht="14.45" hidden="false" customHeight="true" outlineLevel="0" collapsed="false">
      <c r="A86" s="37"/>
      <c r="B86" s="36"/>
      <c r="C86" s="73"/>
      <c r="D86" s="69" t="s">
        <v>105</v>
      </c>
      <c r="E86" s="80" t="n">
        <v>1.3</v>
      </c>
      <c r="F86" s="58" t="s">
        <v>93</v>
      </c>
      <c r="G86" s="36"/>
      <c r="H86" s="36"/>
      <c r="I86" s="27"/>
      <c r="J86" s="27"/>
      <c r="K86" s="27"/>
      <c r="L86" s="27"/>
      <c r="M86" s="27"/>
      <c r="N86" s="27"/>
      <c r="O86" s="27"/>
      <c r="P86" s="27"/>
      <c r="Q86" s="28"/>
      <c r="R86" s="94"/>
      <c r="S86" s="95"/>
      <c r="T86" s="160"/>
      <c r="U86" s="160"/>
      <c r="W86" s="95"/>
      <c r="X86" s="95"/>
      <c r="Y86" s="95"/>
      <c r="AB86" s="95"/>
      <c r="AC86" s="95"/>
      <c r="AD86" s="95"/>
      <c r="AG86" s="95"/>
      <c r="AH86" s="95"/>
      <c r="AI86" s="95"/>
    </row>
    <row r="87" customFormat="false" ht="14.45" hidden="false" customHeight="true" outlineLevel="0" collapsed="false">
      <c r="A87" s="37"/>
      <c r="B87" s="36"/>
      <c r="C87" s="73"/>
      <c r="D87" s="69" t="s">
        <v>106</v>
      </c>
      <c r="E87" s="80" t="n">
        <v>97</v>
      </c>
      <c r="F87" s="58" t="s">
        <v>107</v>
      </c>
      <c r="G87" s="36"/>
      <c r="H87" s="36"/>
      <c r="I87" s="27"/>
      <c r="J87" s="27"/>
      <c r="K87" s="27"/>
      <c r="L87" s="27"/>
      <c r="M87" s="27"/>
      <c r="N87" s="27"/>
      <c r="O87" s="27"/>
      <c r="P87" s="27"/>
      <c r="Q87" s="28"/>
      <c r="R87" s="94"/>
      <c r="S87" s="95"/>
      <c r="T87" s="160"/>
      <c r="U87" s="160"/>
      <c r="W87" s="95"/>
      <c r="X87" s="95"/>
      <c r="Y87" s="95"/>
      <c r="AB87" s="95"/>
      <c r="AC87" s="95"/>
      <c r="AD87" s="95"/>
      <c r="AG87" s="95"/>
      <c r="AH87" s="95"/>
      <c r="AI87" s="95"/>
    </row>
    <row r="88" customFormat="false" ht="14.45" hidden="false" customHeight="true" outlineLevel="0" collapsed="false">
      <c r="A88" s="37"/>
      <c r="B88" s="36"/>
      <c r="C88" s="73"/>
      <c r="D88" s="69" t="s">
        <v>108</v>
      </c>
      <c r="E88" s="80" t="n">
        <v>2.2</v>
      </c>
      <c r="F88" s="58" t="s">
        <v>9</v>
      </c>
      <c r="G88" s="36"/>
      <c r="H88" s="36"/>
      <c r="I88" s="27"/>
      <c r="J88" s="27"/>
      <c r="K88" s="27"/>
      <c r="L88" s="27"/>
      <c r="M88" s="27"/>
      <c r="N88" s="27"/>
      <c r="O88" s="27"/>
      <c r="P88" s="27"/>
      <c r="Q88" s="28"/>
      <c r="R88" s="94"/>
      <c r="S88" s="95"/>
      <c r="T88" s="160"/>
      <c r="U88" s="160"/>
      <c r="W88" s="95"/>
      <c r="X88" s="95"/>
      <c r="Y88" s="95"/>
      <c r="AB88" s="95"/>
      <c r="AC88" s="95"/>
      <c r="AD88" s="95"/>
      <c r="AG88" s="95"/>
      <c r="AH88" s="95"/>
      <c r="AI88" s="95"/>
    </row>
    <row r="89" customFormat="false" ht="14.45" hidden="false" customHeight="true" outlineLevel="0" collapsed="false">
      <c r="A89" s="37"/>
      <c r="B89" s="36"/>
      <c r="C89" s="73"/>
      <c r="D89" s="69" t="s">
        <v>109</v>
      </c>
      <c r="E89" s="80" t="n">
        <v>0.85</v>
      </c>
      <c r="F89" s="58" t="s">
        <v>9</v>
      </c>
      <c r="G89" s="36"/>
      <c r="H89" s="36"/>
      <c r="I89" s="27"/>
      <c r="J89" s="27"/>
      <c r="K89" s="27"/>
      <c r="L89" s="27"/>
      <c r="M89" s="27"/>
      <c r="N89" s="27"/>
      <c r="O89" s="27"/>
      <c r="P89" s="27"/>
      <c r="Q89" s="28"/>
      <c r="R89" s="94"/>
      <c r="S89" s="95"/>
      <c r="T89" s="160"/>
      <c r="U89" s="160"/>
      <c r="W89" s="95"/>
      <c r="X89" s="95"/>
      <c r="Y89" s="95"/>
      <c r="AB89" s="95"/>
      <c r="AC89" s="95"/>
      <c r="AD89" s="95"/>
      <c r="AG89" s="95"/>
      <c r="AH89" s="95"/>
      <c r="AI89" s="95"/>
    </row>
    <row r="90" customFormat="false" ht="14.45" hidden="false" customHeight="true" outlineLevel="0" collapsed="false">
      <c r="A90" s="45"/>
      <c r="B90" s="46"/>
      <c r="C90" s="164"/>
      <c r="D90" s="165" t="s">
        <v>110</v>
      </c>
      <c r="E90" s="166" t="n">
        <v>50</v>
      </c>
      <c r="F90" s="49" t="s">
        <v>111</v>
      </c>
      <c r="G90" s="36"/>
      <c r="H90" s="36"/>
      <c r="I90" s="27"/>
      <c r="J90" s="27"/>
      <c r="K90" s="27"/>
      <c r="L90" s="27"/>
      <c r="M90" s="27"/>
      <c r="N90" s="27"/>
      <c r="O90" s="27"/>
      <c r="P90" s="27"/>
      <c r="Q90" s="28"/>
      <c r="R90" s="94"/>
      <c r="S90" s="95"/>
      <c r="T90" s="160"/>
      <c r="U90" s="160"/>
      <c r="W90" s="95"/>
      <c r="X90" s="95"/>
      <c r="Y90" s="95"/>
      <c r="AB90" s="95"/>
      <c r="AC90" s="95"/>
      <c r="AD90" s="95"/>
      <c r="AG90" s="95"/>
      <c r="AH90" s="95"/>
      <c r="AI90" s="95"/>
    </row>
    <row r="91" customFormat="false" ht="14.45" hidden="false" customHeight="true" outlineLevel="0" collapsed="false">
      <c r="A91" s="37"/>
      <c r="B91" s="36"/>
      <c r="C91" s="73"/>
      <c r="D91" s="69"/>
      <c r="E91" s="167"/>
      <c r="F91" s="168"/>
      <c r="G91" s="36"/>
      <c r="H91" s="36"/>
      <c r="I91" s="27"/>
      <c r="J91" s="27"/>
      <c r="K91" s="27"/>
      <c r="L91" s="27"/>
      <c r="M91" s="27"/>
      <c r="N91" s="27"/>
      <c r="O91" s="27"/>
      <c r="P91" s="27"/>
      <c r="Q91" s="28"/>
      <c r="R91" s="94"/>
      <c r="S91" s="95"/>
      <c r="T91" s="160"/>
      <c r="U91" s="160"/>
      <c r="W91" s="95"/>
      <c r="X91" s="95"/>
      <c r="Y91" s="95"/>
      <c r="AB91" s="95"/>
      <c r="AC91" s="95"/>
      <c r="AD91" s="95"/>
      <c r="AG91" s="95"/>
      <c r="AH91" s="95"/>
      <c r="AI91" s="95"/>
    </row>
    <row r="92" customFormat="false" ht="18" hidden="false" customHeight="true" outlineLevel="0" collapsed="false">
      <c r="A92" s="75"/>
      <c r="B92" s="76"/>
      <c r="C92" s="169"/>
      <c r="D92" s="161" t="s">
        <v>112</v>
      </c>
      <c r="E92" s="162" t="s">
        <v>99</v>
      </c>
      <c r="F92" s="56"/>
      <c r="G92" s="36"/>
      <c r="H92" s="36"/>
      <c r="I92" s="27"/>
      <c r="J92" s="27"/>
      <c r="K92" s="27"/>
      <c r="L92" s="27"/>
      <c r="M92" s="27"/>
      <c r="N92" s="27"/>
      <c r="O92" s="27"/>
      <c r="P92" s="27"/>
      <c r="Q92" s="28"/>
      <c r="R92" s="94"/>
      <c r="S92" s="95"/>
      <c r="T92" s="160"/>
      <c r="U92" s="160"/>
      <c r="W92" s="95"/>
      <c r="X92" s="95"/>
      <c r="Y92" s="95"/>
      <c r="AB92" s="95"/>
      <c r="AC92" s="95"/>
      <c r="AD92" s="95"/>
      <c r="AG92" s="95"/>
      <c r="AH92" s="95"/>
      <c r="AI92" s="95"/>
    </row>
    <row r="93" customFormat="false" ht="14.45" hidden="false" customHeight="true" outlineLevel="0" collapsed="false">
      <c r="A93" s="37"/>
      <c r="B93" s="36"/>
      <c r="C93" s="36"/>
      <c r="D93" s="69" t="s">
        <v>100</v>
      </c>
      <c r="E93" s="80" t="n">
        <v>1.2</v>
      </c>
      <c r="F93" s="58" t="s">
        <v>23</v>
      </c>
      <c r="G93" s="36"/>
      <c r="H93" s="36"/>
      <c r="I93" s="27"/>
      <c r="J93" s="27"/>
      <c r="K93" s="27"/>
      <c r="L93" s="27"/>
      <c r="M93" s="27"/>
      <c r="N93" s="27"/>
      <c r="O93" s="27"/>
      <c r="P93" s="27"/>
      <c r="Q93" s="28"/>
      <c r="R93" s="94"/>
      <c r="S93" s="95"/>
      <c r="T93" s="160"/>
      <c r="U93" s="160"/>
      <c r="W93" s="95"/>
      <c r="X93" s="95"/>
      <c r="Y93" s="95"/>
      <c r="AB93" s="95"/>
      <c r="AC93" s="95"/>
      <c r="AD93" s="95"/>
      <c r="AG93" s="95"/>
      <c r="AH93" s="95"/>
      <c r="AI93" s="95"/>
    </row>
    <row r="94" customFormat="false" ht="14.45" hidden="false" customHeight="true" outlineLevel="0" collapsed="false">
      <c r="A94" s="37"/>
      <c r="B94" s="36"/>
      <c r="C94" s="36"/>
      <c r="D94" s="69" t="s">
        <v>101</v>
      </c>
      <c r="E94" s="80" t="n">
        <v>20</v>
      </c>
      <c r="F94" s="58" t="s">
        <v>102</v>
      </c>
      <c r="G94" s="36"/>
      <c r="H94" s="36"/>
      <c r="I94" s="27"/>
      <c r="J94" s="27"/>
      <c r="K94" s="27"/>
      <c r="L94" s="27"/>
      <c r="M94" s="27"/>
      <c r="N94" s="27"/>
      <c r="O94" s="27"/>
      <c r="P94" s="27"/>
      <c r="Q94" s="28"/>
      <c r="R94" s="94"/>
      <c r="S94" s="95"/>
      <c r="T94" s="160"/>
      <c r="U94" s="160"/>
      <c r="W94" s="95"/>
      <c r="X94" s="95"/>
      <c r="Y94" s="95"/>
      <c r="AB94" s="95"/>
      <c r="AC94" s="95"/>
      <c r="AD94" s="95"/>
      <c r="AG94" s="95"/>
      <c r="AH94" s="95"/>
      <c r="AI94" s="95"/>
    </row>
    <row r="95" customFormat="false" ht="14.45" hidden="false" customHeight="true" outlineLevel="0" collapsed="false">
      <c r="A95" s="37"/>
      <c r="B95" s="36"/>
      <c r="C95" s="36"/>
      <c r="D95" s="69" t="s">
        <v>113</v>
      </c>
      <c r="E95" s="80" t="n">
        <v>0.77</v>
      </c>
      <c r="F95" s="58" t="s">
        <v>9</v>
      </c>
      <c r="G95" s="36"/>
      <c r="H95" s="36"/>
      <c r="I95" s="27"/>
      <c r="J95" s="27"/>
      <c r="K95" s="27"/>
      <c r="L95" s="27"/>
      <c r="M95" s="27"/>
      <c r="N95" s="27"/>
      <c r="O95" s="27"/>
      <c r="P95" s="27"/>
      <c r="Q95" s="28"/>
      <c r="R95" s="94"/>
      <c r="S95" s="95"/>
      <c r="T95" s="160"/>
      <c r="U95" s="160"/>
      <c r="W95" s="95"/>
      <c r="X95" s="95"/>
      <c r="Y95" s="95"/>
      <c r="AB95" s="95"/>
      <c r="AC95" s="95"/>
      <c r="AD95" s="95"/>
      <c r="AG95" s="95"/>
      <c r="AH95" s="95"/>
      <c r="AI95" s="95"/>
    </row>
    <row r="96" customFormat="false" ht="14.45" hidden="false" customHeight="true" outlineLevel="0" collapsed="false">
      <c r="A96" s="37"/>
      <c r="B96" s="36"/>
      <c r="C96" s="36"/>
      <c r="D96" s="69" t="s">
        <v>114</v>
      </c>
      <c r="E96" s="80" t="n">
        <v>32</v>
      </c>
      <c r="F96" s="58" t="s">
        <v>102</v>
      </c>
      <c r="G96" s="36"/>
      <c r="H96" s="36"/>
      <c r="I96" s="27"/>
      <c r="J96" s="27"/>
      <c r="K96" s="27"/>
      <c r="L96" s="27"/>
      <c r="M96" s="27"/>
      <c r="N96" s="27"/>
      <c r="O96" s="27"/>
      <c r="P96" s="27"/>
      <c r="Q96" s="28"/>
      <c r="R96" s="94"/>
      <c r="S96" s="95"/>
      <c r="T96" s="95"/>
      <c r="W96" s="95"/>
      <c r="X96" s="95"/>
      <c r="Y96" s="95"/>
      <c r="AB96" s="95"/>
      <c r="AC96" s="95"/>
      <c r="AD96" s="95"/>
      <c r="AG96" s="95"/>
      <c r="AH96" s="95"/>
      <c r="AI96" s="95"/>
    </row>
    <row r="97" customFormat="false" ht="14.45" hidden="false" customHeight="true" outlineLevel="0" collapsed="false">
      <c r="A97" s="37"/>
      <c r="B97" s="36"/>
      <c r="C97" s="36"/>
      <c r="D97" s="69" t="s">
        <v>110</v>
      </c>
      <c r="E97" s="80" t="n">
        <v>50</v>
      </c>
      <c r="F97" s="58" t="s">
        <v>111</v>
      </c>
      <c r="G97" s="36"/>
      <c r="H97" s="36"/>
      <c r="I97" s="27"/>
      <c r="J97" s="27"/>
      <c r="K97" s="27"/>
      <c r="L97" s="27"/>
      <c r="M97" s="27"/>
      <c r="N97" s="27"/>
      <c r="O97" s="27"/>
      <c r="P97" s="27"/>
      <c r="Q97" s="28"/>
      <c r="R97" s="94"/>
      <c r="S97" s="95"/>
      <c r="T97" s="95"/>
      <c r="W97" s="95"/>
      <c r="X97" s="95"/>
      <c r="Y97" s="95"/>
      <c r="AB97" s="95"/>
      <c r="AC97" s="95"/>
      <c r="AD97" s="95"/>
      <c r="AG97" s="95"/>
      <c r="AH97" s="95"/>
      <c r="AI97" s="95"/>
    </row>
    <row r="98" customFormat="false" ht="18" hidden="false" customHeight="true" outlineLevel="0" collapsed="false">
      <c r="A98" s="79"/>
      <c r="B98" s="73"/>
      <c r="C98" s="36"/>
      <c r="D98" s="170" t="s">
        <v>115</v>
      </c>
      <c r="E98" s="73"/>
      <c r="F98" s="58"/>
      <c r="G98" s="36"/>
      <c r="H98" s="36"/>
      <c r="I98" s="27"/>
      <c r="J98" s="27"/>
      <c r="K98" s="27"/>
      <c r="L98" s="27"/>
      <c r="M98" s="27"/>
      <c r="N98" s="27"/>
      <c r="O98" s="27"/>
      <c r="P98" s="27"/>
      <c r="Q98" s="28"/>
      <c r="R98" s="94"/>
      <c r="S98" s="95"/>
      <c r="T98" s="95"/>
      <c r="W98" s="95"/>
      <c r="X98" s="95"/>
      <c r="Y98" s="95"/>
      <c r="AB98" s="95"/>
      <c r="AC98" s="95"/>
      <c r="AD98" s="95"/>
      <c r="AG98" s="95"/>
      <c r="AH98" s="95"/>
      <c r="AI98" s="95"/>
    </row>
    <row r="99" customFormat="false" ht="14.45" hidden="false" customHeight="true" outlineLevel="0" collapsed="false">
      <c r="A99" s="37"/>
      <c r="B99" s="36"/>
      <c r="C99" s="36"/>
      <c r="D99" s="69" t="s">
        <v>116</v>
      </c>
      <c r="E99" s="171" t="n">
        <v>0</v>
      </c>
      <c r="F99" s="58" t="s">
        <v>9</v>
      </c>
      <c r="G99" s="36"/>
      <c r="H99" s="36"/>
      <c r="I99" s="172"/>
      <c r="J99" s="173"/>
      <c r="K99" s="27"/>
      <c r="L99" s="27"/>
      <c r="M99" s="27"/>
      <c r="N99" s="27"/>
      <c r="O99" s="27"/>
      <c r="P99" s="27"/>
      <c r="Q99" s="28"/>
      <c r="R99" s="94"/>
      <c r="S99" s="95"/>
      <c r="T99" s="95"/>
      <c r="W99" s="95"/>
      <c r="X99" s="95"/>
      <c r="Y99" s="95"/>
      <c r="AB99" s="95"/>
      <c r="AC99" s="95"/>
      <c r="AD99" s="95"/>
      <c r="AG99" s="95"/>
      <c r="AH99" s="95"/>
      <c r="AI99" s="95"/>
    </row>
    <row r="100" customFormat="false" ht="14.45" hidden="false" customHeight="true" outlineLevel="0" collapsed="false">
      <c r="A100" s="45"/>
      <c r="B100" s="46"/>
      <c r="C100" s="46"/>
      <c r="D100" s="165" t="s">
        <v>117</v>
      </c>
      <c r="E100" s="174" t="n">
        <v>0</v>
      </c>
      <c r="F100" s="49" t="s">
        <v>102</v>
      </c>
      <c r="G100" s="36"/>
      <c r="H100" s="36"/>
      <c r="I100" s="27"/>
      <c r="J100" s="27"/>
      <c r="K100" s="27"/>
      <c r="L100" s="27"/>
      <c r="M100" s="27"/>
      <c r="N100" s="27"/>
      <c r="O100" s="27"/>
      <c r="P100" s="27"/>
      <c r="Q100" s="28"/>
      <c r="R100" s="94"/>
      <c r="S100" s="95"/>
      <c r="T100" s="95"/>
      <c r="W100" s="95"/>
      <c r="X100" s="95"/>
      <c r="Y100" s="95"/>
      <c r="AB100" s="95"/>
      <c r="AC100" s="95"/>
      <c r="AD100" s="95"/>
      <c r="AG100" s="95"/>
      <c r="AH100" s="95"/>
      <c r="AI100" s="95"/>
    </row>
    <row r="101" customFormat="false" ht="14.45" hidden="false" customHeight="true" outlineLevel="0" collapsed="false">
      <c r="A101" s="37"/>
      <c r="B101" s="36"/>
      <c r="C101" s="36"/>
      <c r="D101" s="69"/>
      <c r="E101" s="175"/>
      <c r="F101" s="36"/>
      <c r="G101" s="36"/>
      <c r="H101" s="36"/>
      <c r="I101" s="27"/>
      <c r="J101" s="27"/>
      <c r="K101" s="27"/>
      <c r="L101" s="27"/>
      <c r="M101" s="27"/>
      <c r="N101" s="27"/>
      <c r="O101" s="27"/>
      <c r="P101" s="27"/>
      <c r="Q101" s="28"/>
      <c r="R101" s="94"/>
      <c r="S101" s="95"/>
      <c r="T101" s="95"/>
      <c r="W101" s="95"/>
      <c r="X101" s="95"/>
      <c r="Y101" s="95"/>
      <c r="AB101" s="95"/>
      <c r="AC101" s="95"/>
      <c r="AD101" s="95"/>
      <c r="AG101" s="95"/>
      <c r="AH101" s="95"/>
      <c r="AI101" s="95"/>
    </row>
    <row r="102" customFormat="false" ht="14.45" hidden="false" customHeight="true" outlineLevel="0" collapsed="false">
      <c r="A102" s="91"/>
      <c r="B102" s="36"/>
      <c r="C102" s="36"/>
      <c r="D102" s="69"/>
      <c r="E102" s="175"/>
      <c r="F102" s="36"/>
      <c r="G102" s="36"/>
      <c r="H102" s="36"/>
      <c r="I102" s="27"/>
      <c r="J102" s="27"/>
      <c r="K102" s="27"/>
      <c r="L102" s="27"/>
      <c r="M102" s="27"/>
      <c r="N102" s="27"/>
      <c r="O102" s="27"/>
      <c r="P102" s="27"/>
      <c r="Q102" s="28"/>
      <c r="R102" s="94"/>
      <c r="S102" s="95"/>
      <c r="T102" s="95"/>
      <c r="W102" s="95"/>
      <c r="X102" s="95"/>
      <c r="Y102" s="95"/>
      <c r="AB102" s="95"/>
      <c r="AC102" s="95"/>
      <c r="AD102" s="95"/>
      <c r="AG102" s="95"/>
      <c r="AH102" s="95"/>
      <c r="AI102" s="95"/>
    </row>
    <row r="103" customFormat="false" ht="14.45" hidden="false" customHeight="true" outlineLevel="0" collapsed="false">
      <c r="A103" s="37"/>
      <c r="B103" s="36"/>
      <c r="C103" s="36"/>
      <c r="D103" s="69"/>
      <c r="E103" s="175"/>
      <c r="F103" s="36"/>
      <c r="G103" s="36"/>
      <c r="H103" s="36"/>
      <c r="I103" s="27"/>
      <c r="J103" s="27"/>
      <c r="K103" s="27"/>
      <c r="L103" s="27"/>
      <c r="M103" s="27"/>
      <c r="N103" s="27"/>
      <c r="O103" s="27"/>
      <c r="P103" s="27"/>
      <c r="Q103" s="28"/>
      <c r="R103" s="94"/>
      <c r="S103" s="95"/>
      <c r="T103" s="95"/>
      <c r="W103" s="95"/>
      <c r="X103" s="95"/>
      <c r="Y103" s="95"/>
      <c r="AB103" s="95"/>
      <c r="AC103" s="95"/>
      <c r="AD103" s="95"/>
      <c r="AG103" s="95"/>
      <c r="AH103" s="95"/>
      <c r="AI103" s="95"/>
    </row>
    <row r="104" customFormat="false" ht="14.45" hidden="false" customHeight="true" outlineLevel="0" collapsed="false">
      <c r="A104" s="37"/>
      <c r="B104" s="36"/>
      <c r="C104" s="36"/>
      <c r="D104" s="69"/>
      <c r="E104" s="175"/>
      <c r="F104" s="36"/>
      <c r="G104" s="36"/>
      <c r="H104" s="36"/>
      <c r="I104" s="27"/>
      <c r="J104" s="27"/>
      <c r="K104" s="27"/>
      <c r="L104" s="27"/>
      <c r="M104" s="27"/>
      <c r="N104" s="27"/>
      <c r="O104" s="27"/>
      <c r="P104" s="27"/>
      <c r="Q104" s="28"/>
      <c r="R104" s="94"/>
      <c r="S104" s="95"/>
      <c r="T104" s="95"/>
      <c r="W104" s="95"/>
      <c r="X104" s="95"/>
      <c r="Y104" s="95"/>
      <c r="AB104" s="95"/>
      <c r="AC104" s="95"/>
      <c r="AD104" s="95"/>
      <c r="AG104" s="95"/>
      <c r="AH104" s="95"/>
      <c r="AI104" s="95"/>
    </row>
    <row r="105" customFormat="false" ht="13.5" hidden="false" customHeight="false" outlineLevel="0" collapsed="false">
      <c r="A105" s="45"/>
      <c r="B105" s="46"/>
      <c r="C105" s="46"/>
      <c r="D105" s="46"/>
      <c r="E105" s="46"/>
      <c r="F105" s="46"/>
      <c r="G105" s="46"/>
      <c r="H105" s="46"/>
      <c r="I105" s="114"/>
      <c r="J105" s="114"/>
      <c r="K105" s="114"/>
      <c r="L105" s="114"/>
      <c r="M105" s="114"/>
      <c r="N105" s="114"/>
      <c r="O105" s="114"/>
      <c r="P105" s="114"/>
      <c r="Q105" s="176"/>
      <c r="R105" s="94"/>
      <c r="S105" s="95"/>
      <c r="T105" s="95"/>
      <c r="W105" s="95"/>
      <c r="X105" s="95"/>
      <c r="Y105" s="95"/>
      <c r="AB105" s="95"/>
      <c r="AC105" s="95"/>
      <c r="AD105" s="95"/>
      <c r="AG105" s="95"/>
      <c r="AH105" s="95"/>
      <c r="AI105" s="95"/>
    </row>
    <row r="106" customFormat="false" ht="13.5" hidden="false" customHeight="false" outlineLevel="0" collapsed="false">
      <c r="A106" s="177"/>
      <c r="B106" s="178"/>
      <c r="C106" s="179"/>
      <c r="D106" s="179"/>
      <c r="E106" s="179"/>
      <c r="F106" s="179"/>
      <c r="G106" s="179"/>
      <c r="H106" s="179"/>
      <c r="I106" s="179"/>
      <c r="J106" s="179"/>
      <c r="K106" s="179"/>
      <c r="L106" s="179"/>
      <c r="M106" s="179"/>
      <c r="N106" s="179"/>
      <c r="O106" s="179"/>
      <c r="P106" s="179"/>
      <c r="Q106" s="179"/>
      <c r="R106" s="180"/>
      <c r="S106" s="95"/>
      <c r="T106" s="95"/>
      <c r="W106" s="95"/>
      <c r="X106" s="95"/>
      <c r="Y106" s="95"/>
      <c r="AB106" s="95"/>
      <c r="AC106" s="95"/>
      <c r="AD106" s="95"/>
      <c r="AG106" s="95"/>
      <c r="AH106" s="95"/>
      <c r="AI106" s="95"/>
    </row>
  </sheetData>
  <sheetProtection sheet="true" password="e1a4" objects="true" scenarios="true" selectLockedCells="true"/>
  <mergeCells count="3">
    <mergeCell ref="A1:Q1"/>
    <mergeCell ref="O3:P3"/>
    <mergeCell ref="F70:H70"/>
  </mergeCells>
  <conditionalFormatting sqref="E10">
    <cfRule type="cellIs" priority="2" operator="greaterThan" aboveAverage="0" equalAverage="0" bottom="0" percent="0" rank="0" text="" dxfId="0">
      <formula>$E$9+400</formula>
    </cfRule>
    <cfRule type="cellIs" priority="3" operator="notBetween" aboveAverage="0" equalAverage="0" bottom="0" percent="0" rank="0" text="" dxfId="1">
      <formula>1200</formula>
      <formula>200</formula>
    </cfRule>
    <cfRule type="cellIs" priority="4" operator="lessThan" aboveAverage="0" equalAverage="0" bottom="0" percent="0" rank="0" text="" dxfId="2">
      <formula>$E$9</formula>
    </cfRule>
  </conditionalFormatting>
  <conditionalFormatting sqref="E6">
    <cfRule type="cellIs" priority="5" operator="notBetween" aboveAverage="0" equalAverage="0" bottom="0" percent="0" rank="0" text="" dxfId="3">
      <formula>20</formula>
      <formula>3</formula>
    </cfRule>
  </conditionalFormatting>
  <conditionalFormatting sqref="E9">
    <cfRule type="cellIs" priority="6" operator="notBetween" aboveAverage="0" equalAverage="0" bottom="0" percent="0" rank="0" text="" dxfId="4">
      <formula>1200</formula>
      <formula>200</formula>
    </cfRule>
    <cfRule type="cellIs" priority="7" operator="greaterThan" aboveAverage="0" equalAverage="0" bottom="0" percent="0" rank="0" text="" dxfId="5">
      <formula>$E$10</formula>
    </cfRule>
  </conditionalFormatting>
  <conditionalFormatting sqref="E7">
    <cfRule type="cellIs" priority="8" operator="notBetween" aboveAverage="0" equalAverage="0" bottom="0" percent="0" rank="0" text="" dxfId="6">
      <formula>0.6</formula>
      <formula>$E$6*0.95</formula>
    </cfRule>
  </conditionalFormatting>
  <conditionalFormatting sqref="E28">
    <cfRule type="cellIs" priority="9" operator="lessThanOrEqual" aboveAverage="0" equalAverage="0" bottom="0" percent="0" rank="0" text="" dxfId="7">
      <formula>0</formula>
    </cfRule>
  </conditionalFormatting>
  <conditionalFormatting sqref="E30">
    <cfRule type="cellIs" priority="10" operator="lessThan" aboveAverage="0" equalAverage="0" bottom="0" percent="0" rank="0" text="" dxfId="8">
      <formula>$E$29</formula>
    </cfRule>
  </conditionalFormatting>
  <conditionalFormatting sqref="E32">
    <cfRule type="cellIs" priority="11" operator="greaterThan" aboveAverage="0" equalAverage="0" bottom="0" percent="0" rank="0" text="" dxfId="9">
      <formula>$E$31</formula>
    </cfRule>
  </conditionalFormatting>
  <conditionalFormatting sqref="E48">
    <cfRule type="cellIs" priority="12" operator="greaterThan" aboveAverage="0" equalAverage="0" bottom="0" percent="0" rank="0" text="" dxfId="10">
      <formula>150</formula>
    </cfRule>
  </conditionalFormatting>
  <conditionalFormatting sqref="E37">
    <cfRule type="cellIs" priority="13" operator="equal" aboveAverage="0" equalAverage="0" bottom="0" percent="0" rank="0" text="" dxfId="11">
      <formula>0</formula>
    </cfRule>
  </conditionalFormatting>
  <conditionalFormatting sqref="E39">
    <cfRule type="cellIs" priority="14" operator="lessThan" aboveAverage="0" equalAverage="0" bottom="0" percent="0" rank="0" text="" dxfId="12">
      <formula>$E$38</formula>
    </cfRule>
  </conditionalFormatting>
  <conditionalFormatting sqref="E41">
    <cfRule type="cellIs" priority="15" operator="greaterThan" aboveAverage="0" equalAverage="0" bottom="0" percent="0" rank="0" text="" dxfId="13">
      <formula>$E$40</formula>
    </cfRule>
    <cfRule type="cellIs" priority="16" operator="equal" aboveAverage="0" equalAverage="0" bottom="0" percent="0" rank="0" text="" dxfId="14">
      <formula>0</formula>
    </cfRule>
  </conditionalFormatting>
  <conditionalFormatting sqref="E50">
    <cfRule type="cellIs" priority="17" operator="notBetween" aboveAverage="0" equalAverage="0" bottom="0" percent="0" rank="0" text="" dxfId="15">
      <formula>19</formula>
      <formula>2.7</formula>
    </cfRule>
  </conditionalFormatting>
  <conditionalFormatting sqref="E51">
    <cfRule type="cellIs" priority="18" operator="notBetween" aboveAverage="0" equalAverage="0" bottom="0" percent="0" rank="0" text="" dxfId="16">
      <formula>18</formula>
      <formula>2.4</formula>
    </cfRule>
  </conditionalFormatting>
  <conditionalFormatting sqref="E46">
    <cfRule type="cellIs" priority="19" operator="lessThanOrEqual" aboveAverage="0" equalAverage="0" bottom="0" percent="0" rank="0" text="" dxfId="17">
      <formula>1.28</formula>
    </cfRule>
  </conditionalFormatting>
  <hyperlinks>
    <hyperlink ref="O2" r:id="rId2" display="http://www.ti.com/product/lm27403"/>
    <hyperlink ref="C3" r:id="rId3" display="xx"/>
  </hyperlinks>
  <printOptions headings="false" gridLines="false" gridLinesSet="true" horizontalCentered="true" verticalCentered="true"/>
  <pageMargins left="0.1" right="0.170138888888889" top="0.25" bottom="0.2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rowBreaks count="1" manualBreakCount="1">
    <brk id="105" man="true" max="16383" min="0"/>
  </rowBreaks>
  <drawing r:id="rId4"/>
  <legacyDrawing r:id="rId5"/>
</worksheet>
</file>

<file path=xl/worksheets/sheet2.xml><?xml version="1.0" encoding="utf-8"?>
<worksheet xmlns="http://schemas.openxmlformats.org/spreadsheetml/2006/main" xmlns:r="http://schemas.openxmlformats.org/officeDocument/2006/relationships">
  <sheetPr filterMode="false">
    <tabColor rgb="00FFFFFF"/>
    <pageSetUpPr fitToPage="false"/>
  </sheetPr>
  <dimension ref="35:7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45" activeCellId="0" sqref="C45"/>
    </sheetView>
  </sheetViews>
  <sheetFormatPr defaultRowHeight="12.75"/>
  <cols>
    <col collapsed="false" hidden="false" max="1" min="1" style="181" width="8.70918367346939"/>
    <col collapsed="false" hidden="false" max="2" min="2" style="181" width="14.8571428571429"/>
    <col collapsed="false" hidden="false" max="3" min="3" style="181" width="16.1428571428571"/>
    <col collapsed="false" hidden="false" max="4" min="4" style="181" width="20.1428571428571"/>
    <col collapsed="false" hidden="false" max="5" min="5" style="181" width="17.2857142857143"/>
    <col collapsed="false" hidden="false" max="6" min="6" style="181" width="20.5714285714286"/>
    <col collapsed="false" hidden="false" max="7" min="7" style="181" width="9.70918367346939"/>
    <col collapsed="false" hidden="false" max="8" min="8" style="181" width="16.1428571428571"/>
    <col collapsed="false" hidden="false" max="9" min="9" style="181" width="14.7040816326531"/>
    <col collapsed="false" hidden="false" max="10" min="10" style="181" width="17.2857142857143"/>
    <col collapsed="false" hidden="false" max="11" min="11" style="181" width="26.4234693877551"/>
    <col collapsed="false" hidden="false" max="12" min="12" style="181" width="9.14285714285714"/>
    <col collapsed="false" hidden="false" max="13" min="13" style="182" width="9.14285714285714"/>
    <col collapsed="false" hidden="false" max="256" min="14" style="181" width="9.14285714285714"/>
    <col collapsed="false" hidden="false" max="257" min="257" style="181" width="8.70918367346939"/>
    <col collapsed="false" hidden="false" max="258" min="258" style="181" width="13.2857142857143"/>
    <col collapsed="false" hidden="false" max="259" min="259" style="181" width="16.1428571428571"/>
    <col collapsed="false" hidden="false" max="260" min="260" style="181" width="23.5714285714286"/>
    <col collapsed="false" hidden="false" max="261" min="261" style="181" width="17.2857142857143"/>
    <col collapsed="false" hidden="false" max="262" min="262" style="181" width="20.5714285714286"/>
    <col collapsed="false" hidden="false" max="263" min="263" style="181" width="17.1428571428571"/>
    <col collapsed="false" hidden="false" max="264" min="264" style="181" width="21.8571428571429"/>
    <col collapsed="false" hidden="false" max="265" min="265" style="181" width="17.1428571428571"/>
    <col collapsed="false" hidden="false" max="266" min="266" style="181" width="18.1428571428571"/>
    <col collapsed="false" hidden="false" max="267" min="267" style="181" width="26.4234693877551"/>
    <col collapsed="false" hidden="false" max="512" min="268" style="181" width="9.14285714285714"/>
    <col collapsed="false" hidden="false" max="513" min="513" style="181" width="8.70918367346939"/>
    <col collapsed="false" hidden="false" max="514" min="514" style="181" width="13.2857142857143"/>
    <col collapsed="false" hidden="false" max="515" min="515" style="181" width="16.1428571428571"/>
    <col collapsed="false" hidden="false" max="516" min="516" style="181" width="23.5714285714286"/>
    <col collapsed="false" hidden="false" max="517" min="517" style="181" width="17.2857142857143"/>
    <col collapsed="false" hidden="false" max="518" min="518" style="181" width="20.5714285714286"/>
    <col collapsed="false" hidden="false" max="519" min="519" style="181" width="17.1428571428571"/>
    <col collapsed="false" hidden="false" max="520" min="520" style="181" width="21.8571428571429"/>
    <col collapsed="false" hidden="false" max="521" min="521" style="181" width="17.1428571428571"/>
    <col collapsed="false" hidden="false" max="522" min="522" style="181" width="18.1428571428571"/>
    <col collapsed="false" hidden="false" max="523" min="523" style="181" width="26.4234693877551"/>
    <col collapsed="false" hidden="false" max="768" min="524" style="181" width="9.14285714285714"/>
    <col collapsed="false" hidden="false" max="769" min="769" style="181" width="8.70918367346939"/>
    <col collapsed="false" hidden="false" max="770" min="770" style="181" width="13.2857142857143"/>
    <col collapsed="false" hidden="false" max="771" min="771" style="181" width="16.1428571428571"/>
    <col collapsed="false" hidden="false" max="772" min="772" style="181" width="23.5714285714286"/>
    <col collapsed="false" hidden="false" max="773" min="773" style="181" width="17.2857142857143"/>
    <col collapsed="false" hidden="false" max="774" min="774" style="181" width="20.5714285714286"/>
    <col collapsed="false" hidden="false" max="775" min="775" style="181" width="17.1428571428571"/>
    <col collapsed="false" hidden="false" max="776" min="776" style="181" width="21.8571428571429"/>
    <col collapsed="false" hidden="false" max="777" min="777" style="181" width="17.1428571428571"/>
    <col collapsed="false" hidden="false" max="778" min="778" style="181" width="18.1428571428571"/>
    <col collapsed="false" hidden="false" max="779" min="779" style="181" width="26.4234693877551"/>
    <col collapsed="false" hidden="false" max="1025" min="780" style="181" width="9.14285714285714"/>
  </cols>
  <sheetData>
    <row r="35" customFormat="false" ht="15.75" hidden="false" customHeight="true" outlineLevel="0" collapsed="false">
      <c r="M35" s="0"/>
    </row>
    <row r="36" customFormat="false" ht="15.75" hidden="false" customHeight="true" outlineLevel="0" collapsed="false">
      <c r="B36" s="183" t="s">
        <v>118</v>
      </c>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4.75" hidden="false" customHeight="true" outlineLevel="0" collapsed="false">
      <c r="A37" s="184" t="str">
        <f aca="false">"VIN = "&amp;Vin&amp;" V, VOUT = "&amp; Vout &amp;" V, IOUT = " &amp;Iout &amp; " A,  Fsw = " &amp; Fsw/1000 &amp;" kHz, Current Limit = "&amp;ROUNDUP(Ilimit2,0)&amp;" A"</f>
        <v>VIN = 18 V, VOUT = 6 V, IOUT = 2 A,  Fsw = 700 kHz, Current Limit = 5 A</v>
      </c>
      <c r="B37" s="0"/>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4.75" hidden="false" customHeight="true" outlineLevel="0" collapsed="false">
      <c r="A38" s="185" t="s">
        <v>119</v>
      </c>
      <c r="B38" s="0"/>
      <c r="C38" s="0"/>
      <c r="D38" s="0"/>
      <c r="E38" s="0"/>
      <c r="F38" s="0"/>
      <c r="G38" s="0"/>
      <c r="H38" s="0"/>
      <c r="I38" s="0"/>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8" hidden="false" customHeight="true" outlineLevel="0" collapsed="false">
      <c r="A39" s="186" t="s">
        <v>120</v>
      </c>
      <c r="B39" s="187" t="s">
        <v>121</v>
      </c>
      <c r="C39" s="187" t="s">
        <v>122</v>
      </c>
      <c r="D39" s="188" t="s">
        <v>123</v>
      </c>
      <c r="E39" s="188"/>
      <c r="F39" s="188"/>
      <c r="G39" s="188"/>
      <c r="H39" s="188" t="s">
        <v>124</v>
      </c>
      <c r="I39" s="188" t="s">
        <v>125</v>
      </c>
      <c r="J39" s="188" t="s">
        <v>126</v>
      </c>
      <c r="K39" s="0"/>
      <c r="L39" s="182"/>
      <c r="M39" s="181"/>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196" customFormat="true" ht="15.75" hidden="false" customHeight="true" outlineLevel="0" collapsed="false">
      <c r="A40" s="189" t="n">
        <v>3</v>
      </c>
      <c r="B40" s="190" t="s">
        <v>127</v>
      </c>
      <c r="C40" s="191" t="n">
        <v>0.1</v>
      </c>
      <c r="D40" s="192" t="n">
        <f aca="false">C40</f>
        <v>0.1</v>
      </c>
      <c r="E40" s="192"/>
      <c r="F40" s="192"/>
      <c r="G40" s="193"/>
      <c r="H40" s="194" t="s">
        <v>128</v>
      </c>
      <c r="I40" s="195" t="s">
        <v>129</v>
      </c>
      <c r="J40" s="195" t="s">
        <v>129</v>
      </c>
      <c r="L40" s="197"/>
    </row>
    <row r="41" s="196" customFormat="true" ht="15.75" hidden="false" customHeight="false" outlineLevel="0" collapsed="false">
      <c r="A41" s="198" t="n">
        <v>1</v>
      </c>
      <c r="B41" s="199" t="s">
        <v>130</v>
      </c>
      <c r="C41" s="200" t="n">
        <f aca="false">'Design Regulator'!D72</f>
        <v>1200</v>
      </c>
      <c r="D41" s="201" t="n">
        <f aca="false">C41</f>
        <v>1200</v>
      </c>
      <c r="E41" s="201"/>
      <c r="F41" s="201"/>
      <c r="G41" s="202"/>
      <c r="H41" s="203" t="s">
        <v>128</v>
      </c>
      <c r="I41" s="203" t="s">
        <v>129</v>
      </c>
      <c r="J41" s="203" t="s">
        <v>129</v>
      </c>
      <c r="L41" s="197"/>
    </row>
    <row r="42" s="196" customFormat="true" ht="15.75" hidden="false" customHeight="false" outlineLevel="0" collapsed="false">
      <c r="A42" s="198" t="n">
        <v>1</v>
      </c>
      <c r="B42" s="199" t="s">
        <v>131</v>
      </c>
      <c r="C42" s="200" t="n">
        <f aca="false">'Design Regulator'!D73</f>
        <v>150</v>
      </c>
      <c r="D42" s="204" t="n">
        <f aca="false">C42</f>
        <v>150</v>
      </c>
      <c r="E42" s="204"/>
      <c r="F42" s="204"/>
      <c r="G42" s="202"/>
      <c r="H42" s="203" t="s">
        <v>128</v>
      </c>
      <c r="I42" s="203" t="s">
        <v>129</v>
      </c>
      <c r="J42" s="203" t="s">
        <v>129</v>
      </c>
      <c r="L42" s="197"/>
    </row>
    <row r="43" s="196" customFormat="true" ht="15.75" hidden="false" customHeight="false" outlineLevel="0" collapsed="false">
      <c r="A43" s="198" t="n">
        <v>1</v>
      </c>
      <c r="B43" s="199" t="s">
        <v>132</v>
      </c>
      <c r="C43" s="200" t="n">
        <f aca="false">'Design Regulator'!D75</f>
        <v>220000</v>
      </c>
      <c r="D43" s="204" t="n">
        <f aca="false">C43</f>
        <v>220000</v>
      </c>
      <c r="E43" s="204"/>
      <c r="F43" s="204"/>
      <c r="G43" s="202"/>
      <c r="H43" s="203" t="s">
        <v>128</v>
      </c>
      <c r="I43" s="203" t="s">
        <v>129</v>
      </c>
      <c r="J43" s="203" t="s">
        <v>129</v>
      </c>
      <c r="L43" s="197"/>
    </row>
    <row r="44" s="196" customFormat="true" ht="15.75" hidden="false" customHeight="false" outlineLevel="0" collapsed="false">
      <c r="A44" s="189" t="n">
        <v>1</v>
      </c>
      <c r="B44" s="190" t="s">
        <v>133</v>
      </c>
      <c r="C44" s="205" t="n">
        <v>470</v>
      </c>
      <c r="D44" s="206" t="n">
        <f aca="false">C44</f>
        <v>470</v>
      </c>
      <c r="E44" s="206"/>
      <c r="F44" s="206"/>
      <c r="G44" s="193"/>
      <c r="H44" s="195" t="s">
        <v>128</v>
      </c>
      <c r="I44" s="195" t="s">
        <v>129</v>
      </c>
      <c r="J44" s="195" t="s">
        <v>129</v>
      </c>
      <c r="L44" s="197"/>
    </row>
    <row r="45" s="196" customFormat="true" ht="15.75" hidden="false" customHeight="false" outlineLevel="0" collapsed="false">
      <c r="A45" s="189" t="n">
        <v>1</v>
      </c>
      <c r="B45" s="190" t="s">
        <v>134</v>
      </c>
      <c r="C45" s="207" t="n">
        <v>1</v>
      </c>
      <c r="D45" s="208" t="n">
        <f aca="false">C45</f>
        <v>1</v>
      </c>
      <c r="E45" s="208"/>
      <c r="F45" s="208"/>
      <c r="G45" s="193"/>
      <c r="H45" s="195" t="s">
        <v>128</v>
      </c>
      <c r="I45" s="195" t="s">
        <v>129</v>
      </c>
      <c r="J45" s="195" t="s">
        <v>129</v>
      </c>
      <c r="L45" s="197"/>
    </row>
    <row r="46" s="196" customFormat="true" ht="15.75" hidden="false" customHeight="false" outlineLevel="0" collapsed="false">
      <c r="A46" s="198" t="n">
        <f aca="false">ROUNDUP('Design Regulator'!E39/22,0)</f>
        <v>1</v>
      </c>
      <c r="B46" s="199" t="s">
        <v>135</v>
      </c>
      <c r="C46" s="209" t="n">
        <v>22</v>
      </c>
      <c r="D46" s="210" t="n">
        <f aca="false">C46</f>
        <v>22</v>
      </c>
      <c r="E46" s="210"/>
      <c r="F46" s="210"/>
      <c r="G46" s="202"/>
      <c r="H46" s="203" t="n">
        <v>1210</v>
      </c>
      <c r="I46" s="203" t="s">
        <v>129</v>
      </c>
      <c r="J46" s="203" t="s">
        <v>129</v>
      </c>
      <c r="L46" s="197"/>
    </row>
    <row r="47" s="196" customFormat="true" ht="15.75" hidden="false" customHeight="false" outlineLevel="0" collapsed="false">
      <c r="A47" s="198" t="n">
        <f aca="false">ROUNDUP('Design Regulator'!E30/100,0)</f>
        <v>1</v>
      </c>
      <c r="B47" s="199" t="s">
        <v>136</v>
      </c>
      <c r="C47" s="209" t="n">
        <v>100</v>
      </c>
      <c r="D47" s="211" t="n">
        <f aca="false">C47</f>
        <v>100</v>
      </c>
      <c r="E47" s="211"/>
      <c r="F47" s="211"/>
      <c r="G47" s="202"/>
      <c r="H47" s="203" t="n">
        <v>1210</v>
      </c>
      <c r="I47" s="203" t="s">
        <v>129</v>
      </c>
      <c r="J47" s="203" t="s">
        <v>129</v>
      </c>
      <c r="L47" s="197"/>
    </row>
    <row r="48" s="196" customFormat="true" ht="15.75" hidden="false" customHeight="false" outlineLevel="0" collapsed="false">
      <c r="A48" s="189" t="n">
        <v>1</v>
      </c>
      <c r="B48" s="190" t="s">
        <v>137</v>
      </c>
      <c r="C48" s="191" t="n">
        <v>0.22</v>
      </c>
      <c r="D48" s="192" t="n">
        <f aca="false">C48</f>
        <v>0.22</v>
      </c>
      <c r="E48" s="192"/>
      <c r="F48" s="192"/>
      <c r="G48" s="193"/>
      <c r="H48" s="195" t="s">
        <v>128</v>
      </c>
      <c r="I48" s="195" t="s">
        <v>129</v>
      </c>
      <c r="J48" s="195" t="s">
        <v>129</v>
      </c>
      <c r="L48" s="197"/>
    </row>
    <row r="49" s="196" customFormat="true" ht="15.75" hidden="false" customHeight="false" outlineLevel="0" collapsed="false">
      <c r="A49" s="198" t="n">
        <v>1</v>
      </c>
      <c r="B49" s="199" t="s">
        <v>138</v>
      </c>
      <c r="C49" s="212" t="n">
        <f aca="false">'Design Regulator'!E47</f>
        <v>33</v>
      </c>
      <c r="D49" s="213" t="n">
        <f aca="false">C49</f>
        <v>33</v>
      </c>
      <c r="E49" s="213"/>
      <c r="F49" s="213"/>
      <c r="G49" s="202"/>
      <c r="H49" s="203" t="s">
        <v>128</v>
      </c>
      <c r="I49" s="203" t="s">
        <v>129</v>
      </c>
      <c r="J49" s="203" t="s">
        <v>129</v>
      </c>
      <c r="L49" s="197"/>
    </row>
    <row r="50" s="196" customFormat="true" ht="15.75" hidden="false" customHeight="false" outlineLevel="0" collapsed="false">
      <c r="A50" s="189" t="n">
        <v>1</v>
      </c>
      <c r="B50" s="190" t="s">
        <v>139</v>
      </c>
      <c r="C50" s="191" t="n">
        <v>4.7</v>
      </c>
      <c r="D50" s="214" t="n">
        <f aca="false">C50</f>
        <v>4.7</v>
      </c>
      <c r="E50" s="214"/>
      <c r="F50" s="214"/>
      <c r="G50" s="193"/>
      <c r="H50" s="195" t="s">
        <v>128</v>
      </c>
      <c r="I50" s="195" t="s">
        <v>129</v>
      </c>
      <c r="J50" s="195" t="s">
        <v>129</v>
      </c>
      <c r="L50" s="197"/>
    </row>
    <row r="51" s="196" customFormat="true" ht="15.75" hidden="false" customHeight="false" outlineLevel="0" collapsed="false">
      <c r="A51" s="189" t="n">
        <v>1</v>
      </c>
      <c r="B51" s="190" t="s">
        <v>140</v>
      </c>
      <c r="C51" s="191" t="n">
        <v>1</v>
      </c>
      <c r="D51" s="215" t="n">
        <f aca="false">C51</f>
        <v>1</v>
      </c>
      <c r="E51" s="215"/>
      <c r="F51" s="215"/>
      <c r="G51" s="193"/>
      <c r="H51" s="195" t="s">
        <v>128</v>
      </c>
      <c r="I51" s="195" t="s">
        <v>129</v>
      </c>
      <c r="J51" s="195" t="s">
        <v>129</v>
      </c>
      <c r="L51" s="197"/>
    </row>
    <row r="52" s="196" customFormat="true" ht="15.75" hidden="false" customHeight="true" outlineLevel="0" collapsed="false">
      <c r="A52" s="189" t="n">
        <v>1</v>
      </c>
      <c r="B52" s="190" t="s">
        <v>141</v>
      </c>
      <c r="C52" s="216" t="s">
        <v>142</v>
      </c>
      <c r="D52" s="217" t="s">
        <v>143</v>
      </c>
      <c r="E52" s="217"/>
      <c r="F52" s="217"/>
      <c r="G52" s="193"/>
      <c r="H52" s="194" t="s">
        <v>144</v>
      </c>
      <c r="I52" s="195" t="s">
        <v>145</v>
      </c>
      <c r="J52" s="195" t="s">
        <v>146</v>
      </c>
      <c r="L52" s="197"/>
    </row>
    <row r="53" customFormat="false" ht="15.75" hidden="false" customHeight="false" outlineLevel="0" collapsed="false">
      <c r="A53" s="198" t="n">
        <v>1</v>
      </c>
      <c r="B53" s="199" t="s">
        <v>147</v>
      </c>
      <c r="C53" s="218" t="n">
        <f aca="false">'Design Regulator'!E15</f>
        <v>6.8</v>
      </c>
      <c r="D53" s="219" t="str">
        <f aca="false">"Inductor, "&amp;Lout2*1000000&amp;"µH, "&amp;Rdcr*1000&amp;"mΩ, &gt;"&amp;ROUNDUP(Ilimit2*1.1,0)&amp;"A"</f>
        <v>Inductor, 6.8µH, 23mΩ, &gt;5A</v>
      </c>
      <c r="E53" s="219"/>
      <c r="F53" s="219"/>
      <c r="G53" s="219"/>
      <c r="H53" s="203" t="s">
        <v>148</v>
      </c>
      <c r="I53" s="203" t="s">
        <v>148</v>
      </c>
      <c r="J53" s="203" t="s">
        <v>149</v>
      </c>
      <c r="L53" s="197"/>
    </row>
    <row r="54" customFormat="false" ht="15.75" hidden="false" customHeight="false" outlineLevel="0" collapsed="false">
      <c r="A54" s="189" t="n">
        <v>1</v>
      </c>
      <c r="B54" s="190" t="s">
        <v>150</v>
      </c>
      <c r="C54" s="216" t="s">
        <v>142</v>
      </c>
      <c r="D54" s="220" t="n">
        <f aca="false">'Design Regulator'!E82</f>
        <v>5</v>
      </c>
      <c r="E54" s="220"/>
      <c r="F54" s="220"/>
      <c r="G54" s="220"/>
      <c r="H54" s="195" t="s">
        <v>151</v>
      </c>
      <c r="I54" s="195" t="str">
        <f aca="false">'Design Regulator'!E81</f>
        <v>CSD87350Q5D</v>
      </c>
      <c r="J54" s="195" t="s">
        <v>152</v>
      </c>
      <c r="L54" s="197"/>
    </row>
    <row r="55" customFormat="false" ht="15.75" hidden="false" customHeight="false" outlineLevel="0" collapsed="false">
      <c r="A55" s="189" t="n">
        <v>1</v>
      </c>
      <c r="B55" s="190" t="s">
        <v>153</v>
      </c>
      <c r="C55" s="216" t="s">
        <v>142</v>
      </c>
      <c r="D55" s="220" t="n">
        <f aca="false">'Design Regulator'!E93</f>
        <v>1.2</v>
      </c>
      <c r="E55" s="220"/>
      <c r="F55" s="220"/>
      <c r="G55" s="220"/>
      <c r="H55" s="195" t="s">
        <v>151</v>
      </c>
      <c r="I55" s="195" t="str">
        <f aca="false">'Design Regulator'!E92</f>
        <v>CSD87350Q5D</v>
      </c>
      <c r="J55" s="195" t="s">
        <v>152</v>
      </c>
      <c r="L55" s="197"/>
    </row>
    <row r="56" customFormat="false" ht="15.75" hidden="false" customHeight="false" outlineLevel="0" collapsed="false">
      <c r="A56" s="189" t="n">
        <v>1</v>
      </c>
      <c r="B56" s="221" t="s">
        <v>154</v>
      </c>
      <c r="C56" s="216" t="s">
        <v>155</v>
      </c>
      <c r="D56" s="222" t="s">
        <v>156</v>
      </c>
      <c r="E56" s="222"/>
      <c r="F56" s="222"/>
      <c r="G56" s="222"/>
      <c r="H56" s="222" t="s">
        <v>157</v>
      </c>
      <c r="I56" s="223" t="s">
        <v>158</v>
      </c>
      <c r="J56" s="222" t="s">
        <v>149</v>
      </c>
      <c r="L56" s="197"/>
    </row>
    <row r="57" customFormat="false" ht="15.75" hidden="false" customHeight="false" outlineLevel="0" collapsed="false">
      <c r="A57" s="198" t="n">
        <v>1</v>
      </c>
      <c r="B57" s="199" t="s">
        <v>159</v>
      </c>
      <c r="C57" s="224" t="n">
        <f aca="false">'Design Regulator'!D71</f>
        <v>3.24</v>
      </c>
      <c r="D57" s="225" t="n">
        <f aca="false">C57</f>
        <v>3.24</v>
      </c>
      <c r="E57" s="225"/>
      <c r="F57" s="225"/>
      <c r="G57" s="225"/>
      <c r="H57" s="203" t="s">
        <v>128</v>
      </c>
      <c r="I57" s="203" t="s">
        <v>129</v>
      </c>
      <c r="J57" s="203" t="s">
        <v>129</v>
      </c>
      <c r="L57" s="197"/>
    </row>
    <row r="58" customFormat="false" ht="15.75" hidden="false" customHeight="false" outlineLevel="0" collapsed="false">
      <c r="A58" s="198" t="n">
        <v>1</v>
      </c>
      <c r="B58" s="199" t="s">
        <v>160</v>
      </c>
      <c r="C58" s="226" t="n">
        <f aca="false">'Design Regulator'!D74</f>
        <v>53.6</v>
      </c>
      <c r="D58" s="227" t="n">
        <f aca="false">C58</f>
        <v>53.6</v>
      </c>
      <c r="E58" s="227"/>
      <c r="F58" s="227"/>
      <c r="G58" s="227"/>
      <c r="H58" s="203" t="s">
        <v>128</v>
      </c>
      <c r="I58" s="203" t="s">
        <v>129</v>
      </c>
      <c r="J58" s="203" t="s">
        <v>129</v>
      </c>
      <c r="L58" s="197"/>
    </row>
    <row r="59" customFormat="false" ht="15.75" hidden="false" customHeight="false" outlineLevel="0" collapsed="false">
      <c r="A59" s="198" t="n">
        <v>2</v>
      </c>
      <c r="B59" s="199" t="s">
        <v>161</v>
      </c>
      <c r="C59" s="224" t="n">
        <f aca="false">'Design Regulator'!E22</f>
        <v>11.5</v>
      </c>
      <c r="D59" s="225" t="n">
        <f aca="false">C59</f>
        <v>11.5</v>
      </c>
      <c r="E59" s="225"/>
      <c r="F59" s="225"/>
      <c r="G59" s="225"/>
      <c r="H59" s="203" t="s">
        <v>128</v>
      </c>
      <c r="I59" s="203" t="s">
        <v>129</v>
      </c>
      <c r="J59" s="203" t="s">
        <v>129</v>
      </c>
      <c r="L59" s="197"/>
    </row>
    <row r="60" customFormat="false" ht="15.75" hidden="false" customHeight="false" outlineLevel="0" collapsed="false">
      <c r="A60" s="198" t="n">
        <v>1</v>
      </c>
      <c r="B60" s="199" t="s">
        <v>162</v>
      </c>
      <c r="C60" s="224" t="n">
        <f aca="false">'Design Regulator'!E11</f>
        <v>11</v>
      </c>
      <c r="D60" s="225" t="n">
        <f aca="false">C60</f>
        <v>11</v>
      </c>
      <c r="E60" s="225"/>
      <c r="F60" s="225"/>
      <c r="G60" s="225"/>
      <c r="H60" s="203" t="s">
        <v>128</v>
      </c>
      <c r="I60" s="203" t="s">
        <v>129</v>
      </c>
      <c r="J60" s="203" t="s">
        <v>129</v>
      </c>
      <c r="L60" s="197"/>
    </row>
    <row r="61" customFormat="false" ht="15.75" hidden="false" customHeight="false" outlineLevel="0" collapsed="false">
      <c r="A61" s="198" t="n">
        <v>1</v>
      </c>
      <c r="B61" s="199" t="s">
        <v>163</v>
      </c>
      <c r="C61" s="224" t="n">
        <f aca="false">'Design Regulator'!E61</f>
        <v>20</v>
      </c>
      <c r="D61" s="225" t="n">
        <f aca="false">C61</f>
        <v>20</v>
      </c>
      <c r="E61" s="225"/>
      <c r="F61" s="225"/>
      <c r="G61" s="225"/>
      <c r="H61" s="203" t="s">
        <v>128</v>
      </c>
      <c r="I61" s="203" t="s">
        <v>129</v>
      </c>
      <c r="J61" s="203" t="s">
        <v>129</v>
      </c>
      <c r="L61" s="197"/>
    </row>
    <row r="62" customFormat="false" ht="15.75" hidden="false" customHeight="false" outlineLevel="0" collapsed="false">
      <c r="A62" s="198" t="n">
        <v>1</v>
      </c>
      <c r="B62" s="199" t="s">
        <v>164</v>
      </c>
      <c r="C62" s="224" t="n">
        <f aca="false">'Design Regulator'!E62</f>
        <v>2.21</v>
      </c>
      <c r="D62" s="225" t="n">
        <f aca="false">C62</f>
        <v>2.21</v>
      </c>
      <c r="E62" s="225"/>
      <c r="F62" s="225"/>
      <c r="G62" s="225"/>
      <c r="H62" s="203" t="s">
        <v>128</v>
      </c>
      <c r="I62" s="203" t="s">
        <v>129</v>
      </c>
      <c r="J62" s="203" t="s">
        <v>129</v>
      </c>
      <c r="L62" s="197"/>
    </row>
    <row r="63" customFormat="false" ht="15.75" hidden="false" customHeight="false" outlineLevel="0" collapsed="false">
      <c r="A63" s="189" t="n">
        <v>1</v>
      </c>
      <c r="B63" s="190" t="s">
        <v>165</v>
      </c>
      <c r="C63" s="228" t="n">
        <v>20</v>
      </c>
      <c r="D63" s="229" t="n">
        <f aca="false">C63</f>
        <v>20</v>
      </c>
      <c r="E63" s="229"/>
      <c r="F63" s="229"/>
      <c r="G63" s="229"/>
      <c r="H63" s="195" t="s">
        <v>128</v>
      </c>
      <c r="I63" s="195" t="s">
        <v>129</v>
      </c>
      <c r="J63" s="195" t="s">
        <v>129</v>
      </c>
      <c r="L63" s="197"/>
    </row>
    <row r="64" customFormat="false" ht="15.75" hidden="false" customHeight="false" outlineLevel="0" collapsed="false">
      <c r="A64" s="198" t="n">
        <v>1</v>
      </c>
      <c r="B64" s="199" t="s">
        <v>166</v>
      </c>
      <c r="C64" s="224" t="n">
        <f aca="false">'Design Regulator'!E23</f>
        <v>1.47</v>
      </c>
      <c r="D64" s="225" t="n">
        <f aca="false">C64</f>
        <v>1.47</v>
      </c>
      <c r="E64" s="225"/>
      <c r="F64" s="225"/>
      <c r="G64" s="225"/>
      <c r="H64" s="203" t="s">
        <v>128</v>
      </c>
      <c r="I64" s="203" t="s">
        <v>129</v>
      </c>
      <c r="J64" s="203" t="s">
        <v>129</v>
      </c>
      <c r="L64" s="197"/>
    </row>
    <row r="65" customFormat="false" ht="15.75" hidden="false" customHeight="false" outlineLevel="0" collapsed="false">
      <c r="A65" s="198" t="n">
        <v>1</v>
      </c>
      <c r="B65" s="199" t="s">
        <v>167</v>
      </c>
      <c r="C65" s="224" t="n">
        <f aca="false">'Variable Management'!C237</f>
        <v>84.5</v>
      </c>
      <c r="D65" s="225" t="n">
        <f aca="false">C65</f>
        <v>84.5</v>
      </c>
      <c r="E65" s="225"/>
      <c r="F65" s="225"/>
      <c r="G65" s="225"/>
      <c r="H65" s="203" t="s">
        <v>128</v>
      </c>
      <c r="I65" s="203" t="s">
        <v>129</v>
      </c>
      <c r="J65" s="203" t="s">
        <v>129</v>
      </c>
      <c r="L65" s="197"/>
    </row>
    <row r="66" customFormat="false" ht="15.75" hidden="false" customHeight="false" outlineLevel="0" collapsed="false">
      <c r="A66" s="198" t="n">
        <v>1</v>
      </c>
      <c r="B66" s="199" t="s">
        <v>168</v>
      </c>
      <c r="C66" s="224" t="n">
        <f aca="false">'Design Regulator'!E52</f>
        <v>78.7</v>
      </c>
      <c r="D66" s="225" t="n">
        <f aca="false">C66</f>
        <v>78.7</v>
      </c>
      <c r="E66" s="225"/>
      <c r="F66" s="225"/>
      <c r="G66" s="225"/>
      <c r="H66" s="203" t="s">
        <v>128</v>
      </c>
      <c r="I66" s="203" t="s">
        <v>129</v>
      </c>
      <c r="J66" s="203" t="s">
        <v>129</v>
      </c>
      <c r="L66" s="197"/>
    </row>
    <row r="67" customFormat="false" ht="15.75" hidden="false" customHeight="false" outlineLevel="0" collapsed="false">
      <c r="A67" s="198" t="n">
        <v>1</v>
      </c>
      <c r="B67" s="199" t="s">
        <v>169</v>
      </c>
      <c r="C67" s="224" t="n">
        <f aca="false">'Design Regulator'!E53</f>
        <v>11.3</v>
      </c>
      <c r="D67" s="225" t="n">
        <f aca="false">C67</f>
        <v>11.3</v>
      </c>
      <c r="E67" s="225"/>
      <c r="F67" s="225"/>
      <c r="G67" s="225"/>
      <c r="H67" s="203" t="s">
        <v>128</v>
      </c>
      <c r="I67" s="203" t="s">
        <v>129</v>
      </c>
      <c r="J67" s="203" t="s">
        <v>129</v>
      </c>
      <c r="L67" s="197"/>
    </row>
    <row r="68" customFormat="false" ht="15.75" hidden="false" customHeight="false" outlineLevel="0" collapsed="false">
      <c r="A68" s="189" t="n">
        <v>1</v>
      </c>
      <c r="B68" s="190" t="s">
        <v>170</v>
      </c>
      <c r="C68" s="230" t="n">
        <v>2.2</v>
      </c>
      <c r="D68" s="231" t="n">
        <f aca="false">C68</f>
        <v>2.2</v>
      </c>
      <c r="E68" s="231"/>
      <c r="F68" s="231"/>
      <c r="G68" s="231"/>
      <c r="H68" s="195" t="s">
        <v>128</v>
      </c>
      <c r="I68" s="195" t="s">
        <v>129</v>
      </c>
      <c r="J68" s="195" t="s">
        <v>129</v>
      </c>
      <c r="L68" s="197"/>
    </row>
    <row r="69" customFormat="false" ht="14.25" hidden="false" customHeight="false" outlineLevel="0" collapsed="false">
      <c r="A69" s="232" t="n">
        <v>1</v>
      </c>
      <c r="B69" s="233" t="s">
        <v>171</v>
      </c>
      <c r="C69" s="234" t="s">
        <v>172</v>
      </c>
      <c r="D69" s="235" t="s">
        <v>173</v>
      </c>
      <c r="E69" s="235"/>
      <c r="F69" s="235"/>
      <c r="G69" s="235"/>
      <c r="H69" s="235" t="s">
        <v>174</v>
      </c>
      <c r="I69" s="235" t="s">
        <v>175</v>
      </c>
      <c r="J69" s="235" t="s">
        <v>152</v>
      </c>
      <c r="L69" s="197"/>
    </row>
    <row r="70" customFormat="false" ht="12.75" hidden="false" customHeight="false" outlineLevel="0" collapsed="false">
      <c r="A70" s="0"/>
    </row>
    <row r="71" customFormat="false" ht="12.75" hidden="false" customHeight="false" outlineLevel="0" collapsed="false">
      <c r="A71" s="0"/>
    </row>
    <row r="72" customFormat="false" ht="12.75" hidden="false" customHeight="false" outlineLevel="0" collapsed="false">
      <c r="A72" s="236" t="s">
        <v>176</v>
      </c>
    </row>
    <row r="73" customFormat="false" ht="12.75" hidden="false" customHeight="false" outlineLevel="0" collapsed="false">
      <c r="A73" s="36" t="s">
        <v>177</v>
      </c>
    </row>
    <row r="74" customFormat="false" ht="12.75" hidden="false" customHeight="false" outlineLevel="0" collapsed="false">
      <c r="A74" s="181" t="s">
        <v>178</v>
      </c>
    </row>
    <row r="75" customFormat="false" ht="12.75" hidden="false" customHeight="false" outlineLevel="0" collapsed="false">
      <c r="A75" s="181" t="s">
        <v>179</v>
      </c>
    </row>
  </sheetData>
  <sheetProtection sheet="true" password="e1a4" objects="true" scenarios="true" selectLockedCells="true" selectUnlockedCells="true"/>
  <mergeCells count="31">
    <mergeCell ref="D39:G39"/>
    <mergeCell ref="D40:F40"/>
    <mergeCell ref="D41:F41"/>
    <mergeCell ref="D42:F42"/>
    <mergeCell ref="D43:F43"/>
    <mergeCell ref="D44:F44"/>
    <mergeCell ref="D45:F45"/>
    <mergeCell ref="D46:F46"/>
    <mergeCell ref="D47:F47"/>
    <mergeCell ref="D48:F48"/>
    <mergeCell ref="D49:F49"/>
    <mergeCell ref="D50:F50"/>
    <mergeCell ref="D51:F51"/>
    <mergeCell ref="D52:F52"/>
    <mergeCell ref="D53:G53"/>
    <mergeCell ref="D54:G54"/>
    <mergeCell ref="D55:G55"/>
    <mergeCell ref="D56:G56"/>
    <mergeCell ref="D57:G57"/>
    <mergeCell ref="D58:G58"/>
    <mergeCell ref="D59:G59"/>
    <mergeCell ref="D60:G60"/>
    <mergeCell ref="D61:G61"/>
    <mergeCell ref="D62:G62"/>
    <mergeCell ref="D63:G63"/>
    <mergeCell ref="D64:G64"/>
    <mergeCell ref="D65:G65"/>
    <mergeCell ref="D66:G66"/>
    <mergeCell ref="D67:G67"/>
    <mergeCell ref="D68:G68"/>
    <mergeCell ref="D69:G69"/>
  </mergeCells>
  <printOptions headings="false" gridLines="false" gridLinesSet="true" horizontalCentered="true" verticalCentered="false"/>
  <pageMargins left="0.229861111111111" right="0.229861111111111" top="0.7" bottom="0.609722222222222" header="0.511805555555555" footer="0.511805555555555"/>
  <pageSetup paperSize="1"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rowBreaks count="1" manualBreakCount="1">
    <brk id="36" man="true" max="16383" min="0"/>
  </rowBreaks>
  <drawing r:id="rId1"/>
</worksheet>
</file>

<file path=xl/worksheets/sheet3.xml><?xml version="1.0" encoding="utf-8"?>
<worksheet xmlns="http://schemas.openxmlformats.org/spreadsheetml/2006/main" xmlns:r="http://schemas.openxmlformats.org/officeDocument/2006/relationships">
  <sheetPr filterMode="false">
    <tabColor rgb="00FFFFFF"/>
    <pageSetUpPr fitToPage="true"/>
  </sheetPr>
  <dimension ref="A1:R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W36" activeCellId="0" sqref="W36"/>
    </sheetView>
  </sheetViews>
  <sheetFormatPr defaultRowHeight="12.75"/>
  <cols>
    <col collapsed="false" hidden="false" max="13" min="1" style="160" width="9.14285714285714"/>
    <col collapsed="false" hidden="false" max="14" min="14" style="160" width="11.8622448979592"/>
    <col collapsed="false" hidden="false" max="16" min="15" style="160" width="9.14285714285714"/>
    <col collapsed="false" hidden="false" max="17" min="17" style="160" width="15.7142857142857"/>
    <col collapsed="false" hidden="false" max="1025" min="18" style="160" width="9.14285714285714"/>
  </cols>
  <sheetData>
    <row r="1" s="83" customFormat="true" ht="47.25" hidden="false" customHeight="true" outlineLevel="0" collapsed="false">
      <c r="A1" s="237" t="s">
        <v>180</v>
      </c>
      <c r="B1" s="237"/>
      <c r="C1" s="237"/>
      <c r="D1" s="237"/>
      <c r="E1" s="237"/>
      <c r="F1" s="237"/>
      <c r="G1" s="237"/>
      <c r="H1" s="237"/>
      <c r="I1" s="237"/>
      <c r="J1" s="237"/>
      <c r="K1" s="237"/>
      <c r="L1" s="237"/>
      <c r="M1" s="237"/>
      <c r="N1" s="237"/>
      <c r="O1" s="237"/>
      <c r="P1" s="237"/>
      <c r="Q1" s="237"/>
      <c r="R1" s="27"/>
    </row>
    <row r="2" customFormat="false" ht="12.75" hidden="false" customHeight="false" outlineLevel="0" collapsed="false">
      <c r="B2" s="0"/>
      <c r="N2" s="0"/>
    </row>
    <row r="3" customFormat="false" ht="12.75" hidden="false" customHeight="false" outlineLevel="0" collapsed="false">
      <c r="B3" s="0"/>
      <c r="N3" s="0"/>
    </row>
    <row r="4" customFormat="false" ht="12.75" hidden="false" customHeight="false" outlineLevel="0" collapsed="false">
      <c r="B4" s="0"/>
      <c r="N4" s="0"/>
    </row>
    <row r="5" customFormat="false" ht="12.75" hidden="false" customHeight="false" outlineLevel="0" collapsed="false">
      <c r="B5" s="0"/>
      <c r="N5" s="0"/>
    </row>
    <row r="6" customFormat="false" ht="20.25" hidden="false" customHeight="false" outlineLevel="0" collapsed="false">
      <c r="B6" s="238" t="s">
        <v>181</v>
      </c>
      <c r="N6" s="238" t="s">
        <v>182</v>
      </c>
    </row>
  </sheetData>
  <sheetProtection sheet="true" password="e1a4" objects="true" scenarios="true"/>
  <mergeCells count="1">
    <mergeCell ref="A1:Q1"/>
  </mergeCells>
  <printOptions headings="false" gridLines="false" gridLinesSet="true" horizontalCentered="false" verticalCentered="false"/>
  <pageMargins left="0.190277777777778" right="0.2"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tabColor rgb="00FFFFFF"/>
    <pageSetUpPr fitToPage="false"/>
  </sheetPr>
  <dimension ref="A1:J311"/>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5" topLeftCell="A82" activePane="bottomLeft" state="frozen"/>
      <selection pane="topLeft" activeCell="A1" activeCellId="0" sqref="A1"/>
      <selection pane="bottomLeft" activeCell="B101" activeCellId="0" sqref="B101"/>
    </sheetView>
  </sheetViews>
  <sheetFormatPr defaultRowHeight="12.75"/>
  <cols>
    <col collapsed="false" hidden="false" max="1" min="1" style="0" width="35.1428571428571"/>
    <col collapsed="false" hidden="false" max="2" min="2" style="0" width="19.1428571428571"/>
    <col collapsed="false" hidden="false" max="6" min="3" style="0" width="8.6734693877551"/>
    <col collapsed="false" hidden="false" max="7" min="7" style="0" width="18.8520408163265"/>
    <col collapsed="false" hidden="false" max="8" min="8" style="0" width="8.6734693877551"/>
    <col collapsed="false" hidden="false" max="10" min="9" style="0" width="12.4183673469388"/>
    <col collapsed="false" hidden="false" max="1025" min="11" style="0" width="8.6734693877551"/>
  </cols>
  <sheetData>
    <row r="1" customFormat="false" ht="40.5" hidden="false" customHeight="true" outlineLevel="0" collapsed="false">
      <c r="A1" s="239" t="s">
        <v>183</v>
      </c>
      <c r="B1" s="239"/>
      <c r="C1" s="239"/>
      <c r="D1" s="239"/>
      <c r="E1" s="239"/>
      <c r="F1" s="239"/>
      <c r="G1" s="239"/>
      <c r="H1" s="239"/>
    </row>
    <row r="2" customFormat="false" ht="12" hidden="false" customHeight="true" outlineLevel="0" collapsed="false">
      <c r="A2" s="240"/>
      <c r="B2" s="240" t="s">
        <v>184</v>
      </c>
      <c r="C2" s="241"/>
      <c r="D2" s="240"/>
      <c r="E2" s="240"/>
      <c r="F2" s="240"/>
      <c r="G2" s="240"/>
      <c r="H2" s="240"/>
    </row>
    <row r="3" customFormat="false" ht="11.25" hidden="false" customHeight="true" outlineLevel="0" collapsed="false">
      <c r="A3" s="240"/>
      <c r="B3" s="240" t="s">
        <v>185</v>
      </c>
      <c r="C3" s="242"/>
      <c r="D3" s="240"/>
      <c r="E3" s="240"/>
      <c r="F3" s="240"/>
      <c r="G3" s="240"/>
      <c r="H3" s="240"/>
    </row>
    <row r="4" customFormat="false" ht="11.25" hidden="false" customHeight="true" outlineLevel="0" collapsed="false">
      <c r="A4" s="240"/>
      <c r="B4" s="240" t="s">
        <v>186</v>
      </c>
      <c r="C4" s="243"/>
      <c r="D4" s="240"/>
      <c r="E4" s="240"/>
      <c r="F4" s="240"/>
      <c r="G4" s="240"/>
      <c r="H4" s="240"/>
    </row>
    <row r="5" customFormat="false" ht="12.75" hidden="false" customHeight="false" outlineLevel="0" collapsed="false">
      <c r="A5" s="244" t="s">
        <v>187</v>
      </c>
      <c r="B5" s="244" t="s">
        <v>122</v>
      </c>
      <c r="C5" s="244" t="s">
        <v>188</v>
      </c>
      <c r="D5" s="245" t="s">
        <v>189</v>
      </c>
      <c r="E5" s="245"/>
      <c r="F5" s="245"/>
      <c r="G5" s="245"/>
      <c r="H5" s="244" t="s">
        <v>190</v>
      </c>
    </row>
    <row r="6" customFormat="false" ht="16.5" hidden="false" customHeight="false" outlineLevel="0" collapsed="false">
      <c r="A6" s="246" t="s">
        <v>191</v>
      </c>
      <c r="B6" s="247"/>
      <c r="C6" s="247"/>
      <c r="D6" s="245"/>
      <c r="E6" s="245"/>
      <c r="F6" s="245"/>
      <c r="G6" s="245"/>
      <c r="H6" s="247"/>
    </row>
    <row r="7" customFormat="false" ht="12.75" hidden="false" customHeight="false" outlineLevel="0" collapsed="false">
      <c r="A7" s="248" t="s">
        <v>192</v>
      </c>
      <c r="B7" s="249" t="n">
        <f aca="false">'Design Regulator'!E6</f>
        <v>18</v>
      </c>
      <c r="C7" s="250" t="s">
        <v>9</v>
      </c>
      <c r="D7" s="250" t="s">
        <v>193</v>
      </c>
      <c r="E7" s="250"/>
      <c r="F7" s="250"/>
      <c r="G7" s="250"/>
      <c r="H7" s="251" t="n">
        <v>1</v>
      </c>
    </row>
    <row r="8" customFormat="false" ht="12.75" hidden="false" customHeight="false" outlineLevel="0" collapsed="false">
      <c r="A8" s="252" t="s">
        <v>194</v>
      </c>
      <c r="B8" s="253" t="n">
        <f aca="false">'Design Regulator'!E7</f>
        <v>6</v>
      </c>
      <c r="C8" s="254" t="s">
        <v>9</v>
      </c>
      <c r="D8" s="254" t="s">
        <v>195</v>
      </c>
      <c r="E8" s="254"/>
      <c r="F8" s="254"/>
      <c r="G8" s="254"/>
      <c r="H8" s="255" t="n">
        <v>1</v>
      </c>
    </row>
    <row r="9" customFormat="false" ht="12.75" hidden="false" customHeight="false" outlineLevel="0" collapsed="false">
      <c r="A9" s="252" t="s">
        <v>196</v>
      </c>
      <c r="B9" s="253" t="n">
        <f aca="false">'Design Regulator'!E8</f>
        <v>2</v>
      </c>
      <c r="C9" s="254" t="s">
        <v>12</v>
      </c>
      <c r="D9" s="254" t="s">
        <v>197</v>
      </c>
      <c r="E9" s="254"/>
      <c r="F9" s="254"/>
      <c r="G9" s="254"/>
      <c r="H9" s="255" t="n">
        <v>1</v>
      </c>
    </row>
    <row r="10" customFormat="false" ht="12.75" hidden="false" customHeight="false" outlineLevel="0" collapsed="false">
      <c r="A10" s="252" t="s">
        <v>198</v>
      </c>
      <c r="B10" s="256" t="n">
        <f aca="false">'Design Regulator'!E9*1000</f>
        <v>700000</v>
      </c>
      <c r="C10" s="254" t="s">
        <v>199</v>
      </c>
      <c r="D10" s="254" t="s">
        <v>200</v>
      </c>
      <c r="E10" s="254"/>
      <c r="F10" s="254"/>
      <c r="G10" s="254"/>
      <c r="H10" s="255" t="n">
        <v>1</v>
      </c>
    </row>
    <row r="11" customFormat="false" ht="12.75" hidden="false" customHeight="false" outlineLevel="0" collapsed="false">
      <c r="A11" s="252" t="s">
        <v>201</v>
      </c>
      <c r="B11" s="257" t="n">
        <v>0.6</v>
      </c>
      <c r="C11" s="254" t="s">
        <v>9</v>
      </c>
      <c r="D11" s="254" t="s">
        <v>202</v>
      </c>
      <c r="E11" s="254"/>
      <c r="F11" s="254"/>
      <c r="G11" s="254"/>
      <c r="H11" s="255"/>
    </row>
    <row r="12" customFormat="false" ht="12.75" hidden="false" customHeight="false" outlineLevel="0" collapsed="false">
      <c r="A12" s="252" t="s">
        <v>203</v>
      </c>
      <c r="B12" s="258" t="n">
        <f aca="false">(10000/((Fsw/1000)^0.99-100)-7)*1000</f>
        <v>10998.1632911748</v>
      </c>
      <c r="C12" s="259" t="s">
        <v>204</v>
      </c>
      <c r="D12" s="254"/>
      <c r="E12" s="254"/>
      <c r="F12" s="254"/>
      <c r="G12" s="254"/>
      <c r="H12" s="255"/>
    </row>
    <row r="13" customFormat="false" ht="12.75" hidden="false" customHeight="false" outlineLevel="0" collapsed="false">
      <c r="A13" s="252" t="s">
        <v>205</v>
      </c>
      <c r="B13" s="260" t="n">
        <f aca="false">'Design Regulator'!E48</f>
        <v>105</v>
      </c>
      <c r="C13" s="254"/>
      <c r="D13" s="254"/>
      <c r="E13" s="254"/>
      <c r="F13" s="254"/>
      <c r="G13" s="254"/>
      <c r="H13" s="255"/>
    </row>
    <row r="14" customFormat="false" ht="13.5" hidden="false" customHeight="false" outlineLevel="0" collapsed="false">
      <c r="A14" s="261"/>
      <c r="B14" s="262"/>
      <c r="C14" s="263"/>
      <c r="D14" s="263"/>
      <c r="E14" s="263"/>
      <c r="F14" s="263"/>
      <c r="G14" s="263"/>
      <c r="H14" s="264"/>
    </row>
    <row r="15" customFormat="false" ht="12.75" hidden="false" customHeight="false" outlineLevel="0" collapsed="false">
      <c r="A15" s="254"/>
      <c r="B15" s="254"/>
      <c r="C15" s="254"/>
      <c r="D15" s="254"/>
      <c r="E15" s="254"/>
      <c r="F15" s="254"/>
      <c r="G15" s="254"/>
      <c r="H15" s="254"/>
    </row>
    <row r="16" customFormat="false" ht="12.75" hidden="false" customHeight="false" outlineLevel="0" collapsed="false">
      <c r="A16" s="254"/>
      <c r="B16" s="254"/>
      <c r="C16" s="254"/>
      <c r="D16" s="254"/>
      <c r="E16" s="254"/>
      <c r="F16" s="254"/>
      <c r="G16" s="254"/>
      <c r="H16" s="254"/>
    </row>
    <row r="17" customFormat="false" ht="16.5" hidden="false" customHeight="false" outlineLevel="0" collapsed="false">
      <c r="A17" s="246" t="s">
        <v>206</v>
      </c>
      <c r="B17" s="254"/>
      <c r="C17" s="254"/>
      <c r="D17" s="254"/>
      <c r="E17" s="254"/>
      <c r="F17" s="254"/>
      <c r="G17" s="254"/>
      <c r="H17" s="254"/>
    </row>
    <row r="18" customFormat="false" ht="12.75" hidden="false" customHeight="false" outlineLevel="0" collapsed="false">
      <c r="A18" s="265" t="s">
        <v>207</v>
      </c>
      <c r="B18" s="266" t="n">
        <f aca="false">Vout/Vin</f>
        <v>0.333333333333333</v>
      </c>
      <c r="C18" s="250" t="s">
        <v>208</v>
      </c>
      <c r="D18" s="250" t="s">
        <v>209</v>
      </c>
      <c r="E18" s="250"/>
      <c r="F18" s="250"/>
      <c r="G18" s="250"/>
      <c r="H18" s="251" t="n">
        <v>1</v>
      </c>
    </row>
    <row r="19" customFormat="false" ht="12.75" hidden="false" customHeight="false" outlineLevel="0" collapsed="false">
      <c r="A19" s="267" t="s">
        <v>210</v>
      </c>
      <c r="B19" s="268" t="n">
        <f aca="false">1-18:18</f>
        <v>0.666666666666667</v>
      </c>
      <c r="C19" s="254" t="s">
        <v>208</v>
      </c>
      <c r="D19" s="254" t="s">
        <v>211</v>
      </c>
      <c r="E19" s="254"/>
      <c r="F19" s="254"/>
      <c r="G19" s="254"/>
      <c r="H19" s="255" t="n">
        <v>1</v>
      </c>
    </row>
    <row r="20" customFormat="false" ht="12.75" hidden="false" customHeight="false" outlineLevel="0" collapsed="false">
      <c r="A20" s="267" t="s">
        <v>212</v>
      </c>
      <c r="B20" s="268" t="n">
        <f aca="false">(Vin-Vout)*_Don1/(Fsw*Iout*0.333)</f>
        <v>8.58000858000858E-006</v>
      </c>
      <c r="C20" s="254" t="s">
        <v>213</v>
      </c>
      <c r="D20" s="254" t="s">
        <v>214</v>
      </c>
      <c r="E20" s="254"/>
      <c r="F20" s="254"/>
      <c r="G20" s="254"/>
      <c r="H20" s="255" t="n">
        <v>1</v>
      </c>
    </row>
    <row r="21" customFormat="false" ht="12.75" hidden="false" customHeight="false" outlineLevel="0" collapsed="false">
      <c r="A21" s="252" t="s">
        <v>215</v>
      </c>
      <c r="B21" s="253" t="n">
        <f aca="false">'Design Regulator'!E15/1000000</f>
        <v>6.8E-006</v>
      </c>
      <c r="C21" s="254" t="s">
        <v>213</v>
      </c>
      <c r="D21" s="254" t="s">
        <v>216</v>
      </c>
      <c r="E21" s="254"/>
      <c r="F21" s="254"/>
      <c r="G21" s="254"/>
      <c r="H21" s="255" t="n">
        <v>2</v>
      </c>
    </row>
    <row r="22" customFormat="false" ht="12.75" hidden="false" customHeight="false" outlineLevel="0" collapsed="false">
      <c r="A22" s="252" t="s">
        <v>217</v>
      </c>
      <c r="B22" s="253" t="n">
        <f aca="false">'Design Regulator'!E16/1000</f>
        <v>0.023</v>
      </c>
      <c r="C22" s="259" t="s">
        <v>204</v>
      </c>
      <c r="D22" s="254" t="s">
        <v>218</v>
      </c>
      <c r="E22" s="254"/>
      <c r="F22" s="254"/>
      <c r="G22" s="254"/>
      <c r="H22" s="255" t="n">
        <v>1</v>
      </c>
    </row>
    <row r="23" customFormat="false" ht="12.75" hidden="false" customHeight="false" outlineLevel="0" collapsed="false">
      <c r="A23" s="267" t="s">
        <v>219</v>
      </c>
      <c r="B23" s="268" t="n">
        <f aca="false">(Vout+Iout*Rdcr)/Vin</f>
        <v>0.335888888888889</v>
      </c>
      <c r="C23" s="254" t="s">
        <v>208</v>
      </c>
      <c r="D23" s="254" t="s">
        <v>220</v>
      </c>
      <c r="E23" s="254"/>
      <c r="F23" s="254"/>
      <c r="G23" s="254"/>
      <c r="H23" s="255" t="n">
        <v>2</v>
      </c>
    </row>
    <row r="24" customFormat="false" ht="12.75" hidden="false" customHeight="false" outlineLevel="0" collapsed="false">
      <c r="A24" s="267" t="s">
        <v>221</v>
      </c>
      <c r="B24" s="268" t="n">
        <f aca="false">1-_Don2</f>
        <v>0.664111111111111</v>
      </c>
      <c r="C24" s="254" t="s">
        <v>208</v>
      </c>
      <c r="D24" s="254" t="s">
        <v>222</v>
      </c>
      <c r="E24" s="254"/>
      <c r="F24" s="254"/>
      <c r="G24" s="254"/>
      <c r="H24" s="255" t="n">
        <v>2</v>
      </c>
    </row>
    <row r="25" customFormat="false" ht="12.75" hidden="false" customHeight="false" outlineLevel="0" collapsed="false">
      <c r="A25" s="252" t="s">
        <v>223</v>
      </c>
      <c r="B25" s="260" t="n">
        <f aca="false">'Design Regulator'!E28/1000</f>
        <v>0.08</v>
      </c>
      <c r="C25" s="254" t="s">
        <v>9</v>
      </c>
      <c r="D25" s="254" t="s">
        <v>224</v>
      </c>
      <c r="E25" s="254"/>
      <c r="F25" s="254"/>
      <c r="G25" s="254"/>
      <c r="H25" s="255" t="n">
        <v>1</v>
      </c>
    </row>
    <row r="26" customFormat="false" ht="12.75" hidden="false" customHeight="false" outlineLevel="0" collapsed="false">
      <c r="A26" s="269" t="s">
        <v>225</v>
      </c>
      <c r="B26" s="268" t="n">
        <f aca="false">(Vin-Vout)*_Don2/(Fsw*Lout2)</f>
        <v>0.846778711484594</v>
      </c>
      <c r="C26" s="254" t="s">
        <v>12</v>
      </c>
      <c r="D26" s="254" t="s">
        <v>226</v>
      </c>
      <c r="E26" s="254"/>
      <c r="F26" s="254"/>
      <c r="G26" s="254"/>
      <c r="H26" s="255" t="n">
        <v>1</v>
      </c>
    </row>
    <row r="27" customFormat="false" ht="12.75" hidden="false" customHeight="false" outlineLevel="0" collapsed="false">
      <c r="A27" s="269" t="s">
        <v>227</v>
      </c>
      <c r="B27" s="268" t="n">
        <f aca="false">Rdcr*(1+0.0039*(F27-25))</f>
        <v>0.0297275</v>
      </c>
      <c r="C27" s="270" t="s">
        <v>228</v>
      </c>
      <c r="D27" s="254"/>
      <c r="E27" s="254" t="s">
        <v>229</v>
      </c>
      <c r="F27" s="254" t="n">
        <v>100</v>
      </c>
      <c r="G27" s="254"/>
      <c r="H27" s="255"/>
    </row>
    <row r="28" customFormat="false" ht="13.5" hidden="false" customHeight="false" outlineLevel="0" collapsed="false">
      <c r="A28" s="271" t="s">
        <v>230</v>
      </c>
      <c r="B28" s="272" t="n">
        <f aca="false">Lout2/Rdcr</f>
        <v>0.000295652173913043</v>
      </c>
      <c r="C28" s="263" t="s">
        <v>231</v>
      </c>
      <c r="D28" s="263" t="s">
        <v>232</v>
      </c>
      <c r="E28" s="263"/>
      <c r="F28" s="263"/>
      <c r="G28" s="263"/>
      <c r="H28" s="264"/>
    </row>
    <row r="29" customFormat="false" ht="12.75" hidden="false" customHeight="false" outlineLevel="0" collapsed="false">
      <c r="A29" s="247"/>
      <c r="B29" s="273"/>
      <c r="C29" s="254"/>
      <c r="D29" s="254"/>
      <c r="E29" s="254"/>
      <c r="F29" s="254"/>
      <c r="G29" s="254"/>
      <c r="H29" s="254"/>
    </row>
    <row r="30" customFormat="false" ht="16.5" hidden="false" customHeight="false" outlineLevel="0" collapsed="false">
      <c r="A30" s="246" t="s">
        <v>233</v>
      </c>
      <c r="B30" s="273"/>
      <c r="C30" s="254"/>
      <c r="D30" s="254"/>
      <c r="E30" s="254"/>
      <c r="F30" s="254"/>
      <c r="G30" s="254"/>
      <c r="H30" s="254"/>
    </row>
    <row r="31" customFormat="false" ht="12.75" hidden="false" customHeight="false" outlineLevel="0" collapsed="false">
      <c r="A31" s="274" t="s">
        <v>234</v>
      </c>
      <c r="B31" s="275" t="str">
        <f aca="false">"n"</f>
        <v>n</v>
      </c>
      <c r="C31" s="250"/>
      <c r="D31" s="250"/>
      <c r="E31" s="250"/>
      <c r="F31" s="250"/>
      <c r="G31" s="250"/>
      <c r="H31" s="251"/>
    </row>
    <row r="32" customFormat="false" ht="12.75" hidden="false" customHeight="false" outlineLevel="0" collapsed="false">
      <c r="A32" s="269"/>
      <c r="B32" s="276" t="s">
        <v>235</v>
      </c>
      <c r="C32" s="254"/>
      <c r="D32" s="254"/>
      <c r="E32" s="254"/>
      <c r="F32" s="254"/>
      <c r="G32" s="254"/>
      <c r="H32" s="255"/>
    </row>
    <row r="33" customFormat="false" ht="12.75" hidden="false" customHeight="false" outlineLevel="0" collapsed="false">
      <c r="A33" s="269"/>
      <c r="B33" s="276" t="s">
        <v>236</v>
      </c>
      <c r="C33" s="254"/>
      <c r="D33" s="254"/>
      <c r="E33" s="254"/>
      <c r="F33" s="254"/>
      <c r="G33" s="254"/>
      <c r="H33" s="255"/>
    </row>
    <row r="34" customFormat="false" ht="12.75" hidden="false" customHeight="false" outlineLevel="0" collapsed="false">
      <c r="A34" s="252" t="s">
        <v>237</v>
      </c>
      <c r="B34" s="253" t="n">
        <f aca="false">'Design Regulator'!E21+Iripple1/2</f>
        <v>4.9233893557423</v>
      </c>
      <c r="C34" s="254" t="s">
        <v>12</v>
      </c>
      <c r="D34" s="254" t="s">
        <v>238</v>
      </c>
      <c r="E34" s="254"/>
      <c r="F34" s="254"/>
      <c r="G34" s="254"/>
      <c r="H34" s="255"/>
    </row>
    <row r="35" customFormat="false" ht="12.75" hidden="false" customHeight="false" outlineLevel="0" collapsed="false">
      <c r="A35" s="252" t="s">
        <v>239</v>
      </c>
      <c r="B35" s="277" t="n">
        <v>9.9E-006</v>
      </c>
      <c r="C35" s="254" t="s">
        <v>12</v>
      </c>
      <c r="D35" s="254" t="s">
        <v>240</v>
      </c>
      <c r="E35" s="254"/>
      <c r="F35" s="254"/>
      <c r="G35" s="254"/>
      <c r="H35" s="255"/>
    </row>
    <row r="36" customFormat="false" ht="12.75" hidden="false" customHeight="false" outlineLevel="0" collapsed="false">
      <c r="A36" s="252" t="s">
        <v>241</v>
      </c>
      <c r="B36" s="258" t="n">
        <f aca="false">ILimit*Rdcr/Ics</f>
        <v>11438.1772911185</v>
      </c>
      <c r="C36" s="259" t="s">
        <v>204</v>
      </c>
      <c r="D36" s="254" t="s">
        <v>242</v>
      </c>
      <c r="E36" s="254"/>
      <c r="F36" s="254"/>
      <c r="G36" s="254"/>
      <c r="H36" s="255"/>
    </row>
    <row r="37" customFormat="false" ht="12.75" hidden="false" customHeight="false" outlineLevel="0" collapsed="false">
      <c r="A37" s="252" t="s">
        <v>243</v>
      </c>
      <c r="B37" s="278" t="n">
        <f aca="false">'Standard Value Calculator'!S22</f>
        <v>11500</v>
      </c>
      <c r="C37" s="259" t="s">
        <v>204</v>
      </c>
      <c r="D37" s="254" t="s">
        <v>244</v>
      </c>
      <c r="E37" s="254"/>
      <c r="F37" s="254"/>
      <c r="G37" s="254"/>
      <c r="H37" s="255"/>
    </row>
    <row r="38" customFormat="false" ht="12.75" hidden="false" customHeight="false" outlineLevel="0" collapsed="false">
      <c r="A38" s="252" t="s">
        <v>245</v>
      </c>
      <c r="B38" s="258" t="n">
        <f aca="false">0.00000022</f>
        <v>2.2E-007</v>
      </c>
      <c r="C38" s="254" t="s">
        <v>246</v>
      </c>
      <c r="D38" s="254" t="s">
        <v>247</v>
      </c>
      <c r="E38" s="254"/>
      <c r="F38" s="254"/>
      <c r="G38" s="254"/>
      <c r="H38" s="255" t="n">
        <f aca="false">Csideal*1000000000</f>
        <v>220</v>
      </c>
    </row>
    <row r="39" customFormat="false" ht="12.75" hidden="false" customHeight="false" outlineLevel="0" collapsed="false">
      <c r="A39" s="252" t="s">
        <v>248</v>
      </c>
      <c r="B39" s="279" t="n">
        <f aca="false">'Standard Value Calculator'!H4</f>
        <v>2.2E-007</v>
      </c>
      <c r="C39" s="254" t="s">
        <v>246</v>
      </c>
      <c r="D39" s="254" t="s">
        <v>249</v>
      </c>
      <c r="E39" s="254"/>
      <c r="F39" s="254"/>
      <c r="G39" s="254"/>
      <c r="H39" s="255"/>
    </row>
    <row r="40" customFormat="false" ht="12.75" hidden="false" customHeight="false" outlineLevel="0" collapsed="false">
      <c r="A40" s="252" t="s">
        <v>250</v>
      </c>
      <c r="B40" s="258" t="n">
        <f aca="false">1.1*TL/Cs</f>
        <v>1478.26086956522</v>
      </c>
      <c r="C40" s="259" t="s">
        <v>204</v>
      </c>
      <c r="D40" s="254" t="s">
        <v>251</v>
      </c>
      <c r="E40" s="254"/>
      <c r="F40" s="254"/>
      <c r="G40" s="254"/>
      <c r="H40" s="255"/>
    </row>
    <row r="41" customFormat="false" ht="12.75" hidden="false" customHeight="false" outlineLevel="0" collapsed="false">
      <c r="A41" s="252" t="s">
        <v>252</v>
      </c>
      <c r="B41" s="280" t="n">
        <f aca="false">'Standard Value Calculator'!S6</f>
        <v>1470</v>
      </c>
      <c r="C41" s="259" t="s">
        <v>204</v>
      </c>
      <c r="D41" s="254" t="s">
        <v>253</v>
      </c>
      <c r="E41" s="254"/>
      <c r="F41" s="254"/>
      <c r="G41" s="254"/>
      <c r="H41" s="255"/>
    </row>
    <row r="42" customFormat="false" ht="12.75" hidden="false" customHeight="false" outlineLevel="0" collapsed="false">
      <c r="A42" s="252"/>
      <c r="B42" s="278"/>
      <c r="C42" s="254"/>
      <c r="D42" s="254"/>
      <c r="E42" s="254"/>
      <c r="F42" s="254"/>
      <c r="G42" s="254"/>
      <c r="H42" s="255"/>
    </row>
    <row r="43" customFormat="false" ht="12.75" hidden="false" customHeight="false" outlineLevel="0" collapsed="false">
      <c r="A43" s="252"/>
      <c r="B43" s="278"/>
      <c r="C43" s="254"/>
      <c r="D43" s="254"/>
      <c r="E43" s="254"/>
      <c r="F43" s="254"/>
      <c r="G43" s="254"/>
      <c r="H43" s="255"/>
    </row>
    <row r="44" customFormat="false" ht="12.75" hidden="false" customHeight="false" outlineLevel="0" collapsed="false">
      <c r="A44" s="252"/>
      <c r="B44" s="278"/>
      <c r="C44" s="254"/>
      <c r="D44" s="254"/>
      <c r="E44" s="254"/>
      <c r="F44" s="254"/>
      <c r="G44" s="254"/>
      <c r="H44" s="255"/>
    </row>
    <row r="45" customFormat="false" ht="13.5" hidden="false" customHeight="false" outlineLevel="0" collapsed="false">
      <c r="A45" s="261" t="s">
        <v>254</v>
      </c>
      <c r="B45" s="281" t="n">
        <f aca="false">Ics*Rset/Rdcr-Iripple1/2</f>
        <v>4.5266106442577</v>
      </c>
      <c r="C45" s="263" t="s">
        <v>12</v>
      </c>
      <c r="D45" s="282" t="s">
        <v>255</v>
      </c>
      <c r="E45" s="263"/>
      <c r="F45" s="263"/>
      <c r="G45" s="263"/>
      <c r="H45" s="264"/>
    </row>
    <row r="47" customFormat="false" ht="16.5" hidden="false" customHeight="false" outlineLevel="0" collapsed="false">
      <c r="A47" s="246" t="s">
        <v>36</v>
      </c>
      <c r="B47" s="254"/>
      <c r="C47" s="254"/>
      <c r="D47" s="254"/>
      <c r="E47" s="254"/>
      <c r="F47" s="254"/>
      <c r="G47" s="254"/>
      <c r="H47" s="254"/>
    </row>
    <row r="48" customFormat="false" ht="12.75" hidden="false" customHeight="false" outlineLevel="0" collapsed="false">
      <c r="A48" s="248" t="s">
        <v>256</v>
      </c>
      <c r="B48" s="283" t="n">
        <f aca="false">Iripple1/SQRT(3)/2</f>
        <v>0.244443958509837</v>
      </c>
      <c r="C48" s="250"/>
      <c r="D48" s="250" t="s">
        <v>257</v>
      </c>
      <c r="E48" s="250"/>
      <c r="F48" s="250"/>
      <c r="G48" s="250"/>
      <c r="H48" s="251"/>
    </row>
    <row r="49" customFormat="false" ht="12.75" hidden="false" customHeight="false" outlineLevel="0" collapsed="false">
      <c r="A49" s="267" t="s">
        <v>258</v>
      </c>
      <c r="B49" s="268" t="n">
        <f aca="false">(Iripple1/(Vripple1*Fsw*8))</f>
        <v>1.89013105242097E-006</v>
      </c>
      <c r="C49" s="254" t="s">
        <v>246</v>
      </c>
      <c r="D49" s="254" t="s">
        <v>259</v>
      </c>
      <c r="E49" s="254"/>
      <c r="F49" s="254"/>
      <c r="G49" s="254"/>
      <c r="H49" s="255" t="n">
        <v>1</v>
      </c>
    </row>
    <row r="50" customFormat="false" ht="12.75" hidden="false" customHeight="false" outlineLevel="0" collapsed="false">
      <c r="A50" s="252" t="s">
        <v>260</v>
      </c>
      <c r="B50" s="253" t="n">
        <f aca="false">'Design Regulator'!E30/1000000</f>
        <v>2E-006</v>
      </c>
      <c r="C50" s="254" t="s">
        <v>246</v>
      </c>
      <c r="D50" s="254" t="s">
        <v>261</v>
      </c>
      <c r="E50" s="254"/>
      <c r="F50" s="254"/>
      <c r="G50" s="254"/>
      <c r="H50" s="255" t="n">
        <v>1</v>
      </c>
    </row>
    <row r="51" customFormat="false" ht="12.75" hidden="false" customHeight="false" outlineLevel="0" collapsed="false">
      <c r="A51" s="267" t="s">
        <v>262</v>
      </c>
      <c r="B51" s="268" t="n">
        <f aca="false">SQRT((Vripple1/Iripple1)^2-(1/(Fsw*Cout*8))^2)</f>
        <v>0.0308823015016854</v>
      </c>
      <c r="C51" s="259" t="s">
        <v>204</v>
      </c>
      <c r="D51" s="254" t="s">
        <v>263</v>
      </c>
      <c r="E51" s="254"/>
      <c r="F51" s="254"/>
      <c r="G51" s="254"/>
      <c r="H51" s="255" t="n">
        <v>1</v>
      </c>
    </row>
    <row r="52" customFormat="false" ht="12.75" hidden="false" customHeight="false" outlineLevel="0" collapsed="false">
      <c r="A52" s="252" t="s">
        <v>264</v>
      </c>
      <c r="B52" s="257" t="n">
        <f aca="false">'Design Regulator'!E32/1000</f>
        <v>0.0005</v>
      </c>
      <c r="C52" s="259" t="s">
        <v>204</v>
      </c>
      <c r="D52" s="254" t="s">
        <v>265</v>
      </c>
      <c r="E52" s="254"/>
      <c r="F52" s="254"/>
      <c r="G52" s="254"/>
      <c r="H52" s="255" t="n">
        <v>1</v>
      </c>
    </row>
    <row r="53" customFormat="false" ht="13.5" hidden="false" customHeight="false" outlineLevel="0" collapsed="false">
      <c r="A53" s="284" t="s">
        <v>266</v>
      </c>
      <c r="B53" s="285" t="n">
        <f aca="false">Iripple1*SQRT(CoutEsr^2+(1/(8*Fsw*Cout))^2)</f>
        <v>0.0756064275777407</v>
      </c>
      <c r="C53" s="282" t="s">
        <v>267</v>
      </c>
      <c r="D53" s="263"/>
      <c r="E53" s="263"/>
      <c r="F53" s="263"/>
      <c r="G53" s="263"/>
      <c r="H53" s="264"/>
    </row>
    <row r="55" customFormat="false" ht="13.5" hidden="false" customHeight="false" outlineLevel="0" collapsed="false">
      <c r="A55" s="254"/>
      <c r="B55" s="254"/>
      <c r="C55" s="254"/>
      <c r="D55" s="254"/>
      <c r="E55" s="254"/>
      <c r="F55" s="254"/>
      <c r="G55" s="254"/>
      <c r="H55" s="254"/>
    </row>
    <row r="56" customFormat="false" ht="15.75" hidden="false" customHeight="false" outlineLevel="0" collapsed="false">
      <c r="A56" s="286" t="s">
        <v>47</v>
      </c>
      <c r="B56" s="287"/>
      <c r="C56" s="287"/>
      <c r="D56" s="287"/>
      <c r="E56" s="287"/>
      <c r="F56" s="287"/>
      <c r="G56" s="287"/>
      <c r="H56" s="288"/>
    </row>
    <row r="57" customFormat="false" ht="12.75" hidden="false" customHeight="false" outlineLevel="0" collapsed="false">
      <c r="A57" s="289" t="s">
        <v>268</v>
      </c>
      <c r="B57" s="290" t="n">
        <f aca="false">'Design Regulator'!E37/1000</f>
        <v>0.3</v>
      </c>
      <c r="C57" s="270" t="s">
        <v>267</v>
      </c>
      <c r="D57" s="254"/>
      <c r="E57" s="254"/>
      <c r="F57" s="254"/>
      <c r="G57" s="254"/>
      <c r="H57" s="291"/>
    </row>
    <row r="58" customFormat="false" ht="12.75" hidden="false" customHeight="false" outlineLevel="0" collapsed="false">
      <c r="A58" s="292" t="s">
        <v>269</v>
      </c>
      <c r="B58" s="293" t="n">
        <f aca="false">Iout*SQRT(_Don2*Doff2)</f>
        <v>0.944600536120696</v>
      </c>
      <c r="C58" s="294" t="s">
        <v>12</v>
      </c>
      <c r="D58" s="254"/>
      <c r="E58" s="254"/>
      <c r="F58" s="254"/>
      <c r="G58" s="254"/>
      <c r="H58" s="291"/>
    </row>
    <row r="59" customFormat="false" ht="12.75" hidden="false" customHeight="false" outlineLevel="0" collapsed="false">
      <c r="A59" s="292" t="s">
        <v>270</v>
      </c>
      <c r="B59" s="295" t="n">
        <f aca="false">Iout*_Don2*(1-_Don2)/(Vinripple1*Fsw)</f>
        <v>2.12445279247501E-006</v>
      </c>
      <c r="C59" s="294" t="s">
        <v>246</v>
      </c>
      <c r="D59" s="254"/>
      <c r="E59" s="254"/>
      <c r="F59" s="254"/>
      <c r="G59" s="254"/>
      <c r="H59" s="291"/>
    </row>
    <row r="60" customFormat="false" ht="12.75" hidden="false" customHeight="false" outlineLevel="0" collapsed="false">
      <c r="A60" s="292" t="s">
        <v>271</v>
      </c>
      <c r="B60" s="296" t="n">
        <f aca="false">'Design Regulator'!E39/1000000</f>
        <v>1E-005</v>
      </c>
      <c r="C60" s="294" t="s">
        <v>246</v>
      </c>
      <c r="D60" s="254" t="s">
        <v>272</v>
      </c>
      <c r="E60" s="254"/>
      <c r="F60" s="254"/>
      <c r="G60" s="254"/>
      <c r="H60" s="291"/>
    </row>
    <row r="61" customFormat="false" ht="12.75" hidden="false" customHeight="false" outlineLevel="0" collapsed="false">
      <c r="A61" s="297" t="s">
        <v>273</v>
      </c>
      <c r="B61" s="298" t="n">
        <f aca="false">-(Iout*_Don2*(1-_Don2)/(Cin*Fsw)-Vinripple1)/(Iout+Iripple1/2)</f>
        <v>0.0974942040023032</v>
      </c>
      <c r="C61" s="259" t="s">
        <v>204</v>
      </c>
      <c r="D61" s="254"/>
      <c r="E61" s="254"/>
      <c r="F61" s="254"/>
      <c r="G61" s="254"/>
      <c r="H61" s="291"/>
    </row>
    <row r="62" customFormat="false" ht="12.75" hidden="false" customHeight="false" outlineLevel="0" collapsed="false">
      <c r="A62" s="292" t="s">
        <v>274</v>
      </c>
      <c r="B62" s="296" t="n">
        <f aca="false">'Design Regulator'!E41/1000</f>
        <v>0.001</v>
      </c>
      <c r="C62" s="259" t="s">
        <v>204</v>
      </c>
      <c r="D62" s="254" t="s">
        <v>275</v>
      </c>
      <c r="E62" s="254"/>
      <c r="F62" s="254"/>
      <c r="G62" s="254"/>
      <c r="H62" s="291"/>
    </row>
    <row r="63" customFormat="false" ht="12.75" hidden="false" customHeight="false" outlineLevel="0" collapsed="false">
      <c r="A63" s="292" t="s">
        <v>276</v>
      </c>
      <c r="B63" s="299" t="n">
        <f aca="false">Iout*_Don2*(1-_Don2)/(Cin*Fsw)+(Iout +Iripple1/2)*RCinEsr</f>
        <v>0.0661569731299927</v>
      </c>
      <c r="C63" s="294" t="s">
        <v>267</v>
      </c>
      <c r="D63" s="254"/>
      <c r="E63" s="254"/>
      <c r="F63" s="254"/>
      <c r="G63" s="254"/>
      <c r="H63" s="291"/>
    </row>
    <row r="64" customFormat="false" ht="13.5" hidden="false" customHeight="false" outlineLevel="0" collapsed="false">
      <c r="A64" s="300"/>
      <c r="B64" s="301" t="n">
        <f aca="false">Iout*_Don1*(1-_Don1)/(Cin*Fsw)</f>
        <v>0.0634920634920635</v>
      </c>
      <c r="C64" s="302"/>
      <c r="D64" s="303"/>
      <c r="E64" s="303"/>
      <c r="F64" s="303"/>
      <c r="G64" s="303"/>
      <c r="H64" s="304"/>
    </row>
    <row r="65" customFormat="false" ht="12.75" hidden="false" customHeight="false" outlineLevel="0" collapsed="false">
      <c r="A65" s="254"/>
      <c r="B65" s="254"/>
      <c r="C65" s="254"/>
      <c r="D65" s="254"/>
      <c r="E65" s="254"/>
      <c r="F65" s="254"/>
      <c r="G65" s="254"/>
      <c r="H65" s="254"/>
    </row>
    <row r="66" customFormat="false" ht="16.5" hidden="false" customHeight="false" outlineLevel="0" collapsed="false">
      <c r="A66" s="246" t="s">
        <v>277</v>
      </c>
      <c r="B66" s="254"/>
      <c r="C66" s="254"/>
      <c r="D66" s="254"/>
      <c r="E66" s="254"/>
      <c r="F66" s="254"/>
      <c r="G66" s="254"/>
      <c r="H66" s="254"/>
    </row>
    <row r="67" customFormat="false" ht="12.75" hidden="false" customHeight="false" outlineLevel="0" collapsed="false">
      <c r="A67" s="248" t="s">
        <v>278</v>
      </c>
      <c r="B67" s="249" t="n">
        <f aca="false">'Design Regulator'!E46/1000</f>
        <v>0.006</v>
      </c>
      <c r="C67" s="250" t="s">
        <v>231</v>
      </c>
      <c r="D67" s="250" t="s">
        <v>279</v>
      </c>
      <c r="E67" s="250"/>
      <c r="F67" s="250"/>
      <c r="G67" s="250"/>
      <c r="H67" s="251"/>
    </row>
    <row r="68" customFormat="false" ht="12.75" hidden="false" customHeight="false" outlineLevel="0" collapsed="false">
      <c r="A68" s="252" t="s">
        <v>280</v>
      </c>
      <c r="B68" s="258" t="n">
        <f aca="false">Cout*Vout/Tss</f>
        <v>0.002</v>
      </c>
      <c r="C68" s="254" t="s">
        <v>12</v>
      </c>
      <c r="D68" s="254" t="s">
        <v>281</v>
      </c>
      <c r="E68" s="254"/>
      <c r="F68" s="254"/>
      <c r="G68" s="254"/>
      <c r="H68" s="255"/>
    </row>
    <row r="69" customFormat="false" ht="12.75" hidden="false" customHeight="false" outlineLevel="0" collapsed="false">
      <c r="A69" s="252" t="s">
        <v>282</v>
      </c>
      <c r="B69" s="305" t="n">
        <f aca="false">0.000003*Tss/0.6</f>
        <v>3E-008</v>
      </c>
      <c r="C69" s="254" t="s">
        <v>246</v>
      </c>
      <c r="D69" s="254"/>
      <c r="E69" s="254"/>
      <c r="F69" s="254"/>
      <c r="G69" s="254"/>
      <c r="H69" s="255"/>
    </row>
    <row r="70" customFormat="false" ht="13.5" hidden="false" customHeight="false" outlineLevel="0" collapsed="false">
      <c r="A70" s="261" t="s">
        <v>283</v>
      </c>
      <c r="B70" s="285" t="n">
        <f aca="false">'Standard Value Calculator'!B4</f>
        <v>3.3E-008</v>
      </c>
      <c r="C70" s="263" t="s">
        <v>246</v>
      </c>
      <c r="D70" s="263"/>
      <c r="E70" s="263"/>
      <c r="F70" s="263"/>
      <c r="G70" s="263"/>
      <c r="H70" s="264"/>
    </row>
    <row r="72" customFormat="false" ht="16.5" hidden="false" customHeight="false" outlineLevel="0" collapsed="false">
      <c r="A72" s="246" t="s">
        <v>284</v>
      </c>
      <c r="B72" s="254"/>
      <c r="C72" s="254"/>
      <c r="D72" s="254"/>
      <c r="E72" s="254"/>
      <c r="F72" s="254"/>
      <c r="G72" s="254"/>
      <c r="H72" s="254"/>
    </row>
    <row r="73" customFormat="false" ht="12.75" hidden="false" customHeight="false" outlineLevel="0" collapsed="false">
      <c r="A73" s="248"/>
      <c r="B73" s="306"/>
      <c r="C73" s="250"/>
      <c r="D73" s="250"/>
      <c r="E73" s="250"/>
      <c r="F73" s="250"/>
      <c r="G73" s="250"/>
      <c r="H73" s="251"/>
    </row>
    <row r="74" customFormat="false" ht="15.75" hidden="false" customHeight="false" outlineLevel="0" collapsed="false">
      <c r="A74" s="252" t="s">
        <v>285</v>
      </c>
      <c r="B74" s="307" t="n">
        <f aca="false">'Design Regulator'!E50</f>
        <v>9</v>
      </c>
      <c r="C74" s="270" t="s">
        <v>9</v>
      </c>
      <c r="D74" s="254"/>
      <c r="E74" s="254"/>
      <c r="F74" s="254"/>
      <c r="G74" s="254"/>
      <c r="H74" s="255"/>
    </row>
    <row r="75" customFormat="false" ht="15.75" hidden="false" customHeight="false" outlineLevel="0" collapsed="false">
      <c r="A75" s="252" t="s">
        <v>286</v>
      </c>
      <c r="B75" s="307" t="n">
        <f aca="false">'Design Regulator'!E51</f>
        <v>7</v>
      </c>
      <c r="C75" s="270" t="s">
        <v>9</v>
      </c>
      <c r="D75" s="254"/>
      <c r="E75" s="254"/>
      <c r="F75" s="254"/>
      <c r="G75" s="254"/>
      <c r="H75" s="255"/>
    </row>
    <row r="76" customFormat="false" ht="15.75" hidden="false" customHeight="false" outlineLevel="0" collapsed="false">
      <c r="A76" s="252" t="s">
        <v>168</v>
      </c>
      <c r="B76" s="308" t="n">
        <f aca="false">(VINuvlo_off-VINuvlo_on*Vuvlo_off/Vuvlo_on)/(Iuvlo1*Vuvlo_off/Vuvlo_on-Iuvlo2)</f>
        <v>79.1108522616968</v>
      </c>
      <c r="C76" s="309" t="s">
        <v>287</v>
      </c>
      <c r="D76" s="254" t="n">
        <f aca="false">'Standard Value Calculator'!S15</f>
        <v>78.7</v>
      </c>
      <c r="E76" s="309" t="s">
        <v>287</v>
      </c>
      <c r="F76" s="307" t="n">
        <f aca="false">IF(Ruvlo1&lt;0,"N/A",D76)</f>
        <v>78.7</v>
      </c>
      <c r="G76" s="307" t="str">
        <f aca="false">IF(Ruvlo1&lt;0,"N/A",D76&amp;"kΩ")</f>
        <v>78.7kΩ</v>
      </c>
      <c r="H76" s="255"/>
    </row>
    <row r="77" customFormat="false" ht="15.75" hidden="false" customHeight="true" outlineLevel="0" collapsed="false">
      <c r="A77" s="252" t="s">
        <v>169</v>
      </c>
      <c r="B77" s="310" t="n">
        <f aca="false">D76*Vuvlo_on/(VINuvlo_on-Vuvlo_on+Ruvlo1*Iuvlo1)</f>
        <v>11.3238833486969</v>
      </c>
      <c r="C77" s="309" t="s">
        <v>287</v>
      </c>
      <c r="D77" s="254" t="n">
        <f aca="false">'Standard Value Calculator'!S16</f>
        <v>11.3</v>
      </c>
      <c r="E77" s="309" t="s">
        <v>287</v>
      </c>
      <c r="F77" s="307" t="n">
        <f aca="false">IF(F76="N/A","N/A",D77)</f>
        <v>11.3</v>
      </c>
      <c r="G77" s="307" t="str">
        <f aca="false">IF(G76="N/A","N/A",D77&amp;"kΩ")</f>
        <v>11.3kΩ</v>
      </c>
      <c r="H77" s="255"/>
    </row>
    <row r="78" customFormat="false" ht="15.75" hidden="false" customHeight="true" outlineLevel="0" collapsed="false">
      <c r="A78" s="252"/>
      <c r="B78" s="310"/>
      <c r="C78" s="309"/>
      <c r="D78" s="254"/>
      <c r="E78" s="309"/>
      <c r="F78" s="254"/>
      <c r="G78" s="254"/>
      <c r="H78" s="255"/>
    </row>
    <row r="79" customFormat="false" ht="15.75" hidden="false" customHeight="true" outlineLevel="0" collapsed="false">
      <c r="A79" s="252" t="s">
        <v>288</v>
      </c>
      <c r="B79" s="310" t="n">
        <f aca="false">(D76+D77)/D77*Vuvlo_on-Iuvlo1*D76</f>
        <v>9.01763203539823</v>
      </c>
      <c r="C79" s="309"/>
      <c r="D79" s="254"/>
      <c r="E79" s="309"/>
      <c r="F79" s="254"/>
      <c r="G79" s="254"/>
      <c r="H79" s="255"/>
    </row>
    <row r="80" customFormat="false" ht="15.75" hidden="false" customHeight="true" outlineLevel="0" collapsed="false">
      <c r="A80" s="252" t="s">
        <v>289</v>
      </c>
      <c r="B80" s="310" t="n">
        <f aca="false">(D76+D77)/D77*Vuvlo_off-Iuvlo2*D76</f>
        <v>7.01878274336283</v>
      </c>
      <c r="C80" s="309"/>
      <c r="D80" s="254"/>
      <c r="E80" s="309"/>
      <c r="F80" s="254"/>
      <c r="G80" s="254"/>
      <c r="H80" s="255"/>
    </row>
    <row r="81" customFormat="false" ht="15.75" hidden="false" customHeight="true" outlineLevel="0" collapsed="false">
      <c r="A81" s="252"/>
      <c r="B81" s="310"/>
      <c r="C81" s="309"/>
      <c r="D81" s="254"/>
      <c r="E81" s="309"/>
      <c r="F81" s="254"/>
      <c r="G81" s="254"/>
      <c r="H81" s="255"/>
    </row>
    <row r="82" customFormat="false" ht="15.75" hidden="false" customHeight="true" outlineLevel="0" collapsed="false">
      <c r="A82" s="252"/>
      <c r="B82" s="307"/>
      <c r="C82" s="254"/>
      <c r="D82" s="254"/>
      <c r="E82" s="254"/>
      <c r="F82" s="254"/>
      <c r="G82" s="254"/>
      <c r="H82" s="255"/>
    </row>
    <row r="83" customFormat="false" ht="15.75" hidden="false" customHeight="true" outlineLevel="0" collapsed="false">
      <c r="A83" s="252" t="s">
        <v>290</v>
      </c>
      <c r="B83" s="307" t="n">
        <v>1.15</v>
      </c>
      <c r="C83" s="254"/>
      <c r="D83" s="254"/>
      <c r="E83" s="254"/>
      <c r="F83" s="254"/>
      <c r="G83" s="254"/>
      <c r="H83" s="255"/>
    </row>
    <row r="84" customFormat="false" ht="15.75" hidden="false" customHeight="true" outlineLevel="0" collapsed="false">
      <c r="A84" s="252" t="s">
        <v>291</v>
      </c>
      <c r="B84" s="307" t="n">
        <v>0.985</v>
      </c>
      <c r="C84" s="254"/>
      <c r="D84" s="254"/>
      <c r="E84" s="254"/>
      <c r="F84" s="254"/>
      <c r="G84" s="254"/>
      <c r="H84" s="255"/>
    </row>
    <row r="85" customFormat="false" ht="15.75" hidden="false" customHeight="true" outlineLevel="0" collapsed="false">
      <c r="A85" s="252" t="s">
        <v>291</v>
      </c>
      <c r="B85" s="307" t="n">
        <f aca="false">B83-B84</f>
        <v>0.165</v>
      </c>
      <c r="C85" s="254"/>
      <c r="D85" s="254"/>
      <c r="E85" s="254"/>
      <c r="F85" s="254"/>
      <c r="G85" s="254"/>
      <c r="H85" s="255"/>
    </row>
    <row r="86" customFormat="false" ht="15.75" hidden="false" customHeight="true" outlineLevel="0" collapsed="false">
      <c r="A86" s="252" t="s">
        <v>292</v>
      </c>
      <c r="B86" s="307" t="n">
        <v>0.0018</v>
      </c>
      <c r="C86" s="254"/>
      <c r="D86" s="254"/>
      <c r="E86" s="254"/>
      <c r="F86" s="254"/>
      <c r="G86" s="254"/>
      <c r="H86" s="255"/>
    </row>
    <row r="87" customFormat="false" ht="15.75" hidden="false" customHeight="true" outlineLevel="0" collapsed="false">
      <c r="A87" s="252" t="s">
        <v>293</v>
      </c>
      <c r="B87" s="307" t="n">
        <v>0.0105</v>
      </c>
      <c r="C87" s="254"/>
      <c r="D87" s="254"/>
      <c r="E87" s="254"/>
      <c r="F87" s="254"/>
      <c r="G87" s="254"/>
      <c r="H87" s="255"/>
    </row>
    <row r="88" customFormat="false" ht="15.75" hidden="false" customHeight="true" outlineLevel="0" collapsed="false">
      <c r="A88" s="252" t="s">
        <v>294</v>
      </c>
      <c r="B88" s="307" t="n">
        <f aca="false">B87-B86</f>
        <v>0.0087</v>
      </c>
      <c r="C88" s="254"/>
      <c r="D88" s="254"/>
      <c r="E88" s="254"/>
      <c r="F88" s="254"/>
      <c r="G88" s="254"/>
      <c r="H88" s="255"/>
    </row>
    <row r="89" customFormat="false" ht="15.75" hidden="false" customHeight="true" outlineLevel="0" collapsed="false">
      <c r="A89" s="252"/>
      <c r="B89" s="307"/>
      <c r="C89" s="254"/>
      <c r="D89" s="254"/>
      <c r="E89" s="254"/>
      <c r="F89" s="254"/>
      <c r="G89" s="254"/>
      <c r="H89" s="255"/>
    </row>
    <row r="90" customFormat="false" ht="15.75" hidden="false" customHeight="true" outlineLevel="0" collapsed="false">
      <c r="A90" s="252" t="s">
        <v>295</v>
      </c>
      <c r="B90" s="307"/>
      <c r="C90" s="259" t="s">
        <v>204</v>
      </c>
      <c r="D90" s="254"/>
      <c r="E90" s="254"/>
      <c r="F90" s="254"/>
      <c r="G90" s="254"/>
      <c r="H90" s="255"/>
    </row>
    <row r="91" customFormat="false" ht="15.75" hidden="false" customHeight="true" outlineLevel="0" collapsed="false">
      <c r="A91" s="252" t="s">
        <v>296</v>
      </c>
      <c r="B91" s="307"/>
      <c r="C91" s="259" t="s">
        <v>204</v>
      </c>
      <c r="D91" s="254"/>
      <c r="E91" s="254"/>
      <c r="F91" s="254"/>
      <c r="G91" s="254"/>
      <c r="H91" s="255"/>
    </row>
    <row r="92" customFormat="false" ht="15.75" hidden="false" customHeight="true" outlineLevel="0" collapsed="false">
      <c r="A92" s="252" t="s">
        <v>297</v>
      </c>
      <c r="B92" s="307"/>
      <c r="C92" s="259" t="s">
        <v>204</v>
      </c>
      <c r="D92" s="254"/>
      <c r="E92" s="254"/>
      <c r="F92" s="254"/>
      <c r="G92" s="254"/>
      <c r="H92" s="255"/>
    </row>
    <row r="93" customFormat="false" ht="15.75" hidden="false" customHeight="true" outlineLevel="0" collapsed="false">
      <c r="A93" s="252" t="s">
        <v>298</v>
      </c>
      <c r="B93" s="307" t="n">
        <f aca="false">80700/(Totp+273)*398</f>
        <v>84969.8412698413</v>
      </c>
      <c r="C93" s="259" t="s">
        <v>204</v>
      </c>
      <c r="D93" s="254"/>
      <c r="E93" s="254"/>
      <c r="F93" s="254"/>
      <c r="G93" s="254"/>
      <c r="H93" s="255"/>
    </row>
    <row r="94" customFormat="false" ht="15.75" hidden="false" customHeight="true" outlineLevel="0" collapsed="false">
      <c r="A94" s="252"/>
      <c r="B94" s="307"/>
      <c r="C94" s="254"/>
      <c r="D94" s="254"/>
      <c r="E94" s="254"/>
      <c r="F94" s="254"/>
      <c r="G94" s="254"/>
      <c r="H94" s="255"/>
    </row>
    <row r="95" customFormat="false" ht="12.75" hidden="false" customHeight="false" outlineLevel="0" collapsed="false">
      <c r="A95" s="252"/>
      <c r="B95" s="307"/>
      <c r="C95" s="254"/>
      <c r="D95" s="254"/>
      <c r="E95" s="254"/>
      <c r="F95" s="254"/>
      <c r="G95" s="254"/>
      <c r="H95" s="255"/>
    </row>
    <row r="96" customFormat="false" ht="12.75" hidden="false" customHeight="false" outlineLevel="0" collapsed="false">
      <c r="A96" s="252" t="s">
        <v>299</v>
      </c>
      <c r="B96" s="307" t="n">
        <v>100</v>
      </c>
      <c r="C96" s="254" t="s">
        <v>88</v>
      </c>
      <c r="D96" s="254"/>
      <c r="E96" s="254"/>
      <c r="F96" s="254"/>
      <c r="G96" s="254"/>
      <c r="H96" s="255"/>
    </row>
    <row r="97" customFormat="false" ht="12.75" hidden="false" customHeight="false" outlineLevel="0" collapsed="false">
      <c r="A97" s="252"/>
      <c r="B97" s="307"/>
      <c r="C97" s="254"/>
      <c r="D97" s="254"/>
      <c r="E97" s="254"/>
      <c r="F97" s="254"/>
      <c r="G97" s="254"/>
      <c r="H97" s="255"/>
    </row>
    <row r="98" customFormat="false" ht="13.5" hidden="false" customHeight="false" outlineLevel="0" collapsed="false">
      <c r="A98" s="261"/>
      <c r="B98" s="311"/>
      <c r="C98" s="263"/>
      <c r="D98" s="263"/>
      <c r="E98" s="263"/>
      <c r="F98" s="263"/>
      <c r="G98" s="263"/>
      <c r="H98" s="264"/>
    </row>
    <row r="99" customFormat="false" ht="12.75" hidden="false" customHeight="false" outlineLevel="0" collapsed="false">
      <c r="B99" s="312"/>
    </row>
    <row r="100" customFormat="false" ht="16.5" hidden="false" customHeight="false" outlineLevel="0" collapsed="false">
      <c r="A100" s="246" t="s">
        <v>300</v>
      </c>
      <c r="B100" s="254"/>
      <c r="C100" s="254"/>
      <c r="D100" s="254"/>
      <c r="E100" s="254"/>
      <c r="F100" s="254"/>
      <c r="G100" s="254"/>
      <c r="H100" s="254"/>
    </row>
    <row r="101" customFormat="false" ht="12.75" hidden="false" customHeight="false" outlineLevel="0" collapsed="false">
      <c r="A101" s="248" t="s">
        <v>301</v>
      </c>
      <c r="B101" s="313" t="n">
        <v>3162</v>
      </c>
      <c r="C101" s="250" t="s">
        <v>73</v>
      </c>
      <c r="D101" s="250" t="s">
        <v>302</v>
      </c>
      <c r="E101" s="250"/>
      <c r="F101" s="250"/>
      <c r="G101" s="250"/>
      <c r="H101" s="251"/>
    </row>
    <row r="102" customFormat="false" ht="12.75" hidden="false" customHeight="false" outlineLevel="0" collapsed="false">
      <c r="A102" s="252" t="s">
        <v>303</v>
      </c>
      <c r="B102" s="257" t="n">
        <v>6000000</v>
      </c>
      <c r="C102" s="254" t="s">
        <v>199</v>
      </c>
      <c r="D102" s="254" t="s">
        <v>304</v>
      </c>
      <c r="E102" s="254"/>
      <c r="F102" s="254"/>
      <c r="G102" s="254"/>
      <c r="H102" s="255"/>
    </row>
    <row r="103" customFormat="false" ht="12.75" hidden="false" customHeight="false" outlineLevel="0" collapsed="false">
      <c r="A103" s="252" t="s">
        <v>305</v>
      </c>
      <c r="B103" s="314" t="n">
        <f aca="false">'Design Regulator'!E59*1000</f>
        <v>105000</v>
      </c>
      <c r="C103" s="254" t="s">
        <v>199</v>
      </c>
      <c r="D103" s="254"/>
      <c r="E103" s="254"/>
      <c r="F103" s="254"/>
      <c r="G103" s="254"/>
      <c r="H103" s="255"/>
    </row>
    <row r="104" customFormat="false" ht="12.75" hidden="false" customHeight="false" outlineLevel="0" collapsed="false">
      <c r="A104" s="252" t="s">
        <v>306</v>
      </c>
      <c r="B104" s="315" t="n">
        <f aca="false">Fcross/Fo/9</f>
        <v>0.269323119091802</v>
      </c>
      <c r="C104" s="254" t="s">
        <v>73</v>
      </c>
      <c r="D104" s="254" t="s">
        <v>307</v>
      </c>
      <c r="E104" s="254"/>
      <c r="F104" s="254"/>
      <c r="G104" s="254"/>
      <c r="H104" s="255" t="n">
        <v>1</v>
      </c>
    </row>
    <row r="105" customFormat="false" ht="12.75" hidden="false" customHeight="false" outlineLevel="0" collapsed="false">
      <c r="A105" s="252" t="s">
        <v>308</v>
      </c>
      <c r="B105" s="290" t="n">
        <f aca="false">'Design Regulator'!E61*1000</f>
        <v>20000</v>
      </c>
      <c r="C105" s="259" t="s">
        <v>204</v>
      </c>
      <c r="D105" s="254" t="s">
        <v>309</v>
      </c>
      <c r="E105" s="254"/>
      <c r="F105" s="254"/>
      <c r="G105" s="254"/>
      <c r="H105" s="255" t="n">
        <v>1</v>
      </c>
    </row>
    <row r="106" customFormat="false" ht="12.75" hidden="false" customHeight="false" outlineLevel="0" collapsed="false">
      <c r="A106" s="269" t="s">
        <v>310</v>
      </c>
      <c r="B106" s="268" t="n">
        <f aca="false">IF(Vout=Vref,100000000,Vref/((Vout-Vref)/_Rfb1))</f>
        <v>2222.22222222222</v>
      </c>
      <c r="C106" s="259" t="s">
        <v>204</v>
      </c>
      <c r="D106" s="254" t="s">
        <v>311</v>
      </c>
      <c r="E106" s="254"/>
      <c r="F106" s="254"/>
      <c r="G106" s="254"/>
      <c r="H106" s="255"/>
    </row>
    <row r="107" customFormat="false" ht="12.75" hidden="false" customHeight="false" outlineLevel="0" collapsed="false">
      <c r="A107" s="252" t="s">
        <v>312</v>
      </c>
      <c r="B107" s="258" t="n">
        <f aca="false">IF(Vout=Vref,"N/A",'Standard Value Calculator'!S10)</f>
        <v>2210</v>
      </c>
      <c r="C107" s="259" t="s">
        <v>204</v>
      </c>
      <c r="D107" s="254" t="s">
        <v>313</v>
      </c>
      <c r="E107" s="254"/>
      <c r="F107" s="254"/>
      <c r="G107" s="254"/>
      <c r="H107" s="255"/>
    </row>
    <row r="108" customFormat="false" ht="12.75" hidden="false" customHeight="false" outlineLevel="0" collapsed="false">
      <c r="A108" s="267" t="s">
        <v>314</v>
      </c>
      <c r="B108" s="268" t="n">
        <f aca="false">Vin/9</f>
        <v>2</v>
      </c>
      <c r="C108" s="254" t="s">
        <v>267</v>
      </c>
      <c r="D108" s="254" t="s">
        <v>315</v>
      </c>
      <c r="E108" s="254"/>
      <c r="F108" s="254"/>
      <c r="G108" s="254"/>
      <c r="H108" s="255"/>
    </row>
    <row r="109" customFormat="false" ht="12.75" hidden="false" customHeight="false" outlineLevel="0" collapsed="false">
      <c r="A109" s="267" t="s">
        <v>316</v>
      </c>
      <c r="B109" s="316" t="n">
        <f aca="false">Kmidband*_Rfb1</f>
        <v>5386.46238183603</v>
      </c>
      <c r="C109" s="259" t="s">
        <v>204</v>
      </c>
      <c r="D109" s="254" t="s">
        <v>317</v>
      </c>
      <c r="E109" s="254"/>
      <c r="F109" s="254"/>
      <c r="G109" s="254"/>
      <c r="H109" s="255" t="n">
        <v>1</v>
      </c>
    </row>
    <row r="110" customFormat="false" ht="12.75" hidden="false" customHeight="false" outlineLevel="0" collapsed="false">
      <c r="A110" s="267" t="s">
        <v>318</v>
      </c>
      <c r="B110" s="317" t="n">
        <f aca="false">1/(Rcea1*('Design Regulator'!E64*1000)*2*Pi)</f>
        <v>9.74418020043406E-010</v>
      </c>
      <c r="C110" s="254" t="s">
        <v>246</v>
      </c>
      <c r="D110" s="254" t="s">
        <v>319</v>
      </c>
      <c r="E110" s="254"/>
      <c r="F110" s="254"/>
      <c r="G110" s="254"/>
      <c r="H110" s="255" t="n">
        <v>1</v>
      </c>
    </row>
    <row r="111" customFormat="false" ht="12.75" hidden="false" customHeight="false" outlineLevel="0" collapsed="false">
      <c r="A111" s="267" t="s">
        <v>320</v>
      </c>
      <c r="B111" s="317" t="n">
        <f aca="false">1/((Rcea1*2*Pi*'Design Regulator'!E67*1000)-1/Cc1ea)</f>
        <v>9.24283111901396E-011</v>
      </c>
      <c r="C111" s="254" t="s">
        <v>246</v>
      </c>
      <c r="D111" s="254"/>
      <c r="E111" s="254"/>
      <c r="F111" s="254"/>
      <c r="G111" s="254"/>
      <c r="H111" s="255" t="n">
        <v>1</v>
      </c>
    </row>
    <row r="112" customFormat="false" ht="12.75" hidden="false" customHeight="false" outlineLevel="0" collapsed="false">
      <c r="A112" s="267" t="s">
        <v>321</v>
      </c>
      <c r="B112" s="318" t="n">
        <f aca="false">(1/(1000*2*Pi*'Design Regulator'!E66))*_Rfb1/(1/('Design Regulator'!E65*1000*2*Pi)-(1/(1000*2*Pi*'Design Regulator'!E66)))</f>
        <v>5.44504206462059</v>
      </c>
      <c r="C112" s="259" t="s">
        <v>204</v>
      </c>
      <c r="D112" s="254"/>
      <c r="E112" s="254"/>
      <c r="F112" s="254"/>
      <c r="G112" s="254"/>
      <c r="H112" s="255" t="n">
        <v>1</v>
      </c>
    </row>
    <row r="113" customFormat="false" ht="12.75" hidden="false" customHeight="false" outlineLevel="0" collapsed="false">
      <c r="A113" s="267" t="s">
        <v>322</v>
      </c>
      <c r="B113" s="319" t="n">
        <f aca="false">(1/(1000*2*Pi*'Design Regulator'!E66))/Rcea2</f>
        <v>1.83653310320143E-010</v>
      </c>
      <c r="C113" s="254" t="s">
        <v>246</v>
      </c>
      <c r="D113" s="254"/>
      <c r="E113" s="254"/>
      <c r="F113" s="254"/>
      <c r="G113" s="254"/>
      <c r="H113" s="255" t="n">
        <v>1</v>
      </c>
    </row>
    <row r="114" customFormat="false" ht="12.75" hidden="false" customHeight="false" outlineLevel="0" collapsed="false">
      <c r="A114" s="267"/>
      <c r="B114" s="273"/>
      <c r="C114" s="254"/>
      <c r="D114" s="254"/>
      <c r="E114" s="254"/>
      <c r="F114" s="254"/>
      <c r="G114" s="254"/>
      <c r="H114" s="255"/>
    </row>
    <row r="115" customFormat="false" ht="12.75" hidden="false" customHeight="false" outlineLevel="0" collapsed="false">
      <c r="A115" s="269" t="s">
        <v>323</v>
      </c>
      <c r="B115" s="254"/>
      <c r="C115" s="254"/>
      <c r="D115" s="254"/>
      <c r="E115" s="254"/>
      <c r="F115" s="254"/>
      <c r="G115" s="254"/>
      <c r="H115" s="255"/>
    </row>
    <row r="116" customFormat="false" ht="12.75" hidden="false" customHeight="false" outlineLevel="0" collapsed="false">
      <c r="A116" s="252" t="s">
        <v>324</v>
      </c>
      <c r="B116" s="320" t="n">
        <f aca="false">'Design Regulator'!D71*1000</f>
        <v>3240</v>
      </c>
      <c r="C116" s="259" t="s">
        <v>204</v>
      </c>
      <c r="D116" s="254"/>
      <c r="E116" s="254"/>
      <c r="F116" s="254"/>
      <c r="G116" s="254"/>
      <c r="H116" s="255" t="n">
        <v>2</v>
      </c>
    </row>
    <row r="117" customFormat="false" ht="12.75" hidden="false" customHeight="false" outlineLevel="0" collapsed="false">
      <c r="A117" s="252" t="s">
        <v>325</v>
      </c>
      <c r="B117" s="279" t="n">
        <f aca="false">'Design Regulator'!D72*0.000000000001</f>
        <v>1.2E-009</v>
      </c>
      <c r="C117" s="254" t="s">
        <v>246</v>
      </c>
      <c r="D117" s="254"/>
      <c r="E117" s="254"/>
      <c r="F117" s="254"/>
      <c r="G117" s="254"/>
      <c r="H117" s="255" t="n">
        <v>2</v>
      </c>
    </row>
    <row r="118" customFormat="false" ht="12.75" hidden="false" customHeight="false" outlineLevel="0" collapsed="false">
      <c r="A118" s="252" t="s">
        <v>326</v>
      </c>
      <c r="B118" s="279" t="n">
        <f aca="false">'Design Regulator'!D73*0.000000000001</f>
        <v>1.5E-010</v>
      </c>
      <c r="C118" s="254" t="s">
        <v>246</v>
      </c>
      <c r="D118" s="254"/>
      <c r="E118" s="254"/>
      <c r="F118" s="254"/>
      <c r="G118" s="254"/>
      <c r="H118" s="255" t="n">
        <v>2</v>
      </c>
    </row>
    <row r="119" customFormat="false" ht="12.75" hidden="false" customHeight="false" outlineLevel="0" collapsed="false">
      <c r="A119" s="252" t="s">
        <v>327</v>
      </c>
      <c r="B119" s="320" t="n">
        <f aca="false">'Design Regulator'!D74</f>
        <v>53.6</v>
      </c>
      <c r="C119" s="259" t="s">
        <v>204</v>
      </c>
      <c r="D119" s="254"/>
      <c r="E119" s="254"/>
      <c r="F119" s="254"/>
      <c r="G119" s="254"/>
      <c r="H119" s="255" t="n">
        <v>2</v>
      </c>
    </row>
    <row r="120" customFormat="false" ht="12.75" hidden="false" customHeight="false" outlineLevel="0" collapsed="false">
      <c r="A120" s="252" t="s">
        <v>328</v>
      </c>
      <c r="B120" s="279" t="n">
        <f aca="false">'Design Regulator'!D75*0.000000000001</f>
        <v>2.2E-007</v>
      </c>
      <c r="C120" s="254" t="s">
        <v>246</v>
      </c>
      <c r="D120" s="254"/>
      <c r="E120" s="254"/>
      <c r="F120" s="254"/>
      <c r="G120" s="254"/>
      <c r="H120" s="255" t="n">
        <v>2</v>
      </c>
    </row>
    <row r="121" customFormat="false" ht="12.75" hidden="false" customHeight="false" outlineLevel="0" collapsed="false">
      <c r="A121" s="252"/>
      <c r="B121" s="254"/>
      <c r="C121" s="254"/>
      <c r="D121" s="254"/>
      <c r="E121" s="254"/>
      <c r="F121" s="254"/>
      <c r="G121" s="254"/>
      <c r="H121" s="255"/>
    </row>
    <row r="122" customFormat="false" ht="12.75" hidden="false" customHeight="false" outlineLevel="0" collapsed="false">
      <c r="A122" s="269" t="s">
        <v>329</v>
      </c>
      <c r="B122" s="254"/>
      <c r="C122" s="254"/>
      <c r="D122" s="254" t="n">
        <f aca="false">Cout</f>
        <v>2E-006</v>
      </c>
      <c r="E122" s="254" t="n">
        <f aca="false">CoutEsr</f>
        <v>0.0005</v>
      </c>
      <c r="F122" s="254"/>
      <c r="G122" s="254"/>
      <c r="H122" s="255"/>
    </row>
    <row r="123" customFormat="false" ht="12.75" hidden="false" customHeight="false" outlineLevel="0" collapsed="false">
      <c r="A123" s="267" t="s">
        <v>330</v>
      </c>
      <c r="B123" s="268" t="n">
        <f aca="false">SQRT((Rfets+Rdcr+Ro)/(Cout*Lout2*(CoutEsr+Ro)))/(2*Pi)</f>
        <v>43318.4745001039</v>
      </c>
      <c r="C123" s="254" t="s">
        <v>199</v>
      </c>
      <c r="D123" s="254" t="s">
        <v>331</v>
      </c>
      <c r="E123" s="254"/>
      <c r="F123" s="254"/>
      <c r="G123" s="254"/>
      <c r="H123" s="255"/>
    </row>
    <row r="124" customFormat="false" ht="12.75" hidden="false" customHeight="false" outlineLevel="0" collapsed="false">
      <c r="A124" s="267" t="s">
        <v>332</v>
      </c>
      <c r="B124" s="268" t="n">
        <f aca="false">(Rfets+Rdcr+Ro)/(Lout2+Cout*(Rdcr+Rfets)*(CoutEsr+Ro)+Cout*CoutEsr*Ro)/(Fo*2*Pi)</f>
        <v>1.59994352371529</v>
      </c>
      <c r="C124" s="254" t="s">
        <v>73</v>
      </c>
      <c r="D124" s="254" t="s">
        <v>333</v>
      </c>
      <c r="E124" s="254"/>
      <c r="F124" s="254"/>
      <c r="G124" s="254"/>
      <c r="H124" s="255"/>
    </row>
    <row r="125" customFormat="false" ht="12.75" hidden="false" customHeight="false" outlineLevel="0" collapsed="false">
      <c r="A125" s="267" t="s">
        <v>334</v>
      </c>
      <c r="B125" s="268" t="n">
        <f aca="false">1/(2*Pi*Cout*CoutEsr)</f>
        <v>159154943.273756</v>
      </c>
      <c r="C125" s="254" t="s">
        <v>199</v>
      </c>
      <c r="D125" s="254" t="s">
        <v>335</v>
      </c>
      <c r="E125" s="254"/>
      <c r="F125" s="254"/>
      <c r="G125" s="254"/>
      <c r="H125" s="255"/>
    </row>
    <row r="126" customFormat="false" ht="12.75" hidden="false" customHeight="false" outlineLevel="0" collapsed="false">
      <c r="A126" s="267" t="s">
        <v>336</v>
      </c>
      <c r="B126" s="268" t="n">
        <f aca="false">1/(2*Pi*Rcea1_u*Cc1ea_u)</f>
        <v>40934.9133934559</v>
      </c>
      <c r="C126" s="254" t="s">
        <v>199</v>
      </c>
      <c r="D126" s="254" t="s">
        <v>337</v>
      </c>
      <c r="E126" s="254"/>
      <c r="F126" s="254"/>
      <c r="G126" s="254"/>
      <c r="H126" s="255"/>
    </row>
    <row r="127" customFormat="false" ht="12.75" hidden="false" customHeight="false" outlineLevel="0" collapsed="false">
      <c r="A127" s="267" t="s">
        <v>338</v>
      </c>
      <c r="B127" s="268" t="n">
        <f aca="false">1/(2*Pi*Cc3ea_u*(_Rfb1+Rcea2_u))</f>
        <v>36.0748972920202</v>
      </c>
      <c r="C127" s="254" t="s">
        <v>199</v>
      </c>
      <c r="D127" s="254" t="s">
        <v>337</v>
      </c>
      <c r="E127" s="254"/>
      <c r="F127" s="254"/>
      <c r="G127" s="254"/>
      <c r="H127" s="255"/>
    </row>
    <row r="128" customFormat="false" ht="12.75" hidden="false" customHeight="false" outlineLevel="0" collapsed="false">
      <c r="A128" s="267" t="s">
        <v>339</v>
      </c>
      <c r="B128" s="268" t="n">
        <f aca="false">1/(2*Pi*Rcea2_u*Cc3ea_u)</f>
        <v>13496.8574689413</v>
      </c>
      <c r="C128" s="254" t="s">
        <v>199</v>
      </c>
      <c r="D128" s="254" t="s">
        <v>340</v>
      </c>
      <c r="E128" s="254"/>
      <c r="F128" s="254"/>
      <c r="G128" s="254"/>
      <c r="H128" s="255"/>
    </row>
    <row r="129" customFormat="false" ht="12.75" hidden="false" customHeight="false" outlineLevel="0" collapsed="false">
      <c r="A129" s="267" t="s">
        <v>341</v>
      </c>
      <c r="B129" s="268" t="n">
        <f aca="false">1/(2*Pi*Rcea1_u*(Cc1ea_u*Cc2ea_u/(Cc1ea_u+Cc2ea_u)))</f>
        <v>368414.220541103</v>
      </c>
      <c r="C129" s="254" t="s">
        <v>199</v>
      </c>
      <c r="D129" s="254" t="s">
        <v>342</v>
      </c>
      <c r="E129" s="254"/>
      <c r="F129" s="254"/>
      <c r="G129" s="254"/>
      <c r="H129" s="255"/>
    </row>
    <row r="130" customFormat="false" ht="12.75" hidden="false" customHeight="false" outlineLevel="0" collapsed="false">
      <c r="A130" s="267" t="s">
        <v>343</v>
      </c>
      <c r="B130" s="268" t="n">
        <f aca="false">Vout/(Iout+Vref/_Rfb2)</f>
        <v>2.99959505466762</v>
      </c>
      <c r="C130" s="254"/>
      <c r="D130" s="254" t="s">
        <v>344</v>
      </c>
      <c r="E130" s="254"/>
      <c r="F130" s="254"/>
      <c r="G130" s="254"/>
      <c r="H130" s="255"/>
    </row>
    <row r="131" customFormat="false" ht="12.75" hidden="false" customHeight="false" outlineLevel="0" collapsed="false">
      <c r="A131" s="267" t="s">
        <v>345</v>
      </c>
      <c r="B131" s="268" t="n">
        <v>3.14159265</v>
      </c>
      <c r="C131" s="254"/>
      <c r="D131" s="254" t="s">
        <v>346</v>
      </c>
      <c r="E131" s="254"/>
      <c r="F131" s="254"/>
      <c r="G131" s="254"/>
      <c r="H131" s="255"/>
    </row>
    <row r="132" customFormat="false" ht="12.75" hidden="false" customHeight="false" outlineLevel="0" collapsed="false">
      <c r="A132" s="267" t="s">
        <v>347</v>
      </c>
      <c r="B132" s="273"/>
      <c r="C132" s="254"/>
      <c r="D132" s="254"/>
      <c r="E132" s="254"/>
      <c r="F132" s="254"/>
      <c r="G132" s="254"/>
      <c r="H132" s="255"/>
    </row>
    <row r="133" customFormat="false" ht="12.75" hidden="false" customHeight="false" outlineLevel="0" collapsed="false">
      <c r="A133" s="267" t="s">
        <v>348</v>
      </c>
      <c r="B133" s="273" t="n">
        <v>0</v>
      </c>
      <c r="C133" s="259" t="s">
        <v>204</v>
      </c>
      <c r="D133" s="254" t="s">
        <v>349</v>
      </c>
      <c r="E133" s="254"/>
      <c r="F133" s="254"/>
      <c r="G133" s="254" t="n">
        <f aca="false">_Don2*RdsonTop+Doff2*RdsonBot+B138*Vin^2*Fsw/2/(((Iripple1/SQRT(3))^2))</f>
        <v>2.37474820620881</v>
      </c>
      <c r="H133" s="255"/>
    </row>
    <row r="134" customFormat="false" ht="12.75" hidden="false" customHeight="false" outlineLevel="0" collapsed="false">
      <c r="A134" s="252"/>
      <c r="B134" s="254"/>
      <c r="C134" s="254"/>
      <c r="D134" s="254"/>
      <c r="E134" s="254"/>
      <c r="F134" s="254"/>
      <c r="G134" s="254"/>
      <c r="H134" s="255"/>
    </row>
    <row r="135" customFormat="false" ht="12.75" hidden="false" customHeight="false" outlineLevel="0" collapsed="false">
      <c r="A135" s="267" t="s">
        <v>350</v>
      </c>
      <c r="B135" s="247" t="n">
        <f aca="false">0.00000002*Fsw*0.6*4/Iripple1</f>
        <v>0.0396797882897784</v>
      </c>
      <c r="C135" s="254"/>
      <c r="D135" s="247"/>
      <c r="E135" s="254"/>
      <c r="F135" s="254"/>
      <c r="G135" s="254"/>
      <c r="H135" s="255"/>
    </row>
    <row r="136" customFormat="false" ht="12.75" hidden="false" customHeight="false" outlineLevel="0" collapsed="false">
      <c r="A136" s="267" t="s">
        <v>351</v>
      </c>
      <c r="B136" s="247" t="n">
        <f aca="false">_Don2*RdsonTop+Doff2*RdsonBot</f>
        <v>0.00247637777777778</v>
      </c>
      <c r="C136" s="254"/>
      <c r="D136" s="247"/>
      <c r="E136" s="254"/>
      <c r="F136" s="254"/>
      <c r="G136" s="254"/>
      <c r="H136" s="255"/>
    </row>
    <row r="137" customFormat="false" ht="12.75" hidden="false" customHeight="false" outlineLevel="0" collapsed="false">
      <c r="A137" s="267" t="s">
        <v>352</v>
      </c>
      <c r="B137" s="247" t="n">
        <f aca="false">B138*Vin^2*Fsw/2/(((Iripple1/SQRT(3))^2))</f>
        <v>2.37227182843103</v>
      </c>
      <c r="C137" s="254"/>
      <c r="D137" s="247"/>
      <c r="E137" s="254"/>
      <c r="F137" s="254"/>
      <c r="G137" s="254"/>
      <c r="H137" s="255"/>
    </row>
    <row r="138" customFormat="false" ht="13.5" hidden="false" customHeight="false" outlineLevel="0" collapsed="false">
      <c r="A138" s="284" t="s">
        <v>353</v>
      </c>
      <c r="B138" s="321" t="n">
        <v>5E-009</v>
      </c>
      <c r="C138" s="263"/>
      <c r="D138" s="321"/>
      <c r="E138" s="263"/>
      <c r="F138" s="263"/>
      <c r="G138" s="263"/>
      <c r="H138" s="264"/>
    </row>
    <row r="139" customFormat="false" ht="12.75" hidden="false" customHeight="false" outlineLevel="0" collapsed="false">
      <c r="A139" s="322"/>
      <c r="B139" s="323"/>
      <c r="D139" s="323"/>
    </row>
    <row r="140" customFormat="false" ht="12.75" hidden="false" customHeight="false" outlineLevel="0" collapsed="false">
      <c r="A140" s="322"/>
      <c r="B140" s="323"/>
      <c r="D140" s="323"/>
    </row>
    <row r="141" customFormat="false" ht="16.5" hidden="false" customHeight="false" outlineLevel="0" collapsed="false">
      <c r="A141" s="324" t="s">
        <v>97</v>
      </c>
      <c r="B141" s="254"/>
      <c r="C141" s="254"/>
      <c r="D141" s="254"/>
      <c r="E141" s="254"/>
      <c r="F141" s="254"/>
      <c r="G141" s="254"/>
      <c r="H141" s="254"/>
    </row>
    <row r="142" customFormat="false" ht="12.75" hidden="false" customHeight="false" outlineLevel="0" collapsed="false">
      <c r="A142" s="248"/>
      <c r="B142" s="250"/>
      <c r="C142" s="250"/>
      <c r="D142" s="250"/>
      <c r="E142" s="250"/>
      <c r="F142" s="250"/>
      <c r="G142" s="250"/>
      <c r="H142" s="251"/>
    </row>
    <row r="143" customFormat="false" ht="12.75" hidden="false" customHeight="false" outlineLevel="0" collapsed="false">
      <c r="A143" s="269" t="s">
        <v>354</v>
      </c>
      <c r="B143" s="254"/>
      <c r="C143" s="254"/>
      <c r="D143" s="254"/>
      <c r="E143" s="254"/>
      <c r="F143" s="254"/>
      <c r="G143" s="254"/>
      <c r="H143" s="255"/>
    </row>
    <row r="144" customFormat="false" ht="12.75" hidden="false" customHeight="false" outlineLevel="0" collapsed="false">
      <c r="A144" s="252" t="s">
        <v>355</v>
      </c>
      <c r="B144" s="253" t="n">
        <v>25</v>
      </c>
      <c r="C144" s="254"/>
      <c r="D144" s="254" t="s">
        <v>356</v>
      </c>
      <c r="E144" s="254"/>
      <c r="F144" s="254"/>
      <c r="G144" s="254"/>
      <c r="H144" s="255"/>
    </row>
    <row r="145" customFormat="false" ht="12.75" hidden="false" customHeight="false" outlineLevel="0" collapsed="false">
      <c r="A145" s="269" t="s">
        <v>357</v>
      </c>
      <c r="B145" s="254"/>
      <c r="C145" s="254"/>
      <c r="D145" s="254"/>
      <c r="E145" s="254"/>
      <c r="F145" s="254"/>
      <c r="G145" s="254"/>
      <c r="H145" s="255"/>
    </row>
    <row r="146" customFormat="false" ht="12.75" hidden="false" customHeight="false" outlineLevel="0" collapsed="false">
      <c r="A146" s="252" t="s">
        <v>358</v>
      </c>
      <c r="B146" s="257" t="n">
        <f aca="false">4000/1000000</f>
        <v>0.004</v>
      </c>
      <c r="C146" s="254" t="s">
        <v>359</v>
      </c>
      <c r="D146" s="254" t="s">
        <v>360</v>
      </c>
      <c r="E146" s="254"/>
      <c r="F146" s="254"/>
      <c r="G146" s="254"/>
      <c r="H146" s="255"/>
    </row>
    <row r="147" customFormat="false" ht="12.75" hidden="false" customHeight="false" outlineLevel="0" collapsed="false">
      <c r="A147" s="252" t="s">
        <v>361</v>
      </c>
      <c r="B147" s="257" t="n">
        <v>20</v>
      </c>
      <c r="C147" s="270" t="s">
        <v>111</v>
      </c>
      <c r="D147" s="254" t="s">
        <v>362</v>
      </c>
      <c r="E147" s="254"/>
      <c r="F147" s="254"/>
      <c r="G147" s="254"/>
      <c r="H147" s="255"/>
    </row>
    <row r="148" customFormat="false" ht="12.75" hidden="false" customHeight="false" outlineLevel="0" collapsed="false">
      <c r="A148" s="252" t="s">
        <v>274</v>
      </c>
      <c r="B148" s="253" t="n">
        <f aca="false">RCinEsr</f>
        <v>0.001</v>
      </c>
      <c r="C148" s="259" t="s">
        <v>204</v>
      </c>
      <c r="D148" s="254" t="s">
        <v>363</v>
      </c>
      <c r="E148" s="254"/>
      <c r="F148" s="254"/>
      <c r="G148" s="254"/>
      <c r="H148" s="255"/>
    </row>
    <row r="149" customFormat="false" ht="12.75" hidden="false" customHeight="false" outlineLevel="0" collapsed="false">
      <c r="A149" s="267" t="s">
        <v>364</v>
      </c>
      <c r="B149" s="254"/>
      <c r="C149" s="254"/>
      <c r="D149" s="254"/>
      <c r="E149" s="254"/>
      <c r="F149" s="254"/>
      <c r="G149" s="254"/>
      <c r="H149" s="255"/>
    </row>
    <row r="150" customFormat="false" ht="12.75" hidden="false" customHeight="false" outlineLevel="0" collapsed="false">
      <c r="A150" s="252" t="s">
        <v>365</v>
      </c>
      <c r="B150" s="257" t="n">
        <f aca="false">IF(Vin&gt;4.5,4.5,Vin)</f>
        <v>4.5</v>
      </c>
      <c r="C150" s="254"/>
      <c r="D150" s="254"/>
      <c r="E150" s="254"/>
      <c r="F150" s="254"/>
      <c r="G150" s="254"/>
      <c r="H150" s="255"/>
    </row>
    <row r="151" customFormat="false" ht="12.75" hidden="false" customHeight="false" outlineLevel="0" collapsed="false">
      <c r="A151" s="269" t="s">
        <v>366</v>
      </c>
      <c r="B151" s="254"/>
      <c r="C151" s="254"/>
      <c r="D151" s="254"/>
      <c r="E151" s="254"/>
      <c r="F151" s="254"/>
      <c r="G151" s="254"/>
      <c r="H151" s="255"/>
    </row>
    <row r="152" customFormat="false" ht="12.75" hidden="false" customHeight="false" outlineLevel="0" collapsed="false">
      <c r="A152" s="252" t="s">
        <v>367</v>
      </c>
      <c r="B152" s="257" t="n">
        <v>1.5</v>
      </c>
      <c r="C152" s="259" t="s">
        <v>204</v>
      </c>
      <c r="D152" s="254" t="s">
        <v>368</v>
      </c>
      <c r="E152" s="254"/>
      <c r="F152" s="254"/>
      <c r="G152" s="254"/>
      <c r="H152" s="255"/>
    </row>
    <row r="153" customFormat="false" ht="12.75" hidden="false" customHeight="false" outlineLevel="0" collapsed="false">
      <c r="A153" s="252" t="s">
        <v>369</v>
      </c>
      <c r="B153" s="257" t="n">
        <v>1</v>
      </c>
      <c r="C153" s="259" t="s">
        <v>204</v>
      </c>
      <c r="D153" s="254" t="s">
        <v>370</v>
      </c>
      <c r="E153" s="254"/>
      <c r="F153" s="254"/>
      <c r="G153" s="254"/>
      <c r="H153" s="255"/>
    </row>
    <row r="154" customFormat="false" ht="12.75" hidden="false" customHeight="false" outlineLevel="0" collapsed="false">
      <c r="A154" s="269" t="s">
        <v>371</v>
      </c>
      <c r="B154" s="254"/>
      <c r="C154" s="254"/>
      <c r="D154" s="254"/>
      <c r="E154" s="254"/>
      <c r="F154" s="254"/>
      <c r="G154" s="254"/>
      <c r="H154" s="255"/>
    </row>
    <row r="155" customFormat="false" ht="12.75" hidden="false" customHeight="false" outlineLevel="0" collapsed="false">
      <c r="A155" s="252" t="s">
        <v>372</v>
      </c>
      <c r="B155" s="325" t="n">
        <v>1.5</v>
      </c>
      <c r="C155" s="259" t="s">
        <v>204</v>
      </c>
      <c r="D155" s="254" t="s">
        <v>368</v>
      </c>
      <c r="E155" s="254"/>
      <c r="F155" s="254"/>
      <c r="G155" s="254"/>
      <c r="H155" s="255"/>
    </row>
    <row r="156" customFormat="false" ht="12.75" hidden="false" customHeight="false" outlineLevel="0" collapsed="false">
      <c r="A156" s="252" t="s">
        <v>373</v>
      </c>
      <c r="B156" s="257" t="n">
        <v>0.9</v>
      </c>
      <c r="C156" s="259" t="s">
        <v>204</v>
      </c>
      <c r="D156" s="254" t="s">
        <v>370</v>
      </c>
      <c r="E156" s="254"/>
      <c r="F156" s="254"/>
      <c r="G156" s="254"/>
      <c r="H156" s="255"/>
    </row>
    <row r="157" customFormat="false" ht="12.75" hidden="false" customHeight="false" outlineLevel="0" collapsed="false">
      <c r="A157" s="269" t="s">
        <v>374</v>
      </c>
      <c r="B157" s="254"/>
      <c r="C157" s="254"/>
      <c r="D157" s="254" t="s">
        <v>375</v>
      </c>
      <c r="E157" s="254"/>
      <c r="F157" s="254"/>
      <c r="G157" s="254"/>
      <c r="H157" s="255"/>
    </row>
    <row r="158" customFormat="false" ht="12.75" hidden="false" customHeight="false" outlineLevel="0" collapsed="false">
      <c r="A158" s="252" t="s">
        <v>374</v>
      </c>
      <c r="B158" s="277" t="n">
        <v>2E-008</v>
      </c>
      <c r="C158" s="254" t="s">
        <v>231</v>
      </c>
      <c r="D158" s="254" t="s">
        <v>376</v>
      </c>
      <c r="E158" s="254"/>
      <c r="F158" s="254"/>
      <c r="G158" s="254"/>
      <c r="H158" s="255"/>
    </row>
    <row r="159" customFormat="false" ht="12.75" hidden="false" customHeight="false" outlineLevel="0" collapsed="false">
      <c r="A159" s="269" t="s">
        <v>377</v>
      </c>
      <c r="B159" s="254"/>
      <c r="C159" s="254"/>
      <c r="D159" s="254"/>
      <c r="E159" s="254"/>
      <c r="F159" s="254"/>
      <c r="G159" s="254"/>
      <c r="H159" s="255"/>
    </row>
    <row r="160" customFormat="false" ht="12.75" hidden="false" customHeight="false" outlineLevel="0" collapsed="false">
      <c r="A160" s="252" t="s">
        <v>378</v>
      </c>
      <c r="B160" s="257" t="n">
        <v>0.003</v>
      </c>
      <c r="C160" s="254" t="s">
        <v>12</v>
      </c>
      <c r="D160" s="254" t="s">
        <v>379</v>
      </c>
      <c r="E160" s="254"/>
      <c r="F160" s="254"/>
      <c r="G160" s="254"/>
      <c r="H160" s="255"/>
    </row>
    <row r="161" customFormat="false" ht="12.75" hidden="false" customHeight="false" outlineLevel="0" collapsed="false">
      <c r="A161" s="269" t="s">
        <v>380</v>
      </c>
      <c r="B161" s="254"/>
      <c r="C161" s="254"/>
      <c r="D161" s="254"/>
      <c r="E161" s="254"/>
      <c r="F161" s="254"/>
      <c r="G161" s="254"/>
      <c r="H161" s="255"/>
    </row>
    <row r="162" customFormat="false" ht="12.75" hidden="false" customHeight="false" outlineLevel="0" collapsed="false">
      <c r="A162" s="252" t="s">
        <v>381</v>
      </c>
      <c r="B162" s="253" t="n">
        <f aca="false">'Design Regulator'!E82/1000</f>
        <v>0.005</v>
      </c>
      <c r="C162" s="259" t="s">
        <v>204</v>
      </c>
      <c r="D162" s="254" t="s">
        <v>382</v>
      </c>
      <c r="E162" s="254"/>
      <c r="F162" s="254"/>
      <c r="G162" s="254"/>
      <c r="H162" s="255"/>
    </row>
    <row r="163" customFormat="false" ht="12.75" hidden="false" customHeight="false" outlineLevel="0" collapsed="false">
      <c r="A163" s="252" t="s">
        <v>383</v>
      </c>
      <c r="B163" s="257" t="n">
        <f aca="false">4000/1000000</f>
        <v>0.004</v>
      </c>
      <c r="C163" s="254" t="s">
        <v>359</v>
      </c>
      <c r="D163" s="254" t="s">
        <v>384</v>
      </c>
      <c r="E163" s="254"/>
      <c r="F163" s="254"/>
      <c r="G163" s="254"/>
      <c r="H163" s="255"/>
    </row>
    <row r="164" customFormat="false" ht="12.75" hidden="false" customHeight="false" outlineLevel="0" collapsed="false">
      <c r="A164" s="252" t="s">
        <v>385</v>
      </c>
      <c r="B164" s="326" t="n">
        <f aca="false">'Design Regulator'!E83/1000000000</f>
        <v>8.4E-009</v>
      </c>
      <c r="C164" s="254" t="s">
        <v>386</v>
      </c>
      <c r="D164" s="254" t="s">
        <v>387</v>
      </c>
      <c r="E164" s="254"/>
      <c r="F164" s="254"/>
      <c r="G164" s="254"/>
      <c r="H164" s="255"/>
    </row>
    <row r="165" customFormat="false" ht="12.75" hidden="false" customHeight="false" outlineLevel="0" collapsed="false">
      <c r="A165" s="252" t="s">
        <v>388</v>
      </c>
      <c r="B165" s="326" t="n">
        <f aca="false">'Design Regulator'!E84/1000000000</f>
        <v>1.6E-009</v>
      </c>
      <c r="C165" s="254" t="s">
        <v>386</v>
      </c>
      <c r="D165" s="254" t="s">
        <v>389</v>
      </c>
      <c r="E165" s="254"/>
      <c r="F165" s="254"/>
      <c r="G165" s="254"/>
      <c r="H165" s="255"/>
    </row>
    <row r="166" customFormat="false" ht="12.75" hidden="false" customHeight="false" outlineLevel="0" collapsed="false">
      <c r="A166" s="252" t="s">
        <v>390</v>
      </c>
      <c r="B166" s="326" t="n">
        <f aca="false">'Design Regulator'!E85/1000000000</f>
        <v>2.6E-009</v>
      </c>
      <c r="C166" s="254" t="s">
        <v>386</v>
      </c>
      <c r="D166" s="254"/>
      <c r="E166" s="254"/>
      <c r="F166" s="254"/>
      <c r="G166" s="254"/>
      <c r="H166" s="255"/>
    </row>
    <row r="167" customFormat="false" ht="12.75" hidden="false" customHeight="false" outlineLevel="0" collapsed="false">
      <c r="A167" s="252" t="s">
        <v>391</v>
      </c>
      <c r="B167" s="253" t="n">
        <f aca="false">'Design Regulator'!E86</f>
        <v>1.3</v>
      </c>
      <c r="C167" s="259" t="s">
        <v>204</v>
      </c>
      <c r="D167" s="254" t="s">
        <v>392</v>
      </c>
      <c r="E167" s="254"/>
      <c r="F167" s="254"/>
      <c r="G167" s="254"/>
      <c r="H167" s="255"/>
    </row>
    <row r="168" customFormat="false" ht="12.75" hidden="false" customHeight="false" outlineLevel="0" collapsed="false">
      <c r="A168" s="252" t="s">
        <v>393</v>
      </c>
      <c r="B168" s="253" t="n">
        <f aca="false">'Design Regulator'!E87</f>
        <v>97</v>
      </c>
      <c r="C168" s="254" t="s">
        <v>107</v>
      </c>
      <c r="D168" s="254" t="s">
        <v>394</v>
      </c>
      <c r="E168" s="254"/>
      <c r="F168" s="254"/>
      <c r="G168" s="254"/>
      <c r="H168" s="255"/>
    </row>
    <row r="169" customFormat="false" ht="12.75" hidden="false" customHeight="false" outlineLevel="0" collapsed="false">
      <c r="A169" s="252" t="s">
        <v>395</v>
      </c>
      <c r="B169" s="253" t="n">
        <f aca="false">'Design Regulator'!E88</f>
        <v>2.2</v>
      </c>
      <c r="C169" s="254" t="s">
        <v>9</v>
      </c>
      <c r="D169" s="254" t="s">
        <v>396</v>
      </c>
      <c r="E169" s="254"/>
      <c r="F169" s="254"/>
      <c r="G169" s="254"/>
      <c r="H169" s="255"/>
    </row>
    <row r="170" customFormat="false" ht="12.75" hidden="false" customHeight="false" outlineLevel="0" collapsed="false">
      <c r="A170" s="252" t="s">
        <v>397</v>
      </c>
      <c r="B170" s="258" t="n">
        <f aca="false">VthTop+Iout/GmTop</f>
        <v>2.22061855670103</v>
      </c>
      <c r="C170" s="254" t="s">
        <v>9</v>
      </c>
      <c r="D170" s="254" t="s">
        <v>398</v>
      </c>
      <c r="E170" s="254"/>
      <c r="F170" s="254"/>
      <c r="G170" s="254"/>
      <c r="H170" s="255"/>
    </row>
    <row r="171" customFormat="false" ht="12.75" hidden="false" customHeight="false" outlineLevel="0" collapsed="false">
      <c r="A171" s="252" t="s">
        <v>399</v>
      </c>
      <c r="B171" s="253" t="n">
        <f aca="false">'Design Regulator'!E89</f>
        <v>0.85</v>
      </c>
      <c r="C171" s="254" t="s">
        <v>9</v>
      </c>
      <c r="D171" s="254" t="s">
        <v>400</v>
      </c>
      <c r="E171" s="254"/>
      <c r="F171" s="254"/>
      <c r="G171" s="254"/>
      <c r="H171" s="255"/>
    </row>
    <row r="172" customFormat="false" ht="12.75" hidden="false" customHeight="false" outlineLevel="0" collapsed="false">
      <c r="A172" s="252" t="s">
        <v>401</v>
      </c>
      <c r="B172" s="253" t="n">
        <f aca="false">'Design Regulator'!E90</f>
        <v>50</v>
      </c>
      <c r="C172" s="254" t="s">
        <v>111</v>
      </c>
      <c r="D172" s="254" t="s">
        <v>402</v>
      </c>
      <c r="E172" s="254"/>
      <c r="F172" s="254"/>
      <c r="G172" s="254"/>
      <c r="H172" s="255"/>
    </row>
    <row r="173" customFormat="false" ht="12.75" hidden="false" customHeight="false" outlineLevel="0" collapsed="false">
      <c r="A173" s="269" t="s">
        <v>403</v>
      </c>
      <c r="B173" s="254"/>
      <c r="C173" s="254"/>
      <c r="D173" s="254"/>
      <c r="E173" s="254"/>
      <c r="F173" s="254"/>
      <c r="G173" s="254"/>
      <c r="H173" s="255"/>
    </row>
    <row r="174" customFormat="false" ht="12.75" hidden="false" customHeight="false" outlineLevel="0" collapsed="false">
      <c r="A174" s="252" t="s">
        <v>404</v>
      </c>
      <c r="B174" s="253" t="n">
        <f aca="false">'Design Regulator'!E93/1000</f>
        <v>0.0012</v>
      </c>
      <c r="C174" s="259" t="s">
        <v>204</v>
      </c>
      <c r="D174" s="254" t="s">
        <v>405</v>
      </c>
      <c r="E174" s="254"/>
      <c r="F174" s="254"/>
      <c r="G174" s="254"/>
      <c r="H174" s="255"/>
    </row>
    <row r="175" customFormat="false" ht="12.75" hidden="false" customHeight="false" outlineLevel="0" collapsed="false">
      <c r="A175" s="252" t="s">
        <v>406</v>
      </c>
      <c r="B175" s="253" t="n">
        <f aca="false">4000/1000000</f>
        <v>0.004</v>
      </c>
      <c r="C175" s="254" t="s">
        <v>359</v>
      </c>
      <c r="D175" s="254" t="s">
        <v>407</v>
      </c>
      <c r="E175" s="254"/>
      <c r="F175" s="254"/>
      <c r="G175" s="254"/>
      <c r="H175" s="255"/>
    </row>
    <row r="176" customFormat="false" ht="12.75" hidden="false" customHeight="false" outlineLevel="0" collapsed="false">
      <c r="A176" s="252" t="s">
        <v>408</v>
      </c>
      <c r="B176" s="326" t="n">
        <f aca="false">'Design Regulator'!E94/1000000000</f>
        <v>2E-008</v>
      </c>
      <c r="C176" s="254" t="s">
        <v>386</v>
      </c>
      <c r="D176" s="254" t="s">
        <v>387</v>
      </c>
      <c r="E176" s="254"/>
      <c r="F176" s="254"/>
      <c r="G176" s="254"/>
      <c r="H176" s="255"/>
      <c r="J176" s="0" t="n">
        <f aca="false">RGateTop</f>
        <v>1.3</v>
      </c>
    </row>
    <row r="177" customFormat="false" ht="12.75" hidden="false" customHeight="false" outlineLevel="0" collapsed="false">
      <c r="A177" s="252" t="s">
        <v>409</v>
      </c>
      <c r="B177" s="253" t="n">
        <v>1</v>
      </c>
      <c r="C177" s="259" t="s">
        <v>204</v>
      </c>
      <c r="D177" s="254" t="s">
        <v>392</v>
      </c>
      <c r="E177" s="254"/>
      <c r="F177" s="254"/>
      <c r="G177" s="254"/>
      <c r="H177" s="255"/>
    </row>
    <row r="178" customFormat="false" ht="12.75" hidden="false" customHeight="false" outlineLevel="0" collapsed="false">
      <c r="A178" s="252" t="s">
        <v>410</v>
      </c>
      <c r="B178" s="253" t="n">
        <f aca="false">'Design Regulator'!E95</f>
        <v>0.77</v>
      </c>
      <c r="C178" s="254" t="s">
        <v>9</v>
      </c>
      <c r="D178" s="254" t="s">
        <v>411</v>
      </c>
      <c r="E178" s="254"/>
      <c r="F178" s="254"/>
      <c r="G178" s="254"/>
      <c r="H178" s="255"/>
    </row>
    <row r="179" customFormat="false" ht="12.75" hidden="false" customHeight="false" outlineLevel="0" collapsed="false">
      <c r="A179" s="252" t="s">
        <v>412</v>
      </c>
      <c r="B179" s="326" t="n">
        <f aca="false">'Design Regulator'!E96/1000000000</f>
        <v>3.2E-008</v>
      </c>
      <c r="C179" s="254" t="s">
        <v>386</v>
      </c>
      <c r="D179" s="254" t="s">
        <v>413</v>
      </c>
      <c r="E179" s="254"/>
      <c r="F179" s="254"/>
      <c r="G179" s="254"/>
      <c r="H179" s="255"/>
    </row>
    <row r="180" customFormat="false" ht="12.75" hidden="false" customHeight="false" outlineLevel="0" collapsed="false">
      <c r="A180" s="252" t="s">
        <v>414</v>
      </c>
      <c r="B180" s="326" t="n">
        <v>4E-008</v>
      </c>
      <c r="C180" s="254" t="s">
        <v>231</v>
      </c>
      <c r="D180" s="254" t="s">
        <v>415</v>
      </c>
      <c r="E180" s="254"/>
      <c r="F180" s="254"/>
      <c r="G180" s="254"/>
      <c r="H180" s="255"/>
    </row>
    <row r="181" customFormat="false" ht="12.75" hidden="false" customHeight="false" outlineLevel="0" collapsed="false">
      <c r="A181" s="252" t="s">
        <v>416</v>
      </c>
      <c r="B181" s="253" t="n">
        <f aca="false">'Design Regulator'!E97</f>
        <v>50</v>
      </c>
      <c r="C181" s="254" t="s">
        <v>111</v>
      </c>
      <c r="D181" s="254" t="s">
        <v>402</v>
      </c>
      <c r="E181" s="254"/>
      <c r="F181" s="254"/>
      <c r="G181" s="254"/>
      <c r="H181" s="255"/>
    </row>
    <row r="182" customFormat="false" ht="12.75" hidden="false" customHeight="false" outlineLevel="0" collapsed="false">
      <c r="A182" s="269" t="s">
        <v>417</v>
      </c>
      <c r="B182" s="253"/>
      <c r="C182" s="254"/>
      <c r="D182" s="254"/>
      <c r="E182" s="254"/>
      <c r="F182" s="254"/>
      <c r="G182" s="254"/>
      <c r="H182" s="255"/>
    </row>
    <row r="183" customFormat="false" ht="12.75" hidden="false" customHeight="false" outlineLevel="0" collapsed="false">
      <c r="A183" s="252" t="s">
        <v>418</v>
      </c>
      <c r="B183" s="253" t="n">
        <f aca="false">'Design Regulator'!E99</f>
        <v>0</v>
      </c>
      <c r="C183" s="254" t="s">
        <v>9</v>
      </c>
      <c r="D183" s="270" t="s">
        <v>419</v>
      </c>
      <c r="E183" s="254"/>
      <c r="F183" s="254"/>
      <c r="G183" s="254"/>
      <c r="H183" s="255"/>
    </row>
    <row r="184" customFormat="false" ht="12.75" hidden="false" customHeight="false" outlineLevel="0" collapsed="false">
      <c r="A184" s="252" t="s">
        <v>420</v>
      </c>
      <c r="B184" s="253" t="n">
        <f aca="false">'Design Regulator'!E100/1000000000</f>
        <v>0</v>
      </c>
      <c r="C184" s="254" t="s">
        <v>386</v>
      </c>
      <c r="D184" s="270" t="s">
        <v>421</v>
      </c>
      <c r="E184" s="254"/>
      <c r="F184" s="254"/>
      <c r="G184" s="254"/>
      <c r="H184" s="255"/>
    </row>
    <row r="185" customFormat="false" ht="12.75" hidden="false" customHeight="false" outlineLevel="0" collapsed="false">
      <c r="A185" s="252" t="s">
        <v>422</v>
      </c>
      <c r="B185" s="253" t="n">
        <v>0</v>
      </c>
      <c r="C185" s="254" t="s">
        <v>12</v>
      </c>
      <c r="D185" s="270" t="s">
        <v>423</v>
      </c>
      <c r="E185" s="254"/>
      <c r="F185" s="254"/>
      <c r="G185" s="254"/>
      <c r="H185" s="255"/>
    </row>
    <row r="186" customFormat="false" ht="12.75" hidden="false" customHeight="false" outlineLevel="0" collapsed="false">
      <c r="A186" s="269" t="s">
        <v>424</v>
      </c>
      <c r="B186" s="254"/>
      <c r="C186" s="254"/>
      <c r="D186" s="254"/>
      <c r="E186" s="254"/>
      <c r="F186" s="254"/>
      <c r="G186" s="254"/>
      <c r="H186" s="255"/>
    </row>
    <row r="187" customFormat="false" ht="12.75" hidden="false" customHeight="false" outlineLevel="0" collapsed="false">
      <c r="A187" s="252" t="s">
        <v>425</v>
      </c>
      <c r="B187" s="253" t="n">
        <v>30</v>
      </c>
      <c r="C187" s="254"/>
      <c r="D187" s="254"/>
      <c r="E187" s="254"/>
      <c r="F187" s="254"/>
      <c r="G187" s="254"/>
      <c r="H187" s="255"/>
    </row>
    <row r="188" customFormat="false" ht="12.75" hidden="false" customHeight="false" outlineLevel="0" collapsed="false">
      <c r="A188" s="269" t="s">
        <v>426</v>
      </c>
      <c r="B188" s="254"/>
      <c r="C188" s="254"/>
      <c r="D188" s="254"/>
      <c r="E188" s="254"/>
      <c r="F188" s="254"/>
      <c r="G188" s="254"/>
      <c r="H188" s="255"/>
    </row>
    <row r="189" customFormat="false" ht="12.75" hidden="false" customHeight="false" outlineLevel="0" collapsed="false">
      <c r="A189" s="252" t="s">
        <v>380</v>
      </c>
      <c r="B189" s="254"/>
      <c r="C189" s="254"/>
      <c r="D189" s="254"/>
      <c r="E189" s="254"/>
      <c r="F189" s="254"/>
      <c r="G189" s="254"/>
      <c r="H189" s="255"/>
    </row>
    <row r="190" customFormat="false" ht="12.75" hidden="false" customHeight="false" outlineLevel="0" collapsed="false">
      <c r="A190" s="252" t="s">
        <v>427</v>
      </c>
      <c r="B190" s="258" t="n">
        <f aca="false">(QgdTop+QgsTop/2)*(RdsonDRT+RGateTop)/(Vdd-VspTop)</f>
        <v>3.56236996834012E-009</v>
      </c>
      <c r="C190" s="254" t="s">
        <v>231</v>
      </c>
      <c r="D190" s="254"/>
      <c r="E190" s="254"/>
      <c r="F190" s="254"/>
      <c r="G190" s="254"/>
      <c r="H190" s="255"/>
    </row>
    <row r="191" customFormat="false" ht="12.75" hidden="false" customHeight="false" outlineLevel="0" collapsed="false">
      <c r="A191" s="252" t="s">
        <v>428</v>
      </c>
      <c r="B191" s="258" t="n">
        <f aca="false">(QgdTop+QgsTop/2)*(RdsonDRT+RGateTop)/(VspTop)</f>
        <v>3.65663881151346E-009</v>
      </c>
      <c r="C191" s="254" t="s">
        <v>231</v>
      </c>
      <c r="D191" s="254"/>
      <c r="E191" s="254"/>
      <c r="F191" s="254"/>
      <c r="G191" s="254"/>
      <c r="H191" s="255"/>
    </row>
    <row r="192" customFormat="false" ht="12.75" hidden="false" customHeight="false" outlineLevel="0" collapsed="false">
      <c r="A192" s="252"/>
      <c r="B192" s="254"/>
      <c r="C192" s="254"/>
      <c r="D192" s="254"/>
      <c r="E192" s="254"/>
      <c r="F192" s="254"/>
      <c r="G192" s="254"/>
      <c r="H192" s="255"/>
    </row>
    <row r="193" customFormat="false" ht="12.75" hidden="false" customHeight="false" outlineLevel="0" collapsed="false">
      <c r="A193" s="252"/>
      <c r="B193" s="254"/>
      <c r="C193" s="254"/>
      <c r="D193" s="254"/>
      <c r="E193" s="254"/>
      <c r="F193" s="254"/>
      <c r="G193" s="254"/>
      <c r="H193" s="255"/>
    </row>
    <row r="194" customFormat="false" ht="12.75" hidden="false" customHeight="false" outlineLevel="0" collapsed="false">
      <c r="A194" s="327" t="s">
        <v>429</v>
      </c>
      <c r="B194" s="328" t="s">
        <v>122</v>
      </c>
      <c r="C194" s="329" t="s">
        <v>430</v>
      </c>
      <c r="D194" s="254"/>
      <c r="E194" s="254"/>
      <c r="F194" s="254"/>
      <c r="G194" s="254"/>
      <c r="H194" s="255"/>
    </row>
    <row r="195" customFormat="false" ht="12.75" hidden="false" customHeight="false" outlineLevel="0" collapsed="false">
      <c r="A195" s="330" t="s">
        <v>431</v>
      </c>
      <c r="B195" s="331" t="n">
        <f aca="false">'Power Calculations'!AI9</f>
        <v>0.41184</v>
      </c>
      <c r="C195" s="270" t="s">
        <v>204</v>
      </c>
      <c r="D195" s="254"/>
      <c r="E195" s="254"/>
      <c r="F195" s="254"/>
      <c r="G195" s="254"/>
      <c r="H195" s="255"/>
    </row>
    <row r="196" customFormat="false" ht="12.75" hidden="false" customHeight="false" outlineLevel="0" collapsed="false">
      <c r="A196" s="330" t="s">
        <v>432</v>
      </c>
      <c r="B196" s="332" t="n">
        <f aca="false">B195*ThetaJaCtrl</f>
        <v>12.3552</v>
      </c>
      <c r="C196" s="270" t="s">
        <v>61</v>
      </c>
      <c r="D196" s="254"/>
      <c r="E196" s="254"/>
      <c r="F196" s="254"/>
      <c r="G196" s="254"/>
      <c r="H196" s="255"/>
    </row>
    <row r="197" customFormat="false" ht="12.75" hidden="false" customHeight="false" outlineLevel="0" collapsed="false">
      <c r="A197" s="330" t="s">
        <v>433</v>
      </c>
      <c r="B197" s="332" t="n">
        <f aca="false">(QgBot+QgTop)*Fsw+Iq</f>
        <v>0.02288</v>
      </c>
      <c r="C197" s="270" t="s">
        <v>12</v>
      </c>
      <c r="D197" s="254"/>
      <c r="E197" s="254"/>
      <c r="F197" s="254"/>
      <c r="G197" s="254"/>
      <c r="H197" s="255"/>
    </row>
    <row r="198" customFormat="false" ht="12.75" hidden="false" customHeight="false" outlineLevel="0" collapsed="false">
      <c r="A198" s="330" t="s">
        <v>434</v>
      </c>
      <c r="B198" s="270" t="n">
        <f aca="false">QrrBot*Fsw</f>
        <v>0.0224</v>
      </c>
      <c r="C198" s="270" t="s">
        <v>12</v>
      </c>
      <c r="D198" s="254"/>
      <c r="E198" s="254"/>
      <c r="F198" s="254"/>
      <c r="G198" s="254"/>
      <c r="H198" s="255"/>
    </row>
    <row r="199" customFormat="false" ht="12.75" hidden="false" customHeight="false" outlineLevel="0" collapsed="false">
      <c r="A199" s="330" t="s">
        <v>435</v>
      </c>
      <c r="B199" s="270" t="n">
        <f aca="false">C199/Vin</f>
        <v>0.000418216580333919</v>
      </c>
      <c r="C199" s="270" t="n">
        <f aca="false">Deadtime*Fsw*(Ipp/2)*(VsdTop+VsdBot)</f>
        <v>0.00752789844601054</v>
      </c>
      <c r="D199" s="254"/>
      <c r="E199" s="254"/>
      <c r="F199" s="254"/>
      <c r="G199" s="254"/>
      <c r="H199" s="255"/>
    </row>
    <row r="200" customFormat="false" ht="12.75" hidden="false" customHeight="false" outlineLevel="0" collapsed="false">
      <c r="A200" s="330" t="s">
        <v>436</v>
      </c>
      <c r="B200" s="270" t="n">
        <f aca="false">SUM(B197:B199)</f>
        <v>0.0456982165803339</v>
      </c>
      <c r="C200" s="270" t="s">
        <v>12</v>
      </c>
      <c r="D200" s="254"/>
      <c r="E200" s="254"/>
      <c r="F200" s="254"/>
      <c r="G200" s="254"/>
      <c r="H200" s="255"/>
    </row>
    <row r="201" customFormat="false" ht="12.75" hidden="false" customHeight="false" outlineLevel="0" collapsed="false">
      <c r="A201" s="252"/>
      <c r="B201" s="254"/>
      <c r="C201" s="254"/>
      <c r="D201" s="254"/>
      <c r="E201" s="254"/>
      <c r="F201" s="254"/>
      <c r="G201" s="254"/>
      <c r="H201" s="255"/>
    </row>
    <row r="202" customFormat="false" ht="12.75" hidden="false" customHeight="false" outlineLevel="0" collapsed="false">
      <c r="A202" s="252"/>
      <c r="B202" s="254"/>
      <c r="C202" s="254"/>
      <c r="D202" s="254"/>
      <c r="E202" s="254"/>
      <c r="F202" s="254"/>
      <c r="G202" s="254"/>
      <c r="H202" s="255"/>
    </row>
    <row r="203" customFormat="false" ht="12.75" hidden="false" customHeight="false" outlineLevel="0" collapsed="false">
      <c r="A203" s="252"/>
      <c r="B203" s="254"/>
      <c r="C203" s="254"/>
      <c r="D203" s="254"/>
      <c r="E203" s="254"/>
      <c r="F203" s="254"/>
      <c r="G203" s="254"/>
      <c r="H203" s="255"/>
    </row>
    <row r="204" customFormat="false" ht="12.75" hidden="false" customHeight="false" outlineLevel="0" collapsed="false">
      <c r="A204" s="252"/>
      <c r="B204" s="254"/>
      <c r="C204" s="254"/>
      <c r="D204" s="254"/>
      <c r="E204" s="254"/>
      <c r="F204" s="254"/>
      <c r="G204" s="254"/>
      <c r="H204" s="255"/>
    </row>
    <row r="205" customFormat="false" ht="12.75" hidden="false" customHeight="false" outlineLevel="0" collapsed="false">
      <c r="A205" s="252"/>
      <c r="B205" s="254"/>
      <c r="C205" s="254"/>
      <c r="D205" s="254"/>
      <c r="E205" s="254"/>
      <c r="F205" s="254"/>
      <c r="G205" s="254"/>
      <c r="H205" s="255"/>
    </row>
    <row r="206" customFormat="false" ht="12.75" hidden="false" customHeight="false" outlineLevel="0" collapsed="false">
      <c r="A206" s="269" t="s">
        <v>437</v>
      </c>
      <c r="B206" s="254"/>
      <c r="C206" s="254"/>
      <c r="D206" s="254"/>
      <c r="E206" s="254"/>
      <c r="F206" s="254"/>
      <c r="G206" s="254"/>
      <c r="H206" s="255"/>
    </row>
    <row r="207" customFormat="false" ht="12.75" hidden="false" customHeight="false" outlineLevel="0" collapsed="false">
      <c r="A207" s="252" t="s">
        <v>438</v>
      </c>
      <c r="B207" s="254"/>
      <c r="C207" s="254"/>
      <c r="D207" s="254"/>
      <c r="E207" s="254"/>
      <c r="F207" s="254"/>
      <c r="G207" s="254"/>
      <c r="H207" s="255"/>
    </row>
    <row r="208" customFormat="false" ht="13.5" hidden="false" customHeight="false" outlineLevel="0" collapsed="false">
      <c r="A208" s="261" t="s">
        <v>431</v>
      </c>
      <c r="B208" s="263"/>
      <c r="C208" s="263"/>
      <c r="D208" s="263"/>
      <c r="E208" s="263"/>
      <c r="F208" s="263"/>
      <c r="G208" s="263"/>
      <c r="H208" s="264"/>
    </row>
    <row r="209" customFormat="false" ht="12.75" hidden="false" customHeight="false" outlineLevel="0" collapsed="false">
      <c r="A209" s="322"/>
      <c r="B209" s="322"/>
    </row>
    <row r="210" customFormat="false" ht="21.75" hidden="false" customHeight="true" outlineLevel="0" collapsed="false">
      <c r="A210" s="246" t="s">
        <v>439</v>
      </c>
      <c r="B210" s="254"/>
      <c r="C210" s="254"/>
      <c r="D210" s="254"/>
      <c r="E210" s="254"/>
      <c r="F210" s="254"/>
      <c r="G210" s="254"/>
      <c r="H210" s="254"/>
    </row>
    <row r="211" customFormat="false" ht="12.75" hidden="false" customHeight="false" outlineLevel="0" collapsed="false">
      <c r="A211" s="248" t="str">
        <f aca="false">"RC1 = "&amp;'Design Regulator'!D71&amp;"kΩ"</f>
        <v>RC1 = 3.24kΩ</v>
      </c>
      <c r="B211" s="250" t="str">
        <f aca="false">'Design Regulator'!D71&amp;"kΩ"</f>
        <v>3.24kΩ</v>
      </c>
      <c r="C211" s="250"/>
      <c r="D211" s="333"/>
      <c r="E211" s="333"/>
      <c r="F211" s="333"/>
      <c r="G211" s="333"/>
      <c r="H211" s="251"/>
    </row>
    <row r="212" customFormat="false" ht="12.75" hidden="false" customHeight="false" outlineLevel="0" collapsed="false">
      <c r="A212" s="252" t="str">
        <f aca="false">"LOUT = "&amp;'Design Regulator'!E15&amp;"uH"</f>
        <v>LOUT = 6.8uH</v>
      </c>
      <c r="B212" s="254" t="str">
        <f aca="false">'Design Regulator'!E15&amp;"µH"</f>
        <v>6.8µH</v>
      </c>
      <c r="C212" s="254"/>
      <c r="D212" s="254"/>
      <c r="E212" s="254"/>
      <c r="F212" s="254"/>
      <c r="G212" s="254"/>
      <c r="H212" s="255"/>
    </row>
    <row r="213" customFormat="false" ht="12.75" hidden="false" customHeight="false" outlineLevel="0" collapsed="false">
      <c r="A213" s="252" t="str">
        <f aca="false">"Rdcr = "&amp;'Design Regulator'!E16&amp;"mΩ"</f>
        <v>Rdcr = 23mΩ</v>
      </c>
      <c r="B213" s="254" t="str">
        <f aca="false">'Design Regulator'!E16&amp;"mΩ"</f>
        <v>23mΩ</v>
      </c>
      <c r="C213" s="254"/>
      <c r="D213" s="254"/>
      <c r="E213" s="254"/>
      <c r="F213" s="254"/>
      <c r="G213" s="254"/>
      <c r="H213" s="255"/>
    </row>
    <row r="214" customFormat="false" ht="12.75" hidden="false" customHeight="false" outlineLevel="0" collapsed="false">
      <c r="A214" s="252" t="str">
        <f aca="false">"VOUT = "&amp;'Design Regulator'!E7&amp;"V"</f>
        <v>VOUT = 6V</v>
      </c>
      <c r="B214" s="254" t="str">
        <f aca="false">'Design Regulator'!E7&amp;"V"</f>
        <v>6V</v>
      </c>
      <c r="C214" s="254"/>
      <c r="D214" s="254"/>
      <c r="E214" s="254"/>
      <c r="F214" s="254"/>
      <c r="G214" s="254"/>
      <c r="H214" s="255"/>
    </row>
    <row r="215" customFormat="false" ht="12.75" hidden="false" customHeight="false" outlineLevel="0" collapsed="false">
      <c r="A215" s="252"/>
      <c r="B215" s="254"/>
      <c r="C215" s="254"/>
      <c r="D215" s="254"/>
      <c r="E215" s="254"/>
      <c r="F215" s="254"/>
      <c r="G215" s="254"/>
      <c r="H215" s="255"/>
    </row>
    <row r="216" customFormat="false" ht="12.75" hidden="false" customHeight="false" outlineLevel="0" collapsed="false">
      <c r="A216" s="252" t="str">
        <f aca="false">"COUT = "&amp;'Design Regulator'!$E$30&amp;"uF"</f>
        <v>COUT = 2uF</v>
      </c>
      <c r="B216" s="254" t="str">
        <f aca="false">'Design Regulator'!$E$30&amp;"µF"</f>
        <v>2µF</v>
      </c>
      <c r="C216" s="254"/>
      <c r="D216" s="254"/>
      <c r="E216" s="254"/>
      <c r="F216" s="254"/>
      <c r="G216" s="254"/>
      <c r="H216" s="255"/>
    </row>
    <row r="217" customFormat="false" ht="12.75" hidden="false" customHeight="false" outlineLevel="0" collapsed="false">
      <c r="A217" s="252" t="s">
        <v>440</v>
      </c>
      <c r="B217" s="254" t="str">
        <f aca="false">"100µF"</f>
        <v>100µF</v>
      </c>
      <c r="C217" s="254"/>
      <c r="D217" s="254"/>
      <c r="E217" s="254"/>
      <c r="F217" s="254"/>
      <c r="G217" s="254"/>
      <c r="H217" s="255"/>
    </row>
    <row r="218" customFormat="false" ht="12.75" hidden="false" customHeight="false" outlineLevel="0" collapsed="false">
      <c r="A218" s="252" t="s">
        <v>441</v>
      </c>
      <c r="B218" s="334" t="str">
        <f aca="false">ROUNDUP(Cout*1000000/100,0)&amp;" x"</f>
        <v>1 x</v>
      </c>
      <c r="C218" s="254"/>
      <c r="D218" s="254"/>
      <c r="E218" s="254"/>
      <c r="F218" s="254"/>
      <c r="G218" s="254"/>
      <c r="H218" s="255"/>
    </row>
    <row r="219" customFormat="false" ht="12.75" hidden="false" customHeight="false" outlineLevel="0" collapsed="false">
      <c r="A219" s="252"/>
      <c r="B219" s="254"/>
      <c r="C219" s="254"/>
      <c r="D219" s="254"/>
      <c r="E219" s="254"/>
      <c r="F219" s="254"/>
      <c r="G219" s="254"/>
      <c r="H219" s="255"/>
    </row>
    <row r="220" customFormat="false" ht="12.75" hidden="false" customHeight="false" outlineLevel="0" collapsed="false">
      <c r="A220" s="252" t="s">
        <v>442</v>
      </c>
      <c r="B220" s="254" t="str">
        <f aca="false">Cin*1000000&amp;"µF"</f>
        <v>10µF</v>
      </c>
      <c r="C220" s="254"/>
      <c r="D220" s="254"/>
      <c r="E220" s="254"/>
      <c r="F220" s="254"/>
      <c r="G220" s="254"/>
      <c r="H220" s="255"/>
    </row>
    <row r="221" customFormat="false" ht="12.75" hidden="false" customHeight="false" outlineLevel="0" collapsed="false">
      <c r="A221" s="252" t="s">
        <v>443</v>
      </c>
      <c r="B221" s="254" t="str">
        <f aca="false">"22µF"</f>
        <v>22µF</v>
      </c>
      <c r="C221" s="254"/>
      <c r="D221" s="254"/>
      <c r="E221" s="254"/>
      <c r="F221" s="254"/>
      <c r="G221" s="254"/>
      <c r="H221" s="255"/>
    </row>
    <row r="222" customFormat="false" ht="12.75" hidden="false" customHeight="false" outlineLevel="0" collapsed="false">
      <c r="A222" s="252" t="s">
        <v>444</v>
      </c>
      <c r="B222" s="334" t="str">
        <f aca="false">ROUNDUP(Cin*1000000/22,0)&amp;" x"</f>
        <v>1 x</v>
      </c>
      <c r="C222" s="254"/>
      <c r="D222" s="254"/>
      <c r="E222" s="254"/>
      <c r="F222" s="254"/>
      <c r="G222" s="254"/>
      <c r="H222" s="255"/>
    </row>
    <row r="223" customFormat="false" ht="12.75" hidden="false" customHeight="false" outlineLevel="0" collapsed="false">
      <c r="A223" s="252"/>
      <c r="B223" s="334"/>
      <c r="C223" s="254"/>
      <c r="D223" s="254"/>
      <c r="E223" s="254"/>
      <c r="F223" s="254"/>
      <c r="G223" s="254"/>
      <c r="H223" s="255"/>
    </row>
    <row r="224" customFormat="false" ht="12.75" hidden="false" customHeight="false" outlineLevel="0" collapsed="false">
      <c r="A224" s="252" t="str">
        <f aca="false">"RC1 = "&amp;Rcea1_u/1000&amp;"kΩ"</f>
        <v>RC1 = 3.24kΩ</v>
      </c>
      <c r="B224" s="254" t="str">
        <f aca="false">ROUND(Rcea1_u/1000,2)&amp;"kΩ"</f>
        <v>3.24kΩ</v>
      </c>
      <c r="C224" s="254"/>
      <c r="D224" s="254"/>
      <c r="E224" s="254"/>
      <c r="F224" s="254"/>
      <c r="G224" s="254"/>
      <c r="H224" s="255"/>
    </row>
    <row r="225" customFormat="false" ht="12.75" hidden="false" customHeight="false" outlineLevel="0" collapsed="false">
      <c r="A225" s="252" t="str">
        <f aca="false">"CC1 = "&amp;Cc1ea_u*10^12&amp;"pF"</f>
        <v>CC1 = 1200pF</v>
      </c>
      <c r="B225" s="254" t="str">
        <f aca="false">ROUND(Cc1ea_u*10^12,0)&amp;"pF"</f>
        <v>1200pF</v>
      </c>
      <c r="C225" s="254"/>
      <c r="D225" s="254"/>
      <c r="E225" s="254"/>
      <c r="F225" s="254"/>
      <c r="G225" s="254"/>
      <c r="H225" s="255"/>
    </row>
    <row r="226" customFormat="false" ht="12.75" hidden="false" customHeight="false" outlineLevel="0" collapsed="false">
      <c r="A226" s="252" t="str">
        <f aca="false">"CC2 = "&amp;Cc2ea_u*10^12&amp;"pF"</f>
        <v>CC2 = 150pF</v>
      </c>
      <c r="B226" s="254" t="str">
        <f aca="false">ROUND(Cc2ea_u*10^12,0)&amp;"pF"</f>
        <v>150pF</v>
      </c>
      <c r="C226" s="254"/>
      <c r="D226" s="254"/>
      <c r="E226" s="254"/>
      <c r="F226" s="254"/>
      <c r="G226" s="254"/>
      <c r="H226" s="255"/>
    </row>
    <row r="227" customFormat="false" ht="12.75" hidden="false" customHeight="false" outlineLevel="0" collapsed="false">
      <c r="A227" s="252" t="str">
        <f aca="false">"RC2 = "&amp;Rcea2_u&amp;"Ω"</f>
        <v>RC2 = 53.6Ω</v>
      </c>
      <c r="B227" s="254" t="str">
        <f aca="false">ROUND(Rcea2_u,2)&amp;"Ω"</f>
        <v>53.6Ω</v>
      </c>
      <c r="C227" s="254"/>
      <c r="D227" s="254"/>
      <c r="E227" s="254"/>
      <c r="F227" s="254"/>
      <c r="G227" s="254"/>
      <c r="H227" s="255"/>
    </row>
    <row r="228" customFormat="false" ht="12.75" hidden="false" customHeight="false" outlineLevel="0" collapsed="false">
      <c r="A228" s="252" t="str">
        <f aca="false">"CC3 = "&amp;Cc3ea_u*10^12&amp;"pF"</f>
        <v>CC3 = 220000pF</v>
      </c>
      <c r="B228" s="254" t="str">
        <f aca="false">ROUND(Cc3ea_u*10^12,0)&amp;"pF"</f>
        <v>220000pF</v>
      </c>
      <c r="C228" s="254"/>
      <c r="D228" s="254"/>
      <c r="E228" s="254"/>
      <c r="F228" s="254"/>
      <c r="G228" s="254"/>
      <c r="H228" s="255"/>
    </row>
    <row r="229" customFormat="false" ht="12.75" hidden="false" customHeight="false" outlineLevel="0" collapsed="false">
      <c r="A229" s="252" t="str">
        <f aca="false">"RFB1 = "&amp;'Design Regulator'!E61&amp;"kΩ"</f>
        <v>RFB1 = 20kΩ</v>
      </c>
      <c r="B229" s="254" t="str">
        <f aca="false">'Design Regulator'!E61&amp;"kΩ"</f>
        <v>20kΩ</v>
      </c>
      <c r="C229" s="254"/>
      <c r="D229" s="254"/>
      <c r="E229" s="254"/>
      <c r="F229" s="254"/>
      <c r="G229" s="254"/>
      <c r="H229" s="255"/>
    </row>
    <row r="230" customFormat="false" ht="12.75" hidden="false" customHeight="false" outlineLevel="0" collapsed="false">
      <c r="A230" s="252" t="str">
        <f aca="false">"RFB2 = "&amp;IF(Vout=Vref,"OPEN",'Design Regulator'!E62&amp;"kΩ")</f>
        <v>RFB2 = 2.21kΩ</v>
      </c>
      <c r="B230" s="254" t="str">
        <f aca="false">IF(Vout=Vref,"OPEN",Rfb2_u/1000&amp;"kΩ")</f>
        <v>2.21kΩ</v>
      </c>
      <c r="C230" s="254"/>
      <c r="D230" s="254"/>
      <c r="E230" s="254"/>
      <c r="F230" s="254"/>
      <c r="G230" s="254"/>
      <c r="H230" s="255"/>
    </row>
    <row r="231" customFormat="false" ht="12.75" hidden="false" customHeight="false" outlineLevel="0" collapsed="false">
      <c r="A231" s="252" t="str">
        <f aca="false">"Crossover Frequency = "&amp;ROUND('Bode Plots Calculations'!BK5,0)&amp;" kHz"</f>
        <v>Crossover Frequency = 415 kHz</v>
      </c>
      <c r="B231" s="254" t="str">
        <f aca="false">ROUND('Bode Plots Calculations'!BK5,0)&amp;" kHz"</f>
        <v>415 kHz</v>
      </c>
      <c r="C231" s="335" t="n">
        <f aca="false">'Bode Plots Calculations'!BK5</f>
        <v>415</v>
      </c>
      <c r="D231" s="254"/>
      <c r="E231" s="254"/>
      <c r="F231" s="254"/>
      <c r="G231" s="254"/>
      <c r="H231" s="255"/>
    </row>
    <row r="232" customFormat="false" ht="12.75" hidden="false" customHeight="false" outlineLevel="0" collapsed="false">
      <c r="A232" s="252" t="str">
        <f aca="false">"Phase Margin = "&amp;ROUND('Bode Plots Calculations'!BK6,0)&amp;"°"</f>
        <v>Phase Margin = -76°</v>
      </c>
      <c r="B232" s="334" t="str">
        <f aca="false">ROUND('Bode Plots Calculations'!BK6,0)&amp;"°"</f>
        <v>-76°</v>
      </c>
      <c r="C232" s="254"/>
      <c r="D232" s="259"/>
      <c r="E232" s="254"/>
      <c r="F232" s="254"/>
      <c r="G232" s="254"/>
      <c r="H232" s="255"/>
    </row>
    <row r="233" customFormat="false" ht="12.75" hidden="false" customHeight="false" outlineLevel="0" collapsed="false">
      <c r="A233" s="252" t="str">
        <f aca="false">"Cs = "&amp;Cs*1000000000&amp;"nF"</f>
        <v>Cs = 220nF</v>
      </c>
      <c r="B233" s="254" t="str">
        <f aca="false">Cs*1000000&amp;"µF"</f>
        <v>0.22µF</v>
      </c>
      <c r="C233" s="254"/>
      <c r="D233" s="254"/>
      <c r="E233" s="254"/>
      <c r="F233" s="254"/>
      <c r="G233" s="254"/>
      <c r="H233" s="255"/>
    </row>
    <row r="234" customFormat="false" ht="12.75" hidden="false" customHeight="false" outlineLevel="0" collapsed="false">
      <c r="A234" s="252" t="str">
        <f aca="false">"Rs = "&amp;Rs&amp;"Ω"</f>
        <v>Rs = 1470Ω</v>
      </c>
      <c r="B234" s="254" t="str">
        <f aca="false">'Standard Value Calculator'!S6/1000&amp;"kΩ"</f>
        <v>1.47kΩ</v>
      </c>
      <c r="C234" s="254"/>
      <c r="D234" s="254"/>
      <c r="E234" s="254"/>
      <c r="F234" s="254"/>
      <c r="G234" s="254"/>
      <c r="H234" s="255"/>
    </row>
    <row r="235" customFormat="false" ht="12.75" hidden="false" customHeight="false" outlineLevel="0" collapsed="false">
      <c r="A235" s="252" t="s">
        <v>243</v>
      </c>
      <c r="B235" s="254" t="str">
        <f aca="false">'Standard Value Calculator'!S22/1000&amp;"kΩ"</f>
        <v>11.5kΩ</v>
      </c>
      <c r="C235" s="254"/>
      <c r="D235" s="254"/>
      <c r="E235" s="254"/>
      <c r="F235" s="254"/>
      <c r="G235" s="254"/>
      <c r="H235" s="255"/>
    </row>
    <row r="236" customFormat="false" ht="12.75" hidden="false" customHeight="false" outlineLevel="0" collapsed="false">
      <c r="A236" s="252" t="s">
        <v>252</v>
      </c>
      <c r="B236" s="254" t="str">
        <f aca="false">'Standard Value Calculator'!S6/1000&amp;"kΩ"</f>
        <v>1.47kΩ</v>
      </c>
      <c r="C236" s="254"/>
      <c r="D236" s="254"/>
      <c r="E236" s="254"/>
      <c r="F236" s="254"/>
      <c r="G236" s="254"/>
      <c r="H236" s="255"/>
    </row>
    <row r="237" customFormat="false" ht="12.75" hidden="false" customHeight="false" outlineLevel="0" collapsed="false">
      <c r="A237" s="252" t="s">
        <v>298</v>
      </c>
      <c r="B237" s="254" t="str">
        <f aca="false">'Standard Value Calculator'!S24/1000&amp;"kΩ"</f>
        <v>84.5kΩ</v>
      </c>
      <c r="C237" s="254" t="n">
        <f aca="false">'Standard Value Calculator'!S24/1000</f>
        <v>84.5</v>
      </c>
      <c r="D237" s="254"/>
      <c r="E237" s="254"/>
      <c r="F237" s="254"/>
      <c r="G237" s="254"/>
      <c r="H237" s="255"/>
    </row>
    <row r="238" customFormat="false" ht="12.75" hidden="false" customHeight="false" outlineLevel="0" collapsed="false">
      <c r="A238" s="252" t="s">
        <v>445</v>
      </c>
      <c r="B238" s="254" t="s">
        <v>446</v>
      </c>
      <c r="C238" s="254"/>
      <c r="D238" s="254"/>
      <c r="E238" s="254"/>
      <c r="F238" s="254"/>
      <c r="G238" s="254"/>
      <c r="H238" s="255"/>
    </row>
    <row r="239" customFormat="false" ht="12.75" hidden="false" customHeight="false" outlineLevel="0" collapsed="false">
      <c r="A239" s="252" t="s">
        <v>203</v>
      </c>
      <c r="B239" s="254" t="str">
        <f aca="false">'Standard Value Calculator'!S4/1000&amp;"kΩ"</f>
        <v>11kΩ</v>
      </c>
      <c r="C239" s="254"/>
      <c r="D239" s="254"/>
      <c r="E239" s="254"/>
      <c r="F239" s="254"/>
      <c r="G239" s="254"/>
      <c r="H239" s="255"/>
    </row>
    <row r="240" customFormat="false" ht="12.75" hidden="false" customHeight="false" outlineLevel="0" collapsed="false">
      <c r="A240" s="252" t="s">
        <v>282</v>
      </c>
      <c r="B240" s="254" t="str">
        <f aca="false">'Standard Value Calculator'!B4*1000000000 &amp;"nF"</f>
        <v>33nF</v>
      </c>
      <c r="C240" s="254"/>
      <c r="D240" s="254"/>
      <c r="E240" s="254"/>
      <c r="F240" s="254"/>
      <c r="G240" s="254"/>
      <c r="H240" s="255"/>
    </row>
    <row r="241" customFormat="false" ht="12.75" hidden="false" customHeight="false" outlineLevel="0" collapsed="false">
      <c r="A241" s="252" t="s">
        <v>447</v>
      </c>
      <c r="B241" s="254" t="s">
        <v>448</v>
      </c>
      <c r="C241" s="254"/>
      <c r="D241" s="254"/>
      <c r="E241" s="254"/>
      <c r="F241" s="254"/>
      <c r="G241" s="254"/>
      <c r="H241" s="255"/>
    </row>
    <row r="242" customFormat="false" ht="12.75" hidden="false" customHeight="false" outlineLevel="0" collapsed="false">
      <c r="A242" s="252" t="s">
        <v>449</v>
      </c>
      <c r="B242" s="254" t="str">
        <f aca="false">IF(B31="y","","|")</f>
        <v>|</v>
      </c>
      <c r="C242" s="254"/>
      <c r="D242" s="254"/>
      <c r="E242" s="254"/>
      <c r="F242" s="254"/>
      <c r="G242" s="254"/>
      <c r="H242" s="255"/>
    </row>
    <row r="243" customFormat="false" ht="12.75" hidden="false" customHeight="false" outlineLevel="0" collapsed="false">
      <c r="A243" s="252" t="s">
        <v>450</v>
      </c>
      <c r="B243" s="254" t="str">
        <f aca="false">'Design Regulator'!$E$8&amp;"A"</f>
        <v>2A</v>
      </c>
      <c r="C243" s="254"/>
      <c r="D243" s="254"/>
      <c r="E243" s="254"/>
      <c r="F243" s="254"/>
      <c r="G243" s="254"/>
      <c r="H243" s="255"/>
    </row>
    <row r="244" customFormat="false" ht="12.75" hidden="false" customHeight="false" outlineLevel="0" collapsed="false">
      <c r="A244" s="252" t="s">
        <v>451</v>
      </c>
      <c r="B244" s="254" t="str">
        <f aca="false">Vin&amp;"V"</f>
        <v>18V</v>
      </c>
      <c r="C244" s="254"/>
      <c r="D244" s="254"/>
      <c r="E244" s="254"/>
      <c r="F244" s="254"/>
      <c r="G244" s="254"/>
      <c r="H244" s="255"/>
    </row>
    <row r="245" customFormat="false" ht="12.75" hidden="false" customHeight="false" outlineLevel="0" collapsed="false">
      <c r="A245" s="252"/>
      <c r="B245" s="254"/>
      <c r="C245" s="254"/>
      <c r="D245" s="254"/>
      <c r="E245" s="254"/>
      <c r="F245" s="254"/>
      <c r="G245" s="254"/>
      <c r="H245" s="255"/>
    </row>
    <row r="246" customFormat="false" ht="12.75" hidden="false" customHeight="false" outlineLevel="0" collapsed="false">
      <c r="A246" s="252" t="s">
        <v>452</v>
      </c>
      <c r="B246" s="254" t="n">
        <v>12</v>
      </c>
      <c r="C246" s="254"/>
      <c r="D246" s="254"/>
      <c r="E246" s="254"/>
      <c r="F246" s="254"/>
      <c r="G246" s="254"/>
      <c r="H246" s="255"/>
    </row>
    <row r="247" customFormat="false" ht="12.75" hidden="false" customHeight="false" outlineLevel="0" collapsed="false">
      <c r="A247" s="252" t="s">
        <v>453</v>
      </c>
      <c r="B247" s="254" t="n">
        <v>18</v>
      </c>
      <c r="C247" s="254"/>
      <c r="D247" s="254"/>
      <c r="E247" s="254"/>
      <c r="F247" s="254"/>
      <c r="G247" s="254"/>
      <c r="H247" s="255"/>
    </row>
    <row r="248" customFormat="false" ht="12.75" hidden="false" customHeight="false" outlineLevel="0" collapsed="false">
      <c r="A248" s="252" t="s">
        <v>454</v>
      </c>
      <c r="B248" s="254" t="n">
        <v>14</v>
      </c>
      <c r="C248" s="254"/>
      <c r="D248" s="254"/>
      <c r="E248" s="254"/>
      <c r="F248" s="254"/>
      <c r="G248" s="254"/>
      <c r="H248" s="255"/>
    </row>
    <row r="249" customFormat="false" ht="12.75" hidden="false" customHeight="false" outlineLevel="0" collapsed="false">
      <c r="A249" s="252" t="s">
        <v>455</v>
      </c>
      <c r="B249" s="254" t="n">
        <v>6</v>
      </c>
      <c r="C249" s="254"/>
      <c r="D249" s="254"/>
      <c r="E249" s="254"/>
      <c r="F249" s="254"/>
      <c r="G249" s="254"/>
      <c r="H249" s="255"/>
    </row>
    <row r="250" customFormat="false" ht="12.75" hidden="false" customHeight="false" outlineLevel="0" collapsed="false">
      <c r="A250" s="252" t="s">
        <v>456</v>
      </c>
      <c r="B250" s="254" t="n">
        <v>7</v>
      </c>
      <c r="C250" s="254"/>
      <c r="D250" s="254"/>
      <c r="E250" s="254"/>
      <c r="F250" s="254"/>
      <c r="G250" s="254"/>
      <c r="H250" s="255"/>
    </row>
    <row r="251" customFormat="false" ht="12.75" hidden="false" customHeight="false" outlineLevel="0" collapsed="false">
      <c r="A251" s="252" t="s">
        <v>457</v>
      </c>
      <c r="B251" s="254" t="n">
        <v>11</v>
      </c>
      <c r="C251" s="254"/>
      <c r="D251" s="254"/>
      <c r="E251" s="254"/>
      <c r="F251" s="254"/>
      <c r="G251" s="254"/>
      <c r="H251" s="255"/>
    </row>
    <row r="252" customFormat="false" ht="12.75" hidden="false" customHeight="false" outlineLevel="0" collapsed="false">
      <c r="A252" s="252" t="s">
        <v>458</v>
      </c>
      <c r="B252" s="254" t="n">
        <v>1</v>
      </c>
      <c r="C252" s="254"/>
      <c r="D252" s="254"/>
      <c r="E252" s="254"/>
      <c r="F252" s="254"/>
      <c r="G252" s="254"/>
      <c r="H252" s="255"/>
    </row>
    <row r="253" customFormat="false" ht="12.75" hidden="false" customHeight="false" outlineLevel="0" collapsed="false">
      <c r="A253" s="252" t="s">
        <v>459</v>
      </c>
      <c r="B253" s="254" t="n">
        <v>5</v>
      </c>
      <c r="C253" s="254"/>
      <c r="D253" s="254"/>
      <c r="E253" s="254"/>
      <c r="F253" s="254"/>
      <c r="G253" s="254"/>
      <c r="H253" s="255"/>
    </row>
    <row r="254" customFormat="false" ht="12.75" hidden="false" customHeight="false" outlineLevel="0" collapsed="false">
      <c r="A254" s="252" t="s">
        <v>460</v>
      </c>
      <c r="B254" s="254" t="n">
        <v>13</v>
      </c>
      <c r="C254" s="254"/>
      <c r="D254" s="254"/>
      <c r="E254" s="254"/>
      <c r="F254" s="254"/>
      <c r="G254" s="254"/>
      <c r="H254" s="255"/>
    </row>
    <row r="255" customFormat="false" ht="12.75" hidden="false" customHeight="false" outlineLevel="0" collapsed="false">
      <c r="A255" s="252" t="s">
        <v>461</v>
      </c>
      <c r="B255" s="254" t="n">
        <v>4</v>
      </c>
      <c r="C255" s="254"/>
      <c r="D255" s="254"/>
      <c r="E255" s="254"/>
      <c r="F255" s="254"/>
      <c r="G255" s="254"/>
      <c r="H255" s="255"/>
    </row>
    <row r="256" customFormat="false" ht="12.75" hidden="false" customHeight="false" outlineLevel="0" collapsed="false">
      <c r="A256" s="252" t="s">
        <v>462</v>
      </c>
      <c r="B256" s="254" t="n">
        <v>3</v>
      </c>
      <c r="C256" s="254"/>
      <c r="D256" s="254"/>
      <c r="E256" s="254"/>
      <c r="F256" s="254"/>
      <c r="G256" s="254"/>
      <c r="H256" s="255"/>
    </row>
    <row r="257" customFormat="false" ht="12.75" hidden="false" customHeight="false" outlineLevel="0" collapsed="false">
      <c r="A257" s="252" t="s">
        <v>463</v>
      </c>
      <c r="B257" s="254" t="n">
        <v>24</v>
      </c>
      <c r="C257" s="254"/>
      <c r="D257" s="254"/>
      <c r="E257" s="254"/>
      <c r="F257" s="254"/>
      <c r="G257" s="254"/>
      <c r="H257" s="255"/>
    </row>
    <row r="258" customFormat="false" ht="12.75" hidden="false" customHeight="false" outlineLevel="0" collapsed="false">
      <c r="A258" s="252" t="s">
        <v>464</v>
      </c>
      <c r="B258" s="254" t="n">
        <v>23</v>
      </c>
      <c r="C258" s="254"/>
      <c r="D258" s="254"/>
      <c r="E258" s="254"/>
      <c r="F258" s="254"/>
      <c r="G258" s="254"/>
      <c r="H258" s="255"/>
    </row>
    <row r="259" customFormat="false" ht="12.75" hidden="false" customHeight="false" outlineLevel="0" collapsed="false">
      <c r="A259" s="252" t="s">
        <v>465</v>
      </c>
      <c r="B259" s="254" t="n">
        <v>15</v>
      </c>
      <c r="C259" s="254"/>
      <c r="D259" s="254"/>
      <c r="E259" s="254"/>
      <c r="F259" s="254"/>
      <c r="G259" s="254"/>
      <c r="H259" s="255"/>
    </row>
    <row r="260" customFormat="false" ht="12.75" hidden="false" customHeight="false" outlineLevel="0" collapsed="false">
      <c r="A260" s="252" t="s">
        <v>466</v>
      </c>
      <c r="B260" s="254" t="n">
        <v>16</v>
      </c>
      <c r="C260" s="254"/>
      <c r="D260" s="254"/>
      <c r="E260" s="254"/>
      <c r="F260" s="254"/>
      <c r="G260" s="254"/>
      <c r="H260" s="255"/>
    </row>
    <row r="261" customFormat="false" ht="12.75" hidden="false" customHeight="false" outlineLevel="0" collapsed="false">
      <c r="A261" s="252" t="s">
        <v>467</v>
      </c>
      <c r="B261" s="254" t="n">
        <v>17</v>
      </c>
      <c r="C261" s="254"/>
      <c r="D261" s="254"/>
      <c r="E261" s="254"/>
      <c r="F261" s="254"/>
      <c r="G261" s="254"/>
      <c r="H261" s="255"/>
    </row>
    <row r="262" customFormat="false" ht="12.75" hidden="false" customHeight="false" outlineLevel="0" collapsed="false">
      <c r="A262" s="0" t="s">
        <v>468</v>
      </c>
      <c r="B262" s="0" t="n">
        <v>2</v>
      </c>
      <c r="H262" s="255"/>
    </row>
    <row r="263" customFormat="false" ht="12.75" hidden="false" customHeight="false" outlineLevel="0" collapsed="false">
      <c r="A263" s="330" t="s">
        <v>469</v>
      </c>
      <c r="B263" s="0" t="n">
        <v>8</v>
      </c>
      <c r="H263" s="255"/>
    </row>
    <row r="264" customFormat="false" ht="12.75" hidden="false" customHeight="false" outlineLevel="0" collapsed="false">
      <c r="A264" s="330" t="s">
        <v>470</v>
      </c>
      <c r="B264" s="0" t="n">
        <v>9</v>
      </c>
      <c r="H264" s="255"/>
    </row>
    <row r="265" customFormat="false" ht="13.5" hidden="false" customHeight="false" outlineLevel="0" collapsed="false">
      <c r="A265" s="336" t="s">
        <v>471</v>
      </c>
      <c r="B265" s="263" t="n">
        <v>10</v>
      </c>
      <c r="C265" s="263"/>
      <c r="D265" s="263"/>
      <c r="E265" s="263"/>
      <c r="F265" s="263"/>
      <c r="G265" s="263"/>
      <c r="H265" s="264"/>
    </row>
    <row r="269" customFormat="false" ht="12.75" hidden="false" customHeight="false" outlineLevel="0" collapsed="false">
      <c r="A269" s="337"/>
    </row>
    <row r="308" customFormat="false" ht="12.75" hidden="false" customHeight="false" outlineLevel="0" collapsed="false">
      <c r="A308" s="0" t="s">
        <v>472</v>
      </c>
    </row>
    <row r="309" customFormat="false" ht="12.75" hidden="false" customHeight="false" outlineLevel="0" collapsed="false">
      <c r="A309" s="0" t="s">
        <v>473</v>
      </c>
    </row>
    <row r="310" customFormat="false" ht="12.75" hidden="false" customHeight="false" outlineLevel="0" collapsed="false">
      <c r="A310" s="0" t="s">
        <v>474</v>
      </c>
    </row>
    <row r="311" customFormat="false" ht="12.75" hidden="false" customHeight="false" outlineLevel="0" collapsed="false">
      <c r="A311" s="0" t="s">
        <v>475</v>
      </c>
    </row>
  </sheetData>
  <mergeCells count="2">
    <mergeCell ref="A1:H1"/>
    <mergeCell ref="D5:G5"/>
  </mergeCells>
  <printOptions headings="false" gridLines="false" gridLinesSet="true" horizontalCentered="false" verticalCentered="false"/>
  <pageMargins left="0.75" right="0.75" top="1" bottom="1"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tabColor rgb="00FFFFFF"/>
    <pageSetUpPr fitToPage="false"/>
  </sheetPr>
  <dimension ref="A2:T159"/>
  <sheetViews>
    <sheetView windowProtection="false" showFormulas="false" showGridLines="true" showRowColHeaders="true" showZeros="true" rightToLeft="false" tabSelected="false" showOutlineSymbols="true" defaultGridColor="true" view="normal" topLeftCell="A27" colorId="64" zoomScale="100" zoomScaleNormal="100" zoomScalePageLayoutView="100" workbookViewId="0">
      <selection pane="topLeft" activeCell="R4" activeCellId="0" sqref="R4"/>
    </sheetView>
  </sheetViews>
  <sheetFormatPr defaultRowHeight="12.75"/>
  <cols>
    <col collapsed="false" hidden="false" max="1" min="1" style="0" width="17.2857142857143"/>
    <col collapsed="false" hidden="false" max="2" min="2" style="0" width="11.9948979591837"/>
    <col collapsed="false" hidden="false" max="5" min="3" style="0" width="12.4183673469388"/>
    <col collapsed="false" hidden="false" max="7" min="6" style="0" width="8.6734693877551"/>
    <col collapsed="false" hidden="false" max="8" min="8" style="0" width="12.4183673469388"/>
    <col collapsed="false" hidden="false" max="13" min="9" style="0" width="8.6734693877551"/>
    <col collapsed="false" hidden="false" max="14" min="14" style="0" width="11.8622448979592"/>
    <col collapsed="false" hidden="false" max="16" min="15" style="0" width="8.6734693877551"/>
    <col collapsed="false" hidden="false" max="17" min="17" style="0" width="12.1377551020408"/>
    <col collapsed="false" hidden="false" max="18" min="18" style="0" width="8.6734693877551"/>
    <col collapsed="false" hidden="false" max="19" min="19" style="0" width="15.4234693877551"/>
    <col collapsed="false" hidden="false" max="1025" min="20" style="0" width="8.6734693877551"/>
  </cols>
  <sheetData>
    <row r="2" customFormat="false" ht="12.75" hidden="false" customHeight="false" outlineLevel="0" collapsed="false">
      <c r="A2" s="0" t="s">
        <v>476</v>
      </c>
      <c r="B2" s="0" t="s">
        <v>282</v>
      </c>
      <c r="C2" s="0" t="s">
        <v>318</v>
      </c>
      <c r="D2" s="0" t="s">
        <v>320</v>
      </c>
      <c r="E2" s="0" t="s">
        <v>322</v>
      </c>
      <c r="F2" s="0" t="s">
        <v>260</v>
      </c>
      <c r="G2" s="0" t="s">
        <v>271</v>
      </c>
      <c r="H2" s="0" t="s">
        <v>248</v>
      </c>
      <c r="I2" s="0" t="s">
        <v>477</v>
      </c>
      <c r="J2" s="0" t="s">
        <v>478</v>
      </c>
      <c r="K2" s="0" t="s">
        <v>479</v>
      </c>
      <c r="L2" s="0" t="s">
        <v>480</v>
      </c>
      <c r="M2" s="0" t="s">
        <v>481</v>
      </c>
      <c r="N2" s="0" t="s">
        <v>482</v>
      </c>
    </row>
    <row r="3" customFormat="false" ht="12.75" hidden="false" customHeight="false" outlineLevel="0" collapsed="false">
      <c r="A3" s="0" t="s">
        <v>483</v>
      </c>
      <c r="B3" s="0" t="n">
        <f aca="false">Css</f>
        <v>3E-008</v>
      </c>
      <c r="C3" s="0" t="n">
        <f aca="false">Cc1ea</f>
        <v>9.74418020043406E-010</v>
      </c>
      <c r="D3" s="0" t="n">
        <f aca="false">Cc2ea</f>
        <v>9.24283111901396E-011</v>
      </c>
      <c r="E3" s="0" t="n">
        <f aca="false">Cc3ea</f>
        <v>1.83653310320143E-010</v>
      </c>
      <c r="F3" s="0" t="n">
        <f aca="false">Cout</f>
        <v>2E-006</v>
      </c>
      <c r="G3" s="0" t="n">
        <f aca="false">Cin</f>
        <v>1E-005</v>
      </c>
      <c r="H3" s="0" t="n">
        <f aca="false">Csideal</f>
        <v>2.2E-007</v>
      </c>
      <c r="I3" s="0" t="n">
        <f aca="false">Cdd</f>
        <v>0</v>
      </c>
      <c r="J3" s="0" t="n">
        <f aca="false">Csb</f>
        <v>0</v>
      </c>
      <c r="K3" s="0" t="n">
        <f aca="false">Csby</f>
        <v>100</v>
      </c>
      <c r="L3" s="0" t="n">
        <f aca="false">Cby</f>
        <v>0</v>
      </c>
      <c r="M3" s="0" t="n">
        <f aca="false">Cb</f>
        <v>0</v>
      </c>
      <c r="N3" s="0" t="e">
        <f aca="false">'variable management'!#ref!</f>
        <v>#VALUE!</v>
      </c>
      <c r="Q3" s="0" t="s">
        <v>484</v>
      </c>
      <c r="R3" s="0" t="s">
        <v>485</v>
      </c>
      <c r="S3" s="244" t="s">
        <v>486</v>
      </c>
    </row>
    <row r="4" customFormat="false" ht="12.75" hidden="false" customHeight="false" outlineLevel="0" collapsed="false">
      <c r="A4" s="338" t="s">
        <v>486</v>
      </c>
      <c r="B4" s="338" t="n">
        <f aca="false">SUM(B6:B158)/1000000000000</f>
        <v>3.3E-008</v>
      </c>
      <c r="C4" s="338" t="n">
        <f aca="false">SUM(C6:C158)/1000000000000</f>
        <v>1E-009</v>
      </c>
      <c r="D4" s="338" t="n">
        <f aca="false">SUM(D6:D158)/1000000000000</f>
        <v>1E-010</v>
      </c>
      <c r="E4" s="338" t="n">
        <f aca="false">SUM(E6:E158)/1000000000000</f>
        <v>1.8E-010</v>
      </c>
      <c r="F4" s="338" t="n">
        <f aca="false">SUM(F6:F158)/1000000000000</f>
        <v>2.2E-006</v>
      </c>
      <c r="G4" s="338" t="n">
        <f aca="false">SUM(G6:G158)/1000000000000</f>
        <v>1E-005</v>
      </c>
      <c r="H4" s="338" t="n">
        <f aca="false">SUM(H6:H158)/1000000000000</f>
        <v>2.2E-007</v>
      </c>
      <c r="I4" s="338" t="n">
        <f aca="false">IF(I3="OPEN","OPEN",SUM(I6:I158)/1000000000000)</f>
        <v>0</v>
      </c>
      <c r="J4" s="338" t="n">
        <f aca="false">IF(J3="OPEN","OPEN",SUM(J6:J158)/1000000000000)</f>
        <v>0</v>
      </c>
      <c r="K4" s="338" t="n">
        <f aca="false">IF(K3="OPEN","OPEN",SUM(K6:K158)/1000000000000)</f>
        <v>0</v>
      </c>
      <c r="L4" s="338" t="n">
        <f aca="false">IF(L3="OPEN","OPEN",SUM(L6:L158)/1000000000000)</f>
        <v>0</v>
      </c>
      <c r="M4" s="338" t="n">
        <f aca="false">IF(M3="OPEN","OPEN",SUM(M6:M158)/1000000000000)</f>
        <v>0</v>
      </c>
      <c r="N4" s="338" t="e">
        <f aca="false">IF(N3="OPEN","OPEN",SUM(N6:N158)/1000000000000)</f>
        <v>#VALUE!</v>
      </c>
      <c r="Q4" s="0" t="s">
        <v>487</v>
      </c>
      <c r="R4" s="0" t="n">
        <f aca="false">Rfadj</f>
        <v>10998.1632911748</v>
      </c>
      <c r="S4" s="244" t="n">
        <f aca="false">IF(R4&gt;(INT(0.5+100*POWER(10,IF(96*(LOG(R4)-INT(LOG(R4)))-ROUND(96*(LOG(R4)-INT(LOG(R4))),0)&lt;0,ROUND(96*(LOG(R4)-INT(LOG(R4))),0)-1,ROUND(96*(LOG(R4)-INT(LOG(R4))),0))/96))*POWER(10,INT(LOG(R4))-2)+INT(0.5+100*POWER(10,(IF(96*(LOG(R4)-INT(LOG(R4)))-ROUND(96*(LOG(R4)-INT(LOG(R4))),0)&lt;0,ROUND(96*(LOG(R4)-INT(LOG(R4))),0)-1,ROUND(96*(LOG(R4)-INT(LOG(R4))),0))+1)/96))*POWER(10,INT(LOG(R4))-2))/2,INT(0.5+100*POWER(10,(IF(96*(LOG(R4)-INT(LOG(R4)))-ROUND(96*(LOG(R4)-INT(LOG(R4))),0)&lt;0,ROUND(96*(LOG(R4)-INT(LOG(R4))),0)-1,ROUND(96*(LOG(R4)-INT(LOG(R4))),0))+1)/96))*POWER(10,INT(LOG(R4))-2),INT(0.5+100*POWER(10,IF(96*(LOG(R4)-INT(LOG(R4)))-ROUND(96*(LOG(R4)-INT(LOG(R4))),0)&lt;0,ROUND(96*(LOG(R4)-INT(LOG(R4))),0)-1,ROUND(96*(LOG(R4)-INT(LOG(R4))),0))/96))*POWER(10,INT(LOG(R4))-2))</f>
        <v>11000</v>
      </c>
      <c r="T4" s="309" t="s">
        <v>488</v>
      </c>
    </row>
    <row r="5" customFormat="false" ht="12.75" hidden="false" customHeight="false" outlineLevel="0" collapsed="false">
      <c r="A5" s="0" t="s">
        <v>489</v>
      </c>
      <c r="Q5" s="0" t="s">
        <v>474</v>
      </c>
      <c r="R5" s="0" t="n">
        <f aca="false">Rset</f>
        <v>11500</v>
      </c>
      <c r="S5" s="244" t="n">
        <f aca="false">IF(R5&gt;(INT(0.5+100*POWER(10,IF(96*(LOG(R5)-INT(LOG(R5)))-ROUND(96*(LOG(R5)-INT(LOG(R5))),0)&lt;0,ROUND(96*(LOG(R5)-INT(LOG(R5))),0)-1,ROUND(96*(LOG(R5)-INT(LOG(R5))),0))/96))*POWER(10,INT(LOG(R5))-2)+INT(0.5+100*POWER(10,(IF(96*(LOG(R5)-INT(LOG(R5)))-ROUND(96*(LOG(R5)-INT(LOG(R5))),0)&lt;0,ROUND(96*(LOG(R5)-INT(LOG(R5))),0)-1,ROUND(96*(LOG(R5)-INT(LOG(R5))),0))+1)/96))*POWER(10,INT(LOG(R5))-2))/2,INT(0.5+100*POWER(10,(IF(96*(LOG(R5)-INT(LOG(R5)))-ROUND(96*(LOG(R5)-INT(LOG(R5))),0)&lt;0,ROUND(96*(LOG(R5)-INT(LOG(R5))),0)-1,ROUND(96*(LOG(R5)-INT(LOG(R5))),0))+1)/96))*POWER(10,INT(LOG(R5))-2),INT(0.5+100*POWER(10,IF(96*(LOG(R5)-INT(LOG(R5)))-ROUND(96*(LOG(R5)-INT(LOG(R5))),0)&lt;0,ROUND(96*(LOG(R5)-INT(LOG(R5))),0)-1,ROUND(96*(LOG(R5)-INT(LOG(R5))),0))/96))*POWER(10,INT(LOG(R5))-2))</f>
        <v>11500</v>
      </c>
      <c r="T5" s="309" t="s">
        <v>488</v>
      </c>
    </row>
    <row r="6" customFormat="false" ht="12.75" hidden="false" customHeight="false" outlineLevel="0" collapsed="false">
      <c r="A6" s="0" t="n">
        <v>0.47</v>
      </c>
      <c r="B6" s="0" t="n">
        <f aca="false">IF(IF((B$3*10^12-$A7)*(B$3*10^12-$A6)*-1&lt;0,0,1)*IF(ABS(B$3*10^12-$A7)&gt;(B$3*10^12-$A6),$A6,$A7)=B7,0,IF((B$3*10^12-$A7)*(B$3*10^12-$A6)*-1&lt;0,0,1)*IF(ABS(B$3*10^12-$A7)&gt;(B$3*10^12-$A6),$A6,$A7))</f>
        <v>0</v>
      </c>
      <c r="C6" s="0" t="n">
        <f aca="false">IF(IF((C$3*10^12-$A7)*(C$3*10^12-$A6)*-1&lt;0,0,1)*IF(ABS(C$3*10^12-$A7)&gt;(C$3*10^12-$A6),$A6,$A7)=C7,0,IF((C$3*10^12-$A7)*(C$3*10^12-$A6)*-1&lt;0,0,1)*IF(ABS(C$3*10^12-$A7)&gt;(C$3*10^12-$A6),$A6,$A7))</f>
        <v>0</v>
      </c>
      <c r="D6" s="0" t="n">
        <f aca="false">IF(IF((D$3*10^12-$A7)*(D$3*10^12-$A6)*-1&lt;0,0,1)*IF(ABS(D$3*10^12-$A7)&gt;(D$3*10^12-$A6),$A6,$A7)=D7,0,IF((D$3*10^12-$A7)*(D$3*10^12-$A6)*-1&lt;0,0,1)*IF(ABS(D$3*10^12-$A7)&gt;(D$3*10^12-$A6),$A6,$A7))</f>
        <v>0</v>
      </c>
      <c r="E6" s="0" t="n">
        <f aca="false">IF(IF((E$3*10^12-$A7)*(E$3*10^12-$A6)*-1&lt;0,0,1)*IF(ABS(E$3*10^12-$A7)&gt;(E$3*10^12-$A6),$A6,$A7)=E7,0,IF((E$3*10^12-$A7)*(E$3*10^12-$A6)*-1&lt;0,0,1)*IF(ABS(E$3*10^12-$A7)&gt;(E$3*10^12-$A6),$A6,$A7))</f>
        <v>0</v>
      </c>
      <c r="F6" s="0" t="n">
        <f aca="false">IF(IF((F$3*10^12-$A7)*(F$3*10^12-$A6)*-1&lt;0,0,1)*IF(ABS(F$3*10^12-$A7)&gt;(F$3*10^12-$A6),$A6,$A7)=F7,0,IF((F$3*10^12-$A7)*(F$3*10^12-$A6)*-1&lt;0,0,1)*IF(ABS(F$3*10^12-$A7)&gt;(F$3*10^12-$A6),$A6,$A7))</f>
        <v>0</v>
      </c>
      <c r="G6" s="0" t="n">
        <f aca="false">IF(IF((G$3*10^12-$A7)*(G$3*10^12-$A6)*-1&lt;0,0,1)*IF(ABS(G$3*10^12-$A7)&gt;(G$3*10^12-$A6),$A6,$A7)=G7,0,IF((G$3*10^12-$A7)*(G$3*10^12-$A6)*-1&lt;0,0,1)*IF(ABS(G$3*10^12-$A7)&gt;(G$3*10^12-$A6),$A6,$A7))</f>
        <v>0</v>
      </c>
      <c r="H6" s="0" t="n">
        <f aca="false">IF(IF((H$3*10^12-$A7)*(H$3*10^12-$A6)*-1&lt;0,0,1)*IF(ABS(H$3*10^12-$A7)&gt;(H$3*10^12-$A6),$A6,$A7)=H7,0,IF((H$3*10^12-$A7)*(H$3*10^12-$A6)*-1&lt;0,0,1)*IF(ABS(H$3*10^12-$A7)&gt;(H$3*10^12-$A6),$A6,$A7))</f>
        <v>0</v>
      </c>
      <c r="I6" s="0" t="n">
        <f aca="false">IF(IF((I$3*10^12-$A7)*(I$3*10^12-$A6)*-1&lt;0,0,1)*IF(ABS(I$3*10^12-$A7)&gt;(I$3*10^12-$A6),$A6,$A7)=I7,0,IF((I$3*10^12-$A7)*(I$3*10^12-$A6)*-1&lt;0,0,1)*IF(ABS(I$3*10^12-$A7)&gt;(I$3*10^12-$A6),$A6,$A7))</f>
        <v>0</v>
      </c>
      <c r="J6" s="0" t="n">
        <f aca="false">IF(IF((J$3*10^12-$A7)*(J$3*10^12-$A6)*-1&lt;0,0,1)*IF(ABS(J$3*10^12-$A7)&gt;(J$3*10^12-$A6),$A6,$A7)=J7,0,IF((J$3*10^12-$A7)*(J$3*10^12-$A6)*-1&lt;0,0,1)*IF(ABS(J$3*10^12-$A7)&gt;(J$3*10^12-$A6),$A6,$A7))</f>
        <v>0</v>
      </c>
      <c r="K6" s="0" t="n">
        <f aca="false">IF(IF((K$3*10^12-$A7)*(K$3*10^12-$A6)*-1&lt;0,0,1)*IF(ABS(K$3*10^12-$A7)&gt;(K$3*10^12-$A6),$A6,$A7)=K7,0,IF((K$3*10^12-$A7)*(K$3*10^12-$A6)*-1&lt;0,0,1)*IF(ABS(K$3*10^12-$A7)&gt;(K$3*10^12-$A6),$A6,$A7))</f>
        <v>0</v>
      </c>
      <c r="L6" s="0" t="n">
        <f aca="false">IF(IF((L$3*10^12-$A7)*(L$3*10^12-$A6)*-1&lt;0,0,1)*IF(ABS(L$3*10^12-$A7)&gt;(L$3*10^12-$A6),$A6,$A7)=L7,0,IF((L$3*10^12-$A7)*(L$3*10^12-$A6)*-1&lt;0,0,1)*IF(ABS(L$3*10^12-$A7)&gt;(L$3*10^12-$A6),$A6,$A7))</f>
        <v>0</v>
      </c>
      <c r="M6" s="0" t="n">
        <f aca="false">IF(IF((M$3*10^12-$A7)*(M$3*10^12-$A6)*-1&lt;0,0,1)*IF(ABS(M$3*10^12-$A7)&gt;(M$3*10^12-$A6),$A6,$A7)=M7,0,IF((M$3*10^12-$A7)*(M$3*10^12-$A6)*-1&lt;0,0,1)*IF(ABS(M$3*10^12-$A7)&gt;(M$3*10^12-$A6),$A6,$A7))</f>
        <v>0</v>
      </c>
      <c r="N6" s="0" t="e">
        <f aca="false">IF(IF((N$3*10^12-$A7)*(N$3*10^12-$A6)*-1&lt;0,0,1)*IF(ABS(N$3*10^12-$A7)&gt;(N$3*10^12-$A6),$A6,$A7)=N7,0,IF((N$3*10^12-$A7)*(N$3*10^12-$A6)*-1&lt;0,0,1)*IF(ABS(N$3*10^12-$A7)&gt;(N$3*10^12-$A6),$A6,$A7))</f>
        <v>#VALUE!</v>
      </c>
      <c r="Q6" s="0" t="s">
        <v>252</v>
      </c>
      <c r="R6" s="0" t="n">
        <f aca="false">Rsideal</f>
        <v>1478.26086956522</v>
      </c>
      <c r="S6" s="244" t="n">
        <f aca="false">IF(R6&gt;(INT(0.5+100*POWER(10,IF(96*(LOG(R6)-INT(LOG(R6)))-ROUND(96*(LOG(R6)-INT(LOG(R6))),0)&lt;0,ROUND(96*(LOG(R6)-INT(LOG(R6))),0)-1,ROUND(96*(LOG(R6)-INT(LOG(R6))),0))/96))*POWER(10,INT(LOG(R6))-2)+INT(0.5+100*POWER(10,(IF(96*(LOG(R6)-INT(LOG(R6)))-ROUND(96*(LOG(R6)-INT(LOG(R6))),0)&lt;0,ROUND(96*(LOG(R6)-INT(LOG(R6))),0)-1,ROUND(96*(LOG(R6)-INT(LOG(R6))),0))+1)/96))*POWER(10,INT(LOG(R6))-2))/2,INT(0.5+100*POWER(10,(IF(96*(LOG(R6)-INT(LOG(R6)))-ROUND(96*(LOG(R6)-INT(LOG(R6))),0)&lt;0,ROUND(96*(LOG(R6)-INT(LOG(R6))),0)-1,ROUND(96*(LOG(R6)-INT(LOG(R6))),0))+1)/96))*POWER(10,INT(LOG(R6))-2),INT(0.5+100*POWER(10,IF(96*(LOG(R6)-INT(LOG(R6)))-ROUND(96*(LOG(R6)-INT(LOG(R6))),0)&lt;0,ROUND(96*(LOG(R6)-INT(LOG(R6))),0)-1,ROUND(96*(LOG(R6)-INT(LOG(R6))),0))/96))*POWER(10,INT(LOG(R6))-2))</f>
        <v>1470</v>
      </c>
      <c r="T6" s="309" t="s">
        <v>488</v>
      </c>
    </row>
    <row r="7" customFormat="false" ht="12.75" hidden="false" customHeight="false" outlineLevel="0" collapsed="false">
      <c r="A7" s="0" t="n">
        <v>0.56</v>
      </c>
      <c r="B7" s="0" t="n">
        <f aca="false">IF(IF((B$3*10^12-$A8)*(B$3*10^12-$A7)*-1&lt;0,0,1)*IF(ABS(B$3*10^12-$A8)&gt;(B$3*10^12-$A7),$A7,$A8)=B8,0,IF((B$3*10^12-$A8)*(B$3*10^12-$A7)*-1&lt;0,0,1)*IF(ABS(B$3*10^12-$A8)&gt;(B$3*10^12-$A7),$A7,$A8))</f>
        <v>0</v>
      </c>
      <c r="C7" s="0" t="n">
        <f aca="false">IF(IF((C$3*10^12-$A8)*(C$3*10^12-$A7)*-1&lt;0,0,1)*IF(ABS(C$3*10^12-$A8)&gt;(C$3*10^12-$A7),$A7,$A8)=C8,0,IF((C$3*10^12-$A8)*(C$3*10^12-$A7)*-1&lt;0,0,1)*IF(ABS(C$3*10^12-$A8)&gt;(C$3*10^12-$A7),$A7,$A8))</f>
        <v>0</v>
      </c>
      <c r="D7" s="0" t="n">
        <f aca="false">IF(IF((D$3*10^12-$A8)*(D$3*10^12-$A7)*-1&lt;0,0,1)*IF(ABS(D$3*10^12-$A8)&gt;(D$3*10^12-$A7),$A7,$A8)=D8,0,IF((D$3*10^12-$A8)*(D$3*10^12-$A7)*-1&lt;0,0,1)*IF(ABS(D$3*10^12-$A8)&gt;(D$3*10^12-$A7),$A7,$A8))</f>
        <v>0</v>
      </c>
      <c r="E7" s="0" t="n">
        <f aca="false">IF(IF((E$3*10^12-$A8)*(E$3*10^12-$A7)*-1&lt;0,0,1)*IF(ABS(E$3*10^12-$A8)&gt;(E$3*10^12-$A7),$A7,$A8)=E8,0,IF((E$3*10^12-$A8)*(E$3*10^12-$A7)*-1&lt;0,0,1)*IF(ABS(E$3*10^12-$A8)&gt;(E$3*10^12-$A7),$A7,$A8))</f>
        <v>0</v>
      </c>
      <c r="F7" s="0" t="n">
        <f aca="false">IF(IF((F$3*10^12-$A8)*(F$3*10^12-$A7)*-1&lt;0,0,1)*IF(ABS(F$3*10^12-$A8)&gt;(F$3*10^12-$A7),$A7,$A8)=F8,0,IF((F$3*10^12-$A8)*(F$3*10^12-$A7)*-1&lt;0,0,1)*IF(ABS(F$3*10^12-$A8)&gt;(F$3*10^12-$A7),$A7,$A8))</f>
        <v>0</v>
      </c>
      <c r="G7" s="0" t="n">
        <f aca="false">IF(IF((G$3*10^12-$A8)*(G$3*10^12-$A7)*-1&lt;0,0,1)*IF(ABS(G$3*10^12-$A8)&gt;(G$3*10^12-$A7),$A7,$A8)=G8,0,IF((G$3*10^12-$A8)*(G$3*10^12-$A7)*-1&lt;0,0,1)*IF(ABS(G$3*10^12-$A8)&gt;(G$3*10^12-$A7),$A7,$A8))</f>
        <v>0</v>
      </c>
      <c r="H7" s="0" t="n">
        <f aca="false">IF(IF((H$3*10^12-$A8)*(H$3*10^12-$A7)*-1&lt;0,0,1)*IF(ABS(H$3*10^12-$A8)&gt;(H$3*10^12-$A7),$A7,$A8)=H8,0,IF((H$3*10^12-$A8)*(H$3*10^12-$A7)*-1&lt;0,0,1)*IF(ABS(H$3*10^12-$A8)&gt;(H$3*10^12-$A7),$A7,$A8))</f>
        <v>0</v>
      </c>
      <c r="I7" s="0" t="n">
        <f aca="false">IF(IF((I$3*10^12-$A8)*(I$3*10^12-$A7)*-1&lt;0,0,1)*IF(ABS(I$3*10^12-$A8)&gt;(I$3*10^12-$A7),$A7,$A8)=I8,0,IF((I$3*10^12-$A8)*(I$3*10^12-$A7)*-1&lt;0,0,1)*IF(ABS(I$3*10^12-$A8)&gt;(I$3*10^12-$A7),$A7,$A8))</f>
        <v>0</v>
      </c>
      <c r="J7" s="0" t="n">
        <f aca="false">IF(IF((J$3*10^12-$A8)*(J$3*10^12-$A7)*-1&lt;0,0,1)*IF(ABS(J$3*10^12-$A8)&gt;(J$3*10^12-$A7),$A7,$A8)=J8,0,IF((J$3*10^12-$A8)*(J$3*10^12-$A7)*-1&lt;0,0,1)*IF(ABS(J$3*10^12-$A8)&gt;(J$3*10^12-$A7),$A7,$A8))</f>
        <v>0</v>
      </c>
      <c r="K7" s="0" t="n">
        <f aca="false">IF(IF((K$3*10^12-$A8)*(K$3*10^12-$A7)*-1&lt;0,0,1)*IF(ABS(K$3*10^12-$A8)&gt;(K$3*10^12-$A7),$A7,$A8)=K8,0,IF((K$3*10^12-$A8)*(K$3*10^12-$A7)*-1&lt;0,0,1)*IF(ABS(K$3*10^12-$A8)&gt;(K$3*10^12-$A7),$A7,$A8))</f>
        <v>0</v>
      </c>
      <c r="L7" s="0" t="n">
        <f aca="false">IF(IF((L$3*10^12-$A8)*(L$3*10^12-$A7)*-1&lt;0,0,1)*IF(ABS(L$3*10^12-$A8)&gt;(L$3*10^12-$A7),$A7,$A8)=L8,0,IF((L$3*10^12-$A8)*(L$3*10^12-$A7)*-1&lt;0,0,1)*IF(ABS(L$3*10^12-$A8)&gt;(L$3*10^12-$A7),$A7,$A8))</f>
        <v>0</v>
      </c>
      <c r="M7" s="0" t="n">
        <f aca="false">IF(IF((M$3*10^12-$A8)*(M$3*10^12-$A7)*-1&lt;0,0,1)*IF(ABS(M$3*10^12-$A8)&gt;(M$3*10^12-$A7),$A7,$A8)=M8,0,IF((M$3*10^12-$A8)*(M$3*10^12-$A7)*-1&lt;0,0,1)*IF(ABS(M$3*10^12-$A8)&gt;(M$3*10^12-$A7),$A7,$A8))</f>
        <v>0</v>
      </c>
      <c r="N7" s="0" t="e">
        <f aca="false">IF(IF((N$3*10^12-$A8)*(N$3*10^12-$A7)*-1&lt;0,0,1)*IF(ABS(N$3*10^12-$A8)&gt;(N$3*10^12-$A7),$A7,$A8)=N8,0,IF((N$3*10^12-$A8)*(N$3*10^12-$A7)*-1&lt;0,0,1)*IF(ABS(N$3*10^12-$A8)&gt;(N$3*10^12-$A7),$A7,$A8))</f>
        <v>#VALUE!</v>
      </c>
      <c r="Q7" s="0" t="s">
        <v>490</v>
      </c>
      <c r="R7" s="0" t="n">
        <f aca="false">Rcea1</f>
        <v>5386.46238183603</v>
      </c>
      <c r="S7" s="244" t="n">
        <f aca="false">IF(R7&gt;(INT(0.5+100*POWER(10,IF(96*(LOG(R7)-INT(LOG(R7)))-ROUND(96*(LOG(R7)-INT(LOG(R7))),0)&lt;0,ROUND(96*(LOG(R7)-INT(LOG(R7))),0)-1,ROUND(96*(LOG(R7)-INT(LOG(R7))),0))/96))*POWER(10,INT(LOG(R7))-2)+INT(0.5+100*POWER(10,(IF(96*(LOG(R7)-INT(LOG(R7)))-ROUND(96*(LOG(R7)-INT(LOG(R7))),0)&lt;0,ROUND(96*(LOG(R7)-INT(LOG(R7))),0)-1,ROUND(96*(LOG(R7)-INT(LOG(R7))),0))+1)/96))*POWER(10,INT(LOG(R7))-2))/2,INT(0.5+100*POWER(10,(IF(96*(LOG(R7)-INT(LOG(R7)))-ROUND(96*(LOG(R7)-INT(LOG(R7))),0)&lt;0,ROUND(96*(LOG(R7)-INT(LOG(R7))),0)-1,ROUND(96*(LOG(R7)-INT(LOG(R7))),0))+1)/96))*POWER(10,INT(LOG(R7))-2),INT(0.5+100*POWER(10,IF(96*(LOG(R7)-INT(LOG(R7)))-ROUND(96*(LOG(R7)-INT(LOG(R7))),0)&lt;0,ROUND(96*(LOG(R7)-INT(LOG(R7))),0)-1,ROUND(96*(LOG(R7)-INT(LOG(R7))),0))/96))*POWER(10,INT(LOG(R7))-2))</f>
        <v>5360</v>
      </c>
      <c r="T7" s="309" t="s">
        <v>488</v>
      </c>
    </row>
    <row r="8" customFormat="false" ht="12.75" hidden="false" customHeight="false" outlineLevel="0" collapsed="false">
      <c r="A8" s="0" t="n">
        <v>0.68</v>
      </c>
      <c r="B8" s="0" t="n">
        <f aca="false">IF(IF((B$3*10^12-$A9)*(B$3*10^12-$A8)*-1&lt;0,0,1)*IF(ABS(B$3*10^12-$A9)&gt;(B$3*10^12-$A8),$A8,$A9)=B9,0,IF((B$3*10^12-$A9)*(B$3*10^12-$A8)*-1&lt;0,0,1)*IF(ABS(B$3*10^12-$A9)&gt;(B$3*10^12-$A8),$A8,$A9))</f>
        <v>0</v>
      </c>
      <c r="C8" s="0" t="n">
        <f aca="false">IF(IF((C$3*10^12-$A9)*(C$3*10^12-$A8)*-1&lt;0,0,1)*IF(ABS(C$3*10^12-$A9)&gt;(C$3*10^12-$A8),$A8,$A9)=C9,0,IF((C$3*10^12-$A9)*(C$3*10^12-$A8)*-1&lt;0,0,1)*IF(ABS(C$3*10^12-$A9)&gt;(C$3*10^12-$A8),$A8,$A9))</f>
        <v>0</v>
      </c>
      <c r="D8" s="0" t="n">
        <f aca="false">IF(IF((D$3*10^12-$A9)*(D$3*10^12-$A8)*-1&lt;0,0,1)*IF(ABS(D$3*10^12-$A9)&gt;(D$3*10^12-$A8),$A8,$A9)=D9,0,IF((D$3*10^12-$A9)*(D$3*10^12-$A8)*-1&lt;0,0,1)*IF(ABS(D$3*10^12-$A9)&gt;(D$3*10^12-$A8),$A8,$A9))</f>
        <v>0</v>
      </c>
      <c r="E8" s="0" t="n">
        <f aca="false">IF(IF((E$3*10^12-$A9)*(E$3*10^12-$A8)*-1&lt;0,0,1)*IF(ABS(E$3*10^12-$A9)&gt;(E$3*10^12-$A8),$A8,$A9)=E9,0,IF((E$3*10^12-$A9)*(E$3*10^12-$A8)*-1&lt;0,0,1)*IF(ABS(E$3*10^12-$A9)&gt;(E$3*10^12-$A8),$A8,$A9))</f>
        <v>0</v>
      </c>
      <c r="F8" s="0" t="n">
        <f aca="false">IF(IF((F$3*10^12-$A9)*(F$3*10^12-$A8)*-1&lt;0,0,1)*IF(ABS(F$3*10^12-$A9)&gt;(F$3*10^12-$A8),$A8,$A9)=F9,0,IF((F$3*10^12-$A9)*(F$3*10^12-$A8)*-1&lt;0,0,1)*IF(ABS(F$3*10^12-$A9)&gt;(F$3*10^12-$A8),$A8,$A9))</f>
        <v>0</v>
      </c>
      <c r="G8" s="0" t="n">
        <f aca="false">IF(IF((G$3*10^12-$A9)*(G$3*10^12-$A8)*-1&lt;0,0,1)*IF(ABS(G$3*10^12-$A9)&gt;(G$3*10^12-$A8),$A8,$A9)=G9,0,IF((G$3*10^12-$A9)*(G$3*10^12-$A8)*-1&lt;0,0,1)*IF(ABS(G$3*10^12-$A9)&gt;(G$3*10^12-$A8),$A8,$A9))</f>
        <v>0</v>
      </c>
      <c r="H8" s="0" t="n">
        <f aca="false">IF(IF((H$3*10^12-$A9)*(H$3*10^12-$A8)*-1&lt;0,0,1)*IF(ABS(H$3*10^12-$A9)&gt;(H$3*10^12-$A8),$A8,$A9)=H9,0,IF((H$3*10^12-$A9)*(H$3*10^12-$A8)*-1&lt;0,0,1)*IF(ABS(H$3*10^12-$A9)&gt;(H$3*10^12-$A8),$A8,$A9))</f>
        <v>0</v>
      </c>
      <c r="I8" s="0" t="n">
        <f aca="false">IF(IF((I$3*10^12-$A9)*(I$3*10^12-$A8)*-1&lt;0,0,1)*IF(ABS(I$3*10^12-$A9)&gt;(I$3*10^12-$A8),$A8,$A9)=I9,0,IF((I$3*10^12-$A9)*(I$3*10^12-$A8)*-1&lt;0,0,1)*IF(ABS(I$3*10^12-$A9)&gt;(I$3*10^12-$A8),$A8,$A9))</f>
        <v>0</v>
      </c>
      <c r="J8" s="0" t="n">
        <f aca="false">IF(IF((J$3*10^12-$A9)*(J$3*10^12-$A8)*-1&lt;0,0,1)*IF(ABS(J$3*10^12-$A9)&gt;(J$3*10^12-$A8),$A8,$A9)=J9,0,IF((J$3*10^12-$A9)*(J$3*10^12-$A8)*-1&lt;0,0,1)*IF(ABS(J$3*10^12-$A9)&gt;(J$3*10^12-$A8),$A8,$A9))</f>
        <v>0</v>
      </c>
      <c r="K8" s="0" t="n">
        <f aca="false">IF(IF((K$3*10^12-$A9)*(K$3*10^12-$A8)*-1&lt;0,0,1)*IF(ABS(K$3*10^12-$A9)&gt;(K$3*10^12-$A8),$A8,$A9)=K9,0,IF((K$3*10^12-$A9)*(K$3*10^12-$A8)*-1&lt;0,0,1)*IF(ABS(K$3*10^12-$A9)&gt;(K$3*10^12-$A8),$A8,$A9))</f>
        <v>0</v>
      </c>
      <c r="L8" s="0" t="n">
        <f aca="false">IF(IF((L$3*10^12-$A9)*(L$3*10^12-$A8)*-1&lt;0,0,1)*IF(ABS(L$3*10^12-$A9)&gt;(L$3*10^12-$A8),$A8,$A9)=L9,0,IF((L$3*10^12-$A9)*(L$3*10^12-$A8)*-1&lt;0,0,1)*IF(ABS(L$3*10^12-$A9)&gt;(L$3*10^12-$A8),$A8,$A9))</f>
        <v>0</v>
      </c>
      <c r="M8" s="0" t="n">
        <f aca="false">IF(IF((M$3*10^12-$A9)*(M$3*10^12-$A8)*-1&lt;0,0,1)*IF(ABS(M$3*10^12-$A9)&gt;(M$3*10^12-$A8),$A8,$A9)=M9,0,IF((M$3*10^12-$A9)*(M$3*10^12-$A8)*-1&lt;0,0,1)*IF(ABS(M$3*10^12-$A9)&gt;(M$3*10^12-$A8),$A8,$A9))</f>
        <v>0</v>
      </c>
      <c r="N8" s="0" t="e">
        <f aca="false">IF(IF((N$3*10^12-$A9)*(N$3*10^12-$A8)*-1&lt;0,0,1)*IF(ABS(N$3*10^12-$A9)&gt;(N$3*10^12-$A8),$A8,$A9)=N9,0,IF((N$3*10^12-$A9)*(N$3*10^12-$A8)*-1&lt;0,0,1)*IF(ABS(N$3*10^12-$A9)&gt;(N$3*10^12-$A8),$A8,$A9))</f>
        <v>#VALUE!</v>
      </c>
      <c r="Q8" s="0" t="s">
        <v>491</v>
      </c>
      <c r="R8" s="0" t="n">
        <f aca="false">Rcea2</f>
        <v>5.44504206462059</v>
      </c>
      <c r="S8" s="244" t="n">
        <f aca="false">IF(R8&gt;(INT(0.5+100*POWER(10,IF(96*(LOG(R8)-INT(LOG(R8)))-ROUND(96*(LOG(R8)-INT(LOG(R8))),0)&lt;0,ROUND(96*(LOG(R8)-INT(LOG(R8))),0)-1,ROUND(96*(LOG(R8)-INT(LOG(R8))),0))/96))*POWER(10,INT(LOG(R8))-2)+INT(0.5+100*POWER(10,(IF(96*(LOG(R8)-INT(LOG(R8)))-ROUND(96*(LOG(R8)-INT(LOG(R8))),0)&lt;0,ROUND(96*(LOG(R8)-INT(LOG(R8))),0)-1,ROUND(96*(LOG(R8)-INT(LOG(R8))),0))+1)/96))*POWER(10,INT(LOG(R8))-2))/2,INT(0.5+100*POWER(10,(IF(96*(LOG(R8)-INT(LOG(R8)))-ROUND(96*(LOG(R8)-INT(LOG(R8))),0)&lt;0,ROUND(96*(LOG(R8)-INT(LOG(R8))),0)-1,ROUND(96*(LOG(R8)-INT(LOG(R8))),0))+1)/96))*POWER(10,INT(LOG(R8))-2),INT(0.5+100*POWER(10,IF(96*(LOG(R8)-INT(LOG(R8)))-ROUND(96*(LOG(R8)-INT(LOG(R8))),0)&lt;0,ROUND(96*(LOG(R8)-INT(LOG(R8))),0)-1,ROUND(96*(LOG(R8)-INT(LOG(R8))),0))/96))*POWER(10,INT(LOG(R8))-2))</f>
        <v>5.49</v>
      </c>
      <c r="T8" s="309" t="s">
        <v>488</v>
      </c>
    </row>
    <row r="9" customFormat="false" ht="12.75" hidden="false" customHeight="false" outlineLevel="0" collapsed="false">
      <c r="A9" s="0" t="n">
        <v>0.82</v>
      </c>
      <c r="B9" s="0" t="n">
        <f aca="false">IF(IF((B$3*10^12-$A10)*(B$3*10^12-$A9)*-1&lt;0,0,1)*IF(ABS(B$3*10^12-$A10)&gt;(B$3*10^12-$A9),$A9,$A10)=B10,0,IF((B$3*10^12-$A10)*(B$3*10^12-$A9)*-1&lt;0,0,1)*IF(ABS(B$3*10^12-$A10)&gt;(B$3*10^12-$A9),$A9,$A10))</f>
        <v>0</v>
      </c>
      <c r="C9" s="0" t="n">
        <f aca="false">IF(IF((C$3*10^12-$A10)*(C$3*10^12-$A9)*-1&lt;0,0,1)*IF(ABS(C$3*10^12-$A10)&gt;(C$3*10^12-$A9),$A9,$A10)=C10,0,IF((C$3*10^12-$A10)*(C$3*10^12-$A9)*-1&lt;0,0,1)*IF(ABS(C$3*10^12-$A10)&gt;(C$3*10^12-$A9),$A9,$A10))</f>
        <v>0</v>
      </c>
      <c r="D9" s="0" t="n">
        <f aca="false">IF(IF((D$3*10^12-$A10)*(D$3*10^12-$A9)*-1&lt;0,0,1)*IF(ABS(D$3*10^12-$A10)&gt;(D$3*10^12-$A9),$A9,$A10)=D10,0,IF((D$3*10^12-$A10)*(D$3*10^12-$A9)*-1&lt;0,0,1)*IF(ABS(D$3*10^12-$A10)&gt;(D$3*10^12-$A9),$A9,$A10))</f>
        <v>0</v>
      </c>
      <c r="E9" s="0" t="n">
        <f aca="false">IF(IF((E$3*10^12-$A10)*(E$3*10^12-$A9)*-1&lt;0,0,1)*IF(ABS(E$3*10^12-$A10)&gt;(E$3*10^12-$A9),$A9,$A10)=E10,0,IF((E$3*10^12-$A10)*(E$3*10^12-$A9)*-1&lt;0,0,1)*IF(ABS(E$3*10^12-$A10)&gt;(E$3*10^12-$A9),$A9,$A10))</f>
        <v>0</v>
      </c>
      <c r="F9" s="0" t="n">
        <f aca="false">IF(IF((F$3*10^12-$A10)*(F$3*10^12-$A9)*-1&lt;0,0,1)*IF(ABS(F$3*10^12-$A10)&gt;(F$3*10^12-$A9),$A9,$A10)=F10,0,IF((F$3*10^12-$A10)*(F$3*10^12-$A9)*-1&lt;0,0,1)*IF(ABS(F$3*10^12-$A10)&gt;(F$3*10^12-$A9),$A9,$A10))</f>
        <v>0</v>
      </c>
      <c r="G9" s="0" t="n">
        <f aca="false">IF(IF((G$3*10^12-$A10)*(G$3*10^12-$A9)*-1&lt;0,0,1)*IF(ABS(G$3*10^12-$A10)&gt;(G$3*10^12-$A9),$A9,$A10)=G10,0,IF((G$3*10^12-$A10)*(G$3*10^12-$A9)*-1&lt;0,0,1)*IF(ABS(G$3*10^12-$A10)&gt;(G$3*10^12-$A9),$A9,$A10))</f>
        <v>0</v>
      </c>
      <c r="H9" s="0" t="n">
        <f aca="false">IF(IF((H$3*10^12-$A10)*(H$3*10^12-$A9)*-1&lt;0,0,1)*IF(ABS(H$3*10^12-$A10)&gt;(H$3*10^12-$A9),$A9,$A10)=H10,0,IF((H$3*10^12-$A10)*(H$3*10^12-$A9)*-1&lt;0,0,1)*IF(ABS(H$3*10^12-$A10)&gt;(H$3*10^12-$A9),$A9,$A10))</f>
        <v>0</v>
      </c>
      <c r="I9" s="0" t="n">
        <f aca="false">IF(IF((I$3*10^12-$A10)*(I$3*10^12-$A9)*-1&lt;0,0,1)*IF(ABS(I$3*10^12-$A10)&gt;(I$3*10^12-$A9),$A9,$A10)=I10,0,IF((I$3*10^12-$A10)*(I$3*10^12-$A9)*-1&lt;0,0,1)*IF(ABS(I$3*10^12-$A10)&gt;(I$3*10^12-$A9),$A9,$A10))</f>
        <v>0</v>
      </c>
      <c r="J9" s="0" t="n">
        <f aca="false">IF(IF((J$3*10^12-$A10)*(J$3*10^12-$A9)*-1&lt;0,0,1)*IF(ABS(J$3*10^12-$A10)&gt;(J$3*10^12-$A9),$A9,$A10)=J10,0,IF((J$3*10^12-$A10)*(J$3*10^12-$A9)*-1&lt;0,0,1)*IF(ABS(J$3*10^12-$A10)&gt;(J$3*10^12-$A9),$A9,$A10))</f>
        <v>0</v>
      </c>
      <c r="K9" s="0" t="n">
        <f aca="false">IF(IF((K$3*10^12-$A10)*(K$3*10^12-$A9)*-1&lt;0,0,1)*IF(ABS(K$3*10^12-$A10)&gt;(K$3*10^12-$A9),$A9,$A10)=K10,0,IF((K$3*10^12-$A10)*(K$3*10^12-$A9)*-1&lt;0,0,1)*IF(ABS(K$3*10^12-$A10)&gt;(K$3*10^12-$A9),$A9,$A10))</f>
        <v>0</v>
      </c>
      <c r="L9" s="0" t="n">
        <f aca="false">IF(IF((L$3*10^12-$A10)*(L$3*10^12-$A9)*-1&lt;0,0,1)*IF(ABS(L$3*10^12-$A10)&gt;(L$3*10^12-$A9),$A9,$A10)=L10,0,IF((L$3*10^12-$A10)*(L$3*10^12-$A9)*-1&lt;0,0,1)*IF(ABS(L$3*10^12-$A10)&gt;(L$3*10^12-$A9),$A9,$A10))</f>
        <v>0</v>
      </c>
      <c r="M9" s="0" t="n">
        <f aca="false">IF(IF((M$3*10^12-$A10)*(M$3*10^12-$A9)*-1&lt;0,0,1)*IF(ABS(M$3*10^12-$A10)&gt;(M$3*10^12-$A9),$A9,$A10)=M10,0,IF((M$3*10^12-$A10)*(M$3*10^12-$A9)*-1&lt;0,0,1)*IF(ABS(M$3*10^12-$A10)&gt;(M$3*10^12-$A9),$A9,$A10))</f>
        <v>0</v>
      </c>
      <c r="N9" s="0" t="e">
        <f aca="false">IF(IF((N$3*10^12-$A10)*(N$3*10^12-$A9)*-1&lt;0,0,1)*IF(ABS(N$3*10^12-$A10)&gt;(N$3*10^12-$A9),$A9,$A10)=N10,0,IF((N$3*10^12-$A10)*(N$3*10^12-$A9)*-1&lt;0,0,1)*IF(ABS(N$3*10^12-$A10)&gt;(N$3*10^12-$A9),$A9,$A10))</f>
        <v>#VALUE!</v>
      </c>
      <c r="Q9" s="0" t="s">
        <v>308</v>
      </c>
      <c r="R9" s="0" t="n">
        <f aca="false">_Rfb1</f>
        <v>20000</v>
      </c>
      <c r="S9" s="244" t="n">
        <f aca="false">IF(R9&gt;(INT(0.5+100*POWER(10,IF(96*(LOG(R9)-INT(LOG(R9)))-ROUND(96*(LOG(R9)-INT(LOG(R9))),0)&lt;0,ROUND(96*(LOG(R9)-INT(LOG(R9))),0)-1,ROUND(96*(LOG(R9)-INT(LOG(R9))),0))/96))*POWER(10,INT(LOG(R9))-2)+INT(0.5+100*POWER(10,(IF(96*(LOG(R9)-INT(LOG(R9)))-ROUND(96*(LOG(R9)-INT(LOG(R9))),0)&lt;0,ROUND(96*(LOG(R9)-INT(LOG(R9))),0)-1,ROUND(96*(LOG(R9)-INT(LOG(R9))),0))+1)/96))*POWER(10,INT(LOG(R9))-2))/2,INT(0.5+100*POWER(10,(IF(96*(LOG(R9)-INT(LOG(R9)))-ROUND(96*(LOG(R9)-INT(LOG(R9))),0)&lt;0,ROUND(96*(LOG(R9)-INT(LOG(R9))),0)-1,ROUND(96*(LOG(R9)-INT(LOG(R9))),0))+1)/96))*POWER(10,INT(LOG(R9))-2),INT(0.5+100*POWER(10,IF(96*(LOG(R9)-INT(LOG(R9)))-ROUND(96*(LOG(R9)-INT(LOG(R9))),0)&lt;0,ROUND(96*(LOG(R9)-INT(LOG(R9))),0)-1,ROUND(96*(LOG(R9)-INT(LOG(R9))),0))/96))*POWER(10,INT(LOG(R9))-2))</f>
        <v>20000</v>
      </c>
      <c r="T9" s="309" t="s">
        <v>488</v>
      </c>
    </row>
    <row r="10" customFormat="false" ht="12.75" hidden="false" customHeight="false" outlineLevel="0" collapsed="false">
      <c r="A10" s="0" t="n">
        <v>1</v>
      </c>
      <c r="B10" s="0" t="n">
        <f aca="false">IF(IF((B$3*10^12-$A11)*(B$3*10^12-$A10)*-1&lt;0,0,1)*IF(ABS(B$3*10^12-$A11)&gt;(B$3*10^12-$A10),$A10,$A11)=B11,0,IF((B$3*10^12-$A11)*(B$3*10^12-$A10)*-1&lt;0,0,1)*IF(ABS(B$3*10^12-$A11)&gt;(B$3*10^12-$A10),$A10,$A11))</f>
        <v>0</v>
      </c>
      <c r="C10" s="0" t="n">
        <f aca="false">IF(IF((C$3*10^12-$A11)*(C$3*10^12-$A10)*-1&lt;0,0,1)*IF(ABS(C$3*10^12-$A11)&gt;(C$3*10^12-$A10),$A10,$A11)=C11,0,IF((C$3*10^12-$A11)*(C$3*10^12-$A10)*-1&lt;0,0,1)*IF(ABS(C$3*10^12-$A11)&gt;(C$3*10^12-$A10),$A10,$A11))</f>
        <v>0</v>
      </c>
      <c r="D10" s="0" t="n">
        <f aca="false">IF(IF((D$3*10^12-$A11)*(D$3*10^12-$A10)*-1&lt;0,0,1)*IF(ABS(D$3*10^12-$A11)&gt;(D$3*10^12-$A10),$A10,$A11)=D11,0,IF((D$3*10^12-$A11)*(D$3*10^12-$A10)*-1&lt;0,0,1)*IF(ABS(D$3*10^12-$A11)&gt;(D$3*10^12-$A10),$A10,$A11))</f>
        <v>0</v>
      </c>
      <c r="E10" s="0" t="n">
        <f aca="false">IF(IF((E$3*10^12-$A11)*(E$3*10^12-$A10)*-1&lt;0,0,1)*IF(ABS(E$3*10^12-$A11)&gt;(E$3*10^12-$A10),$A10,$A11)=E11,0,IF((E$3*10^12-$A11)*(E$3*10^12-$A10)*-1&lt;0,0,1)*IF(ABS(E$3*10^12-$A11)&gt;(E$3*10^12-$A10),$A10,$A11))</f>
        <v>0</v>
      </c>
      <c r="F10" s="0" t="n">
        <f aca="false">IF(IF((F$3*10^12-$A11)*(F$3*10^12-$A10)*-1&lt;0,0,1)*IF(ABS(F$3*10^12-$A11)&gt;(F$3*10^12-$A10),$A10,$A11)=F11,0,IF((F$3*10^12-$A11)*(F$3*10^12-$A10)*-1&lt;0,0,1)*IF(ABS(F$3*10^12-$A11)&gt;(F$3*10^12-$A10),$A10,$A11))</f>
        <v>0</v>
      </c>
      <c r="G10" s="0" t="n">
        <f aca="false">IF(IF((G$3*10^12-$A11)*(G$3*10^12-$A10)*-1&lt;0,0,1)*IF(ABS(G$3*10^12-$A11)&gt;(G$3*10^12-$A10),$A10,$A11)=G11,0,IF((G$3*10^12-$A11)*(G$3*10^12-$A10)*-1&lt;0,0,1)*IF(ABS(G$3*10^12-$A11)&gt;(G$3*10^12-$A10),$A10,$A11))</f>
        <v>0</v>
      </c>
      <c r="H10" s="0" t="n">
        <f aca="false">IF(IF((H$3*10^12-$A11)*(H$3*10^12-$A10)*-1&lt;0,0,1)*IF(ABS(H$3*10^12-$A11)&gt;(H$3*10^12-$A10),$A10,$A11)=H11,0,IF((H$3*10^12-$A11)*(H$3*10^12-$A10)*-1&lt;0,0,1)*IF(ABS(H$3*10^12-$A11)&gt;(H$3*10^12-$A10),$A10,$A11))</f>
        <v>0</v>
      </c>
      <c r="I10" s="0" t="n">
        <f aca="false">IF(IF((I$3*10^12-$A11)*(I$3*10^12-$A10)*-1&lt;0,0,1)*IF(ABS(I$3*10^12-$A11)&gt;(I$3*10^12-$A10),$A10,$A11)=I11,0,IF((I$3*10^12-$A11)*(I$3*10^12-$A10)*-1&lt;0,0,1)*IF(ABS(I$3*10^12-$A11)&gt;(I$3*10^12-$A10),$A10,$A11))</f>
        <v>0</v>
      </c>
      <c r="J10" s="0" t="n">
        <f aca="false">IF(IF((J$3*10^12-$A11)*(J$3*10^12-$A10)*-1&lt;0,0,1)*IF(ABS(J$3*10^12-$A11)&gt;(J$3*10^12-$A10),$A10,$A11)=J11,0,IF((J$3*10^12-$A11)*(J$3*10^12-$A10)*-1&lt;0,0,1)*IF(ABS(J$3*10^12-$A11)&gt;(J$3*10^12-$A10),$A10,$A11))</f>
        <v>0</v>
      </c>
      <c r="K10" s="0" t="n">
        <f aca="false">IF(IF((K$3*10^12-$A11)*(K$3*10^12-$A10)*-1&lt;0,0,1)*IF(ABS(K$3*10^12-$A11)&gt;(K$3*10^12-$A10),$A10,$A11)=K11,0,IF((K$3*10^12-$A11)*(K$3*10^12-$A10)*-1&lt;0,0,1)*IF(ABS(K$3*10^12-$A11)&gt;(K$3*10^12-$A10),$A10,$A11))</f>
        <v>0</v>
      </c>
      <c r="L10" s="0" t="n">
        <f aca="false">IF(IF((L$3*10^12-$A11)*(L$3*10^12-$A10)*-1&lt;0,0,1)*IF(ABS(L$3*10^12-$A11)&gt;(L$3*10^12-$A10),$A10,$A11)=L11,0,IF((L$3*10^12-$A11)*(L$3*10^12-$A10)*-1&lt;0,0,1)*IF(ABS(L$3*10^12-$A11)&gt;(L$3*10^12-$A10),$A10,$A11))</f>
        <v>0</v>
      </c>
      <c r="M10" s="0" t="n">
        <f aca="false">IF(IF((M$3*10^12-$A11)*(M$3*10^12-$A10)*-1&lt;0,0,1)*IF(ABS(M$3*10^12-$A11)&gt;(M$3*10^12-$A10),$A10,$A11)=M11,0,IF((M$3*10^12-$A11)*(M$3*10^12-$A10)*-1&lt;0,0,1)*IF(ABS(M$3*10^12-$A11)&gt;(M$3*10^12-$A10),$A10,$A11))</f>
        <v>0</v>
      </c>
      <c r="N10" s="0" t="e">
        <f aca="false">IF(IF((N$3*10^12-$A11)*(N$3*10^12-$A10)*-1&lt;0,0,1)*IF(ABS(N$3*10^12-$A11)&gt;(N$3*10^12-$A10),$A10,$A11)=N11,0,IF((N$3*10^12-$A11)*(N$3*10^12-$A10)*-1&lt;0,0,1)*IF(ABS(N$3*10^12-$A11)&gt;(N$3*10^12-$A10),$A10,$A11))</f>
        <v>#VALUE!</v>
      </c>
      <c r="Q10" s="0" t="s">
        <v>310</v>
      </c>
      <c r="R10" s="0" t="n">
        <f aca="false">_Rfb2</f>
        <v>2222.22222222222</v>
      </c>
      <c r="S10" s="244" t="n">
        <f aca="false">IF(R10="OPEN","OPEN",IF(R10&gt;(INT(0.5+100*POWER(10,IF(96*(LOG(R10)-INT(LOG(R10)))-ROUND(96*(LOG(R10)-INT(LOG(R10))),0)&lt;0,ROUND(96*(LOG(R10)-INT(LOG(R10))),0)-1,ROUND(96*(LOG(R10)-INT(LOG(R10))),0))/96))*POWER(10,INT(LOG(R10))-2)+INT(0.5+100*POWER(10,(IF(96*(LOG(R10)-INT(LOG(R10)))-ROUND(96*(LOG(R10)-INT(LOG(R10))),0)&lt;0,ROUND(96*(LOG(R10)-INT(LOG(R10))),0)-1,ROUND(96*(LOG(R10)-INT(LOG(R10))),0))+1)/96))*POWER(10,INT(LOG(R10))-2))/2,INT(0.5+100*POWER(10,(IF(96*(LOG(R10)-INT(LOG(R10)))-ROUND(96*(LOG(R10)-INT(LOG(R10))),0)&lt;0,ROUND(96*(LOG(R10)-INT(LOG(R10))),0)-1,ROUND(96*(LOG(R10)-INT(LOG(R10))),0))+1)/96))*POWER(10,INT(LOG(R10))-2),INT(0.5+100*POWER(10,IF(96*(LOG(R10)-INT(LOG(R10)))-ROUND(96*(LOG(R10)-INT(LOG(R10))),0)&lt;0,ROUND(96*(LOG(R10)-INT(LOG(R10))),0)-1,ROUND(96*(LOG(R10)-INT(LOG(R10))),0))/96))*POWER(10,INT(LOG(R10))-2)))</f>
        <v>2210</v>
      </c>
      <c r="T10" s="309" t="s">
        <v>488</v>
      </c>
    </row>
    <row r="11" customFormat="false" ht="12.75" hidden="false" customHeight="false" outlineLevel="0" collapsed="false">
      <c r="A11" s="0" t="n">
        <v>1.2</v>
      </c>
      <c r="B11" s="0" t="n">
        <f aca="false">IF(IF((B$3*10^12-$A12)*(B$3*10^12-$A11)*-1&lt;0,0,1)*IF(ABS(B$3*10^12-$A12)&gt;(B$3*10^12-$A11),$A11,$A12)=B12,0,IF((B$3*10^12-$A12)*(B$3*10^12-$A11)*-1&lt;0,0,1)*IF(ABS(B$3*10^12-$A12)&gt;(B$3*10^12-$A11),$A11,$A12))</f>
        <v>0</v>
      </c>
      <c r="C11" s="0" t="n">
        <f aca="false">IF(IF((C$3*10^12-$A12)*(C$3*10^12-$A11)*-1&lt;0,0,1)*IF(ABS(C$3*10^12-$A12)&gt;(C$3*10^12-$A11),$A11,$A12)=C12,0,IF((C$3*10^12-$A12)*(C$3*10^12-$A11)*-1&lt;0,0,1)*IF(ABS(C$3*10^12-$A12)&gt;(C$3*10^12-$A11),$A11,$A12))</f>
        <v>0</v>
      </c>
      <c r="D11" s="0" t="n">
        <f aca="false">IF(IF((D$3*10^12-$A12)*(D$3*10^12-$A11)*-1&lt;0,0,1)*IF(ABS(D$3*10^12-$A12)&gt;(D$3*10^12-$A11),$A11,$A12)=D12,0,IF((D$3*10^12-$A12)*(D$3*10^12-$A11)*-1&lt;0,0,1)*IF(ABS(D$3*10^12-$A12)&gt;(D$3*10^12-$A11),$A11,$A12))</f>
        <v>0</v>
      </c>
      <c r="E11" s="0" t="n">
        <f aca="false">IF(IF((E$3*10^12-$A12)*(E$3*10^12-$A11)*-1&lt;0,0,1)*IF(ABS(E$3*10^12-$A12)&gt;(E$3*10^12-$A11),$A11,$A12)=E12,0,IF((E$3*10^12-$A12)*(E$3*10^12-$A11)*-1&lt;0,0,1)*IF(ABS(E$3*10^12-$A12)&gt;(E$3*10^12-$A11),$A11,$A12))</f>
        <v>0</v>
      </c>
      <c r="F11" s="0" t="n">
        <f aca="false">IF(IF((F$3*10^12-$A12)*(F$3*10^12-$A11)*-1&lt;0,0,1)*IF(ABS(F$3*10^12-$A12)&gt;(F$3*10^12-$A11),$A11,$A12)=F12,0,IF((F$3*10^12-$A12)*(F$3*10^12-$A11)*-1&lt;0,0,1)*IF(ABS(F$3*10^12-$A12)&gt;(F$3*10^12-$A11),$A11,$A12))</f>
        <v>0</v>
      </c>
      <c r="G11" s="0" t="n">
        <f aca="false">IF(IF((G$3*10^12-$A12)*(G$3*10^12-$A11)*-1&lt;0,0,1)*IF(ABS(G$3*10^12-$A12)&gt;(G$3*10^12-$A11),$A11,$A12)=G12,0,IF((G$3*10^12-$A12)*(G$3*10^12-$A11)*-1&lt;0,0,1)*IF(ABS(G$3*10^12-$A12)&gt;(G$3*10^12-$A11),$A11,$A12))</f>
        <v>0</v>
      </c>
      <c r="H11" s="0" t="n">
        <f aca="false">IF(IF((H$3*10^12-$A12)*(H$3*10^12-$A11)*-1&lt;0,0,1)*IF(ABS(H$3*10^12-$A12)&gt;(H$3*10^12-$A11),$A11,$A12)=H12,0,IF((H$3*10^12-$A12)*(H$3*10^12-$A11)*-1&lt;0,0,1)*IF(ABS(H$3*10^12-$A12)&gt;(H$3*10^12-$A11),$A11,$A12))</f>
        <v>0</v>
      </c>
      <c r="I11" s="0" t="n">
        <f aca="false">IF(IF((I$3*10^12-$A12)*(I$3*10^12-$A11)*-1&lt;0,0,1)*IF(ABS(I$3*10^12-$A12)&gt;(I$3*10^12-$A11),$A11,$A12)=I12,0,IF((I$3*10^12-$A12)*(I$3*10^12-$A11)*-1&lt;0,0,1)*IF(ABS(I$3*10^12-$A12)&gt;(I$3*10^12-$A11),$A11,$A12))</f>
        <v>0</v>
      </c>
      <c r="J11" s="0" t="n">
        <f aca="false">IF(IF((J$3*10^12-$A12)*(J$3*10^12-$A11)*-1&lt;0,0,1)*IF(ABS(J$3*10^12-$A12)&gt;(J$3*10^12-$A11),$A11,$A12)=J12,0,IF((J$3*10^12-$A12)*(J$3*10^12-$A11)*-1&lt;0,0,1)*IF(ABS(J$3*10^12-$A12)&gt;(J$3*10^12-$A11),$A11,$A12))</f>
        <v>0</v>
      </c>
      <c r="K11" s="0" t="n">
        <f aca="false">IF(IF((K$3*10^12-$A12)*(K$3*10^12-$A11)*-1&lt;0,0,1)*IF(ABS(K$3*10^12-$A12)&gt;(K$3*10^12-$A11),$A11,$A12)=K12,0,IF((K$3*10^12-$A12)*(K$3*10^12-$A11)*-1&lt;0,0,1)*IF(ABS(K$3*10^12-$A12)&gt;(K$3*10^12-$A11),$A11,$A12))</f>
        <v>0</v>
      </c>
      <c r="L11" s="0" t="n">
        <f aca="false">IF(IF((L$3*10^12-$A12)*(L$3*10^12-$A11)*-1&lt;0,0,1)*IF(ABS(L$3*10^12-$A12)&gt;(L$3*10^12-$A11),$A11,$A12)=L12,0,IF((L$3*10^12-$A12)*(L$3*10^12-$A11)*-1&lt;0,0,1)*IF(ABS(L$3*10^12-$A12)&gt;(L$3*10^12-$A11),$A11,$A12))</f>
        <v>0</v>
      </c>
      <c r="M11" s="0" t="n">
        <f aca="false">IF(IF((M$3*10^12-$A12)*(M$3*10^12-$A11)*-1&lt;0,0,1)*IF(ABS(M$3*10^12-$A12)&gt;(M$3*10^12-$A11),$A11,$A12)=M12,0,IF((M$3*10^12-$A12)*(M$3*10^12-$A11)*-1&lt;0,0,1)*IF(ABS(M$3*10^12-$A12)&gt;(M$3*10^12-$A11),$A11,$A12))</f>
        <v>0</v>
      </c>
      <c r="N11" s="0" t="e">
        <f aca="false">IF(IF((N$3*10^12-$A12)*(N$3*10^12-$A11)*-1&lt;0,0,1)*IF(ABS(N$3*10^12-$A12)&gt;(N$3*10^12-$A11),$A11,$A12)=N12,0,IF((N$3*10^12-$A12)*(N$3*10^12-$A11)*-1&lt;0,0,1)*IF(ABS(N$3*10^12-$A12)&gt;(N$3*10^12-$A11),$A11,$A12))</f>
        <v>#VALUE!</v>
      </c>
      <c r="Q11" s="0" t="s">
        <v>472</v>
      </c>
      <c r="R11" s="0" t="n">
        <f aca="false">_Rs1</f>
        <v>0</v>
      </c>
      <c r="S11" s="244"/>
    </row>
    <row r="12" customFormat="false" ht="12.75" hidden="false" customHeight="false" outlineLevel="0" collapsed="false">
      <c r="A12" s="0" t="n">
        <v>1.5</v>
      </c>
      <c r="B12" s="0" t="n">
        <f aca="false">IF(IF((B$3*10^12-$A13)*(B$3*10^12-$A12)*-1&lt;0,0,1)*IF(ABS(B$3*10^12-$A13)&gt;(B$3*10^12-$A12),$A12,$A13)=B13,0,IF((B$3*10^12-$A13)*(B$3*10^12-$A12)*-1&lt;0,0,1)*IF(ABS(B$3*10^12-$A13)&gt;(B$3*10^12-$A12),$A12,$A13))</f>
        <v>0</v>
      </c>
      <c r="C12" s="0" t="n">
        <f aca="false">IF(IF((C$3*10^12-$A13)*(C$3*10^12-$A12)*-1&lt;0,0,1)*IF(ABS(C$3*10^12-$A13)&gt;(C$3*10^12-$A12),$A12,$A13)=C13,0,IF((C$3*10^12-$A13)*(C$3*10^12-$A12)*-1&lt;0,0,1)*IF(ABS(C$3*10^12-$A13)&gt;(C$3*10^12-$A12),$A12,$A13))</f>
        <v>0</v>
      </c>
      <c r="D12" s="0" t="n">
        <f aca="false">IF(IF((D$3*10^12-$A13)*(D$3*10^12-$A12)*-1&lt;0,0,1)*IF(ABS(D$3*10^12-$A13)&gt;(D$3*10^12-$A12),$A12,$A13)=D13,0,IF((D$3*10^12-$A13)*(D$3*10^12-$A12)*-1&lt;0,0,1)*IF(ABS(D$3*10^12-$A13)&gt;(D$3*10^12-$A12),$A12,$A13))</f>
        <v>0</v>
      </c>
      <c r="E12" s="0" t="n">
        <f aca="false">IF(IF((E$3*10^12-$A13)*(E$3*10^12-$A12)*-1&lt;0,0,1)*IF(ABS(E$3*10^12-$A13)&gt;(E$3*10^12-$A12),$A12,$A13)=E13,0,IF((E$3*10^12-$A13)*(E$3*10^12-$A12)*-1&lt;0,0,1)*IF(ABS(E$3*10^12-$A13)&gt;(E$3*10^12-$A12),$A12,$A13))</f>
        <v>0</v>
      </c>
      <c r="F12" s="0" t="n">
        <f aca="false">IF(IF((F$3*10^12-$A13)*(F$3*10^12-$A12)*-1&lt;0,0,1)*IF(ABS(F$3*10^12-$A13)&gt;(F$3*10^12-$A12),$A12,$A13)=F13,0,IF((F$3*10^12-$A13)*(F$3*10^12-$A12)*-1&lt;0,0,1)*IF(ABS(F$3*10^12-$A13)&gt;(F$3*10^12-$A12),$A12,$A13))</f>
        <v>0</v>
      </c>
      <c r="G12" s="0" t="n">
        <f aca="false">IF(IF((G$3*10^12-$A13)*(G$3*10^12-$A12)*-1&lt;0,0,1)*IF(ABS(G$3*10^12-$A13)&gt;(G$3*10^12-$A12),$A12,$A13)=G13,0,IF((G$3*10^12-$A13)*(G$3*10^12-$A12)*-1&lt;0,0,1)*IF(ABS(G$3*10^12-$A13)&gt;(G$3*10^12-$A12),$A12,$A13))</f>
        <v>0</v>
      </c>
      <c r="H12" s="0" t="n">
        <f aca="false">IF(IF((H$3*10^12-$A13)*(H$3*10^12-$A12)*-1&lt;0,0,1)*IF(ABS(H$3*10^12-$A13)&gt;(H$3*10^12-$A12),$A12,$A13)=H13,0,IF((H$3*10^12-$A13)*(H$3*10^12-$A12)*-1&lt;0,0,1)*IF(ABS(H$3*10^12-$A13)&gt;(H$3*10^12-$A12),$A12,$A13))</f>
        <v>0</v>
      </c>
      <c r="I12" s="0" t="n">
        <f aca="false">IF(IF((I$3*10^12-$A13)*(I$3*10^12-$A12)*-1&lt;0,0,1)*IF(ABS(I$3*10^12-$A13)&gt;(I$3*10^12-$A12),$A12,$A13)=I13,0,IF((I$3*10^12-$A13)*(I$3*10^12-$A12)*-1&lt;0,0,1)*IF(ABS(I$3*10^12-$A13)&gt;(I$3*10^12-$A12),$A12,$A13))</f>
        <v>0</v>
      </c>
      <c r="J12" s="0" t="n">
        <f aca="false">IF(IF((J$3*10^12-$A13)*(J$3*10^12-$A12)*-1&lt;0,0,1)*IF(ABS(J$3*10^12-$A13)&gt;(J$3*10^12-$A12),$A12,$A13)=J13,0,IF((J$3*10^12-$A13)*(J$3*10^12-$A12)*-1&lt;0,0,1)*IF(ABS(J$3*10^12-$A13)&gt;(J$3*10^12-$A12),$A12,$A13))</f>
        <v>0</v>
      </c>
      <c r="K12" s="0" t="n">
        <f aca="false">IF(IF((K$3*10^12-$A13)*(K$3*10^12-$A12)*-1&lt;0,0,1)*IF(ABS(K$3*10^12-$A13)&gt;(K$3*10^12-$A12),$A12,$A13)=K13,0,IF((K$3*10^12-$A13)*(K$3*10^12-$A12)*-1&lt;0,0,1)*IF(ABS(K$3*10^12-$A13)&gt;(K$3*10^12-$A12),$A12,$A13))</f>
        <v>0</v>
      </c>
      <c r="L12" s="0" t="n">
        <f aca="false">IF(IF((L$3*10^12-$A13)*(L$3*10^12-$A12)*-1&lt;0,0,1)*IF(ABS(L$3*10^12-$A13)&gt;(L$3*10^12-$A12),$A12,$A13)=L13,0,IF((L$3*10^12-$A13)*(L$3*10^12-$A12)*-1&lt;0,0,1)*IF(ABS(L$3*10^12-$A13)&gt;(L$3*10^12-$A12),$A12,$A13))</f>
        <v>0</v>
      </c>
      <c r="M12" s="0" t="n">
        <f aca="false">IF(IF((M$3*10^12-$A13)*(M$3*10^12-$A12)*-1&lt;0,0,1)*IF(ABS(M$3*10^12-$A13)&gt;(M$3*10^12-$A12),$A12,$A13)=M13,0,IF((M$3*10^12-$A13)*(M$3*10^12-$A12)*-1&lt;0,0,1)*IF(ABS(M$3*10^12-$A13)&gt;(M$3*10^12-$A12),$A12,$A13))</f>
        <v>0</v>
      </c>
      <c r="N12" s="0" t="e">
        <f aca="false">IF(IF((N$3*10^12-$A13)*(N$3*10^12-$A12)*-1&lt;0,0,1)*IF(ABS(N$3*10^12-$A13)&gt;(N$3*10^12-$A12),$A12,$A13)=N13,0,IF((N$3*10^12-$A13)*(N$3*10^12-$A12)*-1&lt;0,0,1)*IF(ABS(N$3*10^12-$A13)&gt;(N$3*10^12-$A12),$A12,$A13))</f>
        <v>#VALUE!</v>
      </c>
      <c r="Q12" s="0" t="s">
        <v>473</v>
      </c>
      <c r="R12" s="0" t="n">
        <f aca="false">_Rs2</f>
        <v>0</v>
      </c>
      <c r="S12" s="244"/>
    </row>
    <row r="13" customFormat="false" ht="12.75" hidden="false" customHeight="false" outlineLevel="0" collapsed="false">
      <c r="A13" s="0" t="n">
        <v>1.8</v>
      </c>
      <c r="B13" s="0" t="n">
        <f aca="false">IF(IF((B$3*10^12-$A14)*(B$3*10^12-$A13)*-1&lt;0,0,1)*IF(ABS(B$3*10^12-$A14)&gt;(B$3*10^12-$A13),$A13,$A14)=B14,0,IF((B$3*10^12-$A14)*(B$3*10^12-$A13)*-1&lt;0,0,1)*IF(ABS(B$3*10^12-$A14)&gt;(B$3*10^12-$A13),$A13,$A14))</f>
        <v>0</v>
      </c>
      <c r="C13" s="0" t="n">
        <f aca="false">IF(IF((C$3*10^12-$A14)*(C$3*10^12-$A13)*-1&lt;0,0,1)*IF(ABS(C$3*10^12-$A14)&gt;(C$3*10^12-$A13),$A13,$A14)=C14,0,IF((C$3*10^12-$A14)*(C$3*10^12-$A13)*-1&lt;0,0,1)*IF(ABS(C$3*10^12-$A14)&gt;(C$3*10^12-$A13),$A13,$A14))</f>
        <v>0</v>
      </c>
      <c r="D13" s="0" t="n">
        <f aca="false">IF(IF((D$3*10^12-$A14)*(D$3*10^12-$A13)*-1&lt;0,0,1)*IF(ABS(D$3*10^12-$A14)&gt;(D$3*10^12-$A13),$A13,$A14)=D14,0,IF((D$3*10^12-$A14)*(D$3*10^12-$A13)*-1&lt;0,0,1)*IF(ABS(D$3*10^12-$A14)&gt;(D$3*10^12-$A13),$A13,$A14))</f>
        <v>0</v>
      </c>
      <c r="E13" s="0" t="n">
        <f aca="false">IF(IF((E$3*10^12-$A14)*(E$3*10^12-$A13)*-1&lt;0,0,1)*IF(ABS(E$3*10^12-$A14)&gt;(E$3*10^12-$A13),$A13,$A14)=E14,0,IF((E$3*10^12-$A14)*(E$3*10^12-$A13)*-1&lt;0,0,1)*IF(ABS(E$3*10^12-$A14)&gt;(E$3*10^12-$A13),$A13,$A14))</f>
        <v>0</v>
      </c>
      <c r="F13" s="0" t="n">
        <f aca="false">IF(IF((F$3*10^12-$A14)*(F$3*10^12-$A13)*-1&lt;0,0,1)*IF(ABS(F$3*10^12-$A14)&gt;(F$3*10^12-$A13),$A13,$A14)=F14,0,IF((F$3*10^12-$A14)*(F$3*10^12-$A13)*-1&lt;0,0,1)*IF(ABS(F$3*10^12-$A14)&gt;(F$3*10^12-$A13),$A13,$A14))</f>
        <v>0</v>
      </c>
      <c r="G13" s="0" t="n">
        <f aca="false">IF(IF((G$3*10^12-$A14)*(G$3*10^12-$A13)*-1&lt;0,0,1)*IF(ABS(G$3*10^12-$A14)&gt;(G$3*10^12-$A13),$A13,$A14)=G14,0,IF((G$3*10^12-$A14)*(G$3*10^12-$A13)*-1&lt;0,0,1)*IF(ABS(G$3*10^12-$A14)&gt;(G$3*10^12-$A13),$A13,$A14))</f>
        <v>0</v>
      </c>
      <c r="H13" s="0" t="n">
        <f aca="false">IF(IF((H$3*10^12-$A14)*(H$3*10^12-$A13)*-1&lt;0,0,1)*IF(ABS(H$3*10^12-$A14)&gt;(H$3*10^12-$A13),$A13,$A14)=H14,0,IF((H$3*10^12-$A14)*(H$3*10^12-$A13)*-1&lt;0,0,1)*IF(ABS(H$3*10^12-$A14)&gt;(H$3*10^12-$A13),$A13,$A14))</f>
        <v>0</v>
      </c>
      <c r="I13" s="0" t="n">
        <f aca="false">IF(IF((I$3*10^12-$A14)*(I$3*10^12-$A13)*-1&lt;0,0,1)*IF(ABS(I$3*10^12-$A14)&gt;(I$3*10^12-$A13),$A13,$A14)=I14,0,IF((I$3*10^12-$A14)*(I$3*10^12-$A13)*-1&lt;0,0,1)*IF(ABS(I$3*10^12-$A14)&gt;(I$3*10^12-$A13),$A13,$A14))</f>
        <v>0</v>
      </c>
      <c r="J13" s="0" t="n">
        <f aca="false">IF(IF((J$3*10^12-$A14)*(J$3*10^12-$A13)*-1&lt;0,0,1)*IF(ABS(J$3*10^12-$A14)&gt;(J$3*10^12-$A13),$A13,$A14)=J14,0,IF((J$3*10^12-$A14)*(J$3*10^12-$A13)*-1&lt;0,0,1)*IF(ABS(J$3*10^12-$A14)&gt;(J$3*10^12-$A13),$A13,$A14))</f>
        <v>0</v>
      </c>
      <c r="K13" s="0" t="n">
        <f aca="false">IF(IF((K$3*10^12-$A14)*(K$3*10^12-$A13)*-1&lt;0,0,1)*IF(ABS(K$3*10^12-$A14)&gt;(K$3*10^12-$A13),$A13,$A14)=K14,0,IF((K$3*10^12-$A14)*(K$3*10^12-$A13)*-1&lt;0,0,1)*IF(ABS(K$3*10^12-$A14)&gt;(K$3*10^12-$A13),$A13,$A14))</f>
        <v>0</v>
      </c>
      <c r="L13" s="0" t="n">
        <f aca="false">IF(IF((L$3*10^12-$A14)*(L$3*10^12-$A13)*-1&lt;0,0,1)*IF(ABS(L$3*10^12-$A14)&gt;(L$3*10^12-$A13),$A13,$A14)=L14,0,IF((L$3*10^12-$A14)*(L$3*10^12-$A13)*-1&lt;0,0,1)*IF(ABS(L$3*10^12-$A14)&gt;(L$3*10^12-$A13),$A13,$A14))</f>
        <v>0</v>
      </c>
      <c r="M13" s="0" t="n">
        <f aca="false">IF(IF((M$3*10^12-$A14)*(M$3*10^12-$A13)*-1&lt;0,0,1)*IF(ABS(M$3*10^12-$A14)&gt;(M$3*10^12-$A13),$A13,$A14)=M14,0,IF((M$3*10^12-$A14)*(M$3*10^12-$A13)*-1&lt;0,0,1)*IF(ABS(M$3*10^12-$A14)&gt;(M$3*10^12-$A13),$A13,$A14))</f>
        <v>0</v>
      </c>
      <c r="N13" s="0" t="e">
        <f aca="false">IF(IF((N$3*10^12-$A14)*(N$3*10^12-$A13)*-1&lt;0,0,1)*IF(ABS(N$3*10^12-$A14)&gt;(N$3*10^12-$A13),$A13,$A14)=N14,0,IF((N$3*10^12-$A14)*(N$3*10^12-$A13)*-1&lt;0,0,1)*IF(ABS(N$3*10^12-$A14)&gt;(N$3*10^12-$A13),$A13,$A14))</f>
        <v>#VALUE!</v>
      </c>
      <c r="Q13" s="0" t="s">
        <v>474</v>
      </c>
      <c r="R13" s="0" t="n">
        <f aca="false">_Rs3</f>
        <v>0</v>
      </c>
      <c r="S13" s="244"/>
    </row>
    <row r="14" customFormat="false" ht="12.75" hidden="false" customHeight="false" outlineLevel="0" collapsed="false">
      <c r="A14" s="0" t="n">
        <v>2.2</v>
      </c>
      <c r="B14" s="0" t="n">
        <f aca="false">IF(IF((B$3*10^12-$A15)*(B$3*10^12-$A14)*-1&lt;0,0,1)*IF(ABS(B$3*10^12-$A15)&gt;(B$3*10^12-$A14),$A14,$A15)=B15,0,IF((B$3*10^12-$A15)*(B$3*10^12-$A14)*-1&lt;0,0,1)*IF(ABS(B$3*10^12-$A15)&gt;(B$3*10^12-$A14),$A14,$A15))</f>
        <v>0</v>
      </c>
      <c r="C14" s="0" t="n">
        <f aca="false">IF(IF((C$3*10^12-$A15)*(C$3*10^12-$A14)*-1&lt;0,0,1)*IF(ABS(C$3*10^12-$A15)&gt;(C$3*10^12-$A14),$A14,$A15)=C15,0,IF((C$3*10^12-$A15)*(C$3*10^12-$A14)*-1&lt;0,0,1)*IF(ABS(C$3*10^12-$A15)&gt;(C$3*10^12-$A14),$A14,$A15))</f>
        <v>0</v>
      </c>
      <c r="D14" s="0" t="n">
        <f aca="false">IF(IF((D$3*10^12-$A15)*(D$3*10^12-$A14)*-1&lt;0,0,1)*IF(ABS(D$3*10^12-$A15)&gt;(D$3*10^12-$A14),$A14,$A15)=D15,0,IF((D$3*10^12-$A15)*(D$3*10^12-$A14)*-1&lt;0,0,1)*IF(ABS(D$3*10^12-$A15)&gt;(D$3*10^12-$A14),$A14,$A15))</f>
        <v>0</v>
      </c>
      <c r="E14" s="0" t="n">
        <f aca="false">IF(IF((E$3*10^12-$A15)*(E$3*10^12-$A14)*-1&lt;0,0,1)*IF(ABS(E$3*10^12-$A15)&gt;(E$3*10^12-$A14),$A14,$A15)=E15,0,IF((E$3*10^12-$A15)*(E$3*10^12-$A14)*-1&lt;0,0,1)*IF(ABS(E$3*10^12-$A15)&gt;(E$3*10^12-$A14),$A14,$A15))</f>
        <v>0</v>
      </c>
      <c r="F14" s="0" t="n">
        <f aca="false">IF(IF((F$3*10^12-$A15)*(F$3*10^12-$A14)*-1&lt;0,0,1)*IF(ABS(F$3*10^12-$A15)&gt;(F$3*10^12-$A14),$A14,$A15)=F15,0,IF((F$3*10^12-$A15)*(F$3*10^12-$A14)*-1&lt;0,0,1)*IF(ABS(F$3*10^12-$A15)&gt;(F$3*10^12-$A14),$A14,$A15))</f>
        <v>0</v>
      </c>
      <c r="G14" s="0" t="n">
        <f aca="false">IF(IF((G$3*10^12-$A15)*(G$3*10^12-$A14)*-1&lt;0,0,1)*IF(ABS(G$3*10^12-$A15)&gt;(G$3*10^12-$A14),$A14,$A15)=G15,0,IF((G$3*10^12-$A15)*(G$3*10^12-$A14)*-1&lt;0,0,1)*IF(ABS(G$3*10^12-$A15)&gt;(G$3*10^12-$A14),$A14,$A15))</f>
        <v>0</v>
      </c>
      <c r="H14" s="0" t="n">
        <f aca="false">IF(IF((H$3*10^12-$A15)*(H$3*10^12-$A14)*-1&lt;0,0,1)*IF(ABS(H$3*10^12-$A15)&gt;(H$3*10^12-$A14),$A14,$A15)=H15,0,IF((H$3*10^12-$A15)*(H$3*10^12-$A14)*-1&lt;0,0,1)*IF(ABS(H$3*10^12-$A15)&gt;(H$3*10^12-$A14),$A14,$A15))</f>
        <v>0</v>
      </c>
      <c r="I14" s="0" t="n">
        <f aca="false">IF(IF((I$3*10^12-$A15)*(I$3*10^12-$A14)*-1&lt;0,0,1)*IF(ABS(I$3*10^12-$A15)&gt;(I$3*10^12-$A14),$A14,$A15)=I15,0,IF((I$3*10^12-$A15)*(I$3*10^12-$A14)*-1&lt;0,0,1)*IF(ABS(I$3*10^12-$A15)&gt;(I$3*10^12-$A14),$A14,$A15))</f>
        <v>0</v>
      </c>
      <c r="J14" s="0" t="n">
        <f aca="false">IF(IF((J$3*10^12-$A15)*(J$3*10^12-$A14)*-1&lt;0,0,1)*IF(ABS(J$3*10^12-$A15)&gt;(J$3*10^12-$A14),$A14,$A15)=J15,0,IF((J$3*10^12-$A15)*(J$3*10^12-$A14)*-1&lt;0,0,1)*IF(ABS(J$3*10^12-$A15)&gt;(J$3*10^12-$A14),$A14,$A15))</f>
        <v>0</v>
      </c>
      <c r="K14" s="0" t="n">
        <f aca="false">IF(IF((K$3*10^12-$A15)*(K$3*10^12-$A14)*-1&lt;0,0,1)*IF(ABS(K$3*10^12-$A15)&gt;(K$3*10^12-$A14),$A14,$A15)=K15,0,IF((K$3*10^12-$A15)*(K$3*10^12-$A14)*-1&lt;0,0,1)*IF(ABS(K$3*10^12-$A15)&gt;(K$3*10^12-$A14),$A14,$A15))</f>
        <v>0</v>
      </c>
      <c r="L14" s="0" t="n">
        <f aca="false">IF(IF((L$3*10^12-$A15)*(L$3*10^12-$A14)*-1&lt;0,0,1)*IF(ABS(L$3*10^12-$A15)&gt;(L$3*10^12-$A14),$A14,$A15)=L15,0,IF((L$3*10^12-$A15)*(L$3*10^12-$A14)*-1&lt;0,0,1)*IF(ABS(L$3*10^12-$A15)&gt;(L$3*10^12-$A14),$A14,$A15))</f>
        <v>0</v>
      </c>
      <c r="M14" s="0" t="n">
        <f aca="false">IF(IF((M$3*10^12-$A15)*(M$3*10^12-$A14)*-1&lt;0,0,1)*IF(ABS(M$3*10^12-$A15)&gt;(M$3*10^12-$A14),$A14,$A15)=M15,0,IF((M$3*10^12-$A15)*(M$3*10^12-$A14)*-1&lt;0,0,1)*IF(ABS(M$3*10^12-$A15)&gt;(M$3*10^12-$A14),$A14,$A15))</f>
        <v>0</v>
      </c>
      <c r="N14" s="0" t="e">
        <f aca="false">IF(IF((N$3*10^12-$A15)*(N$3*10^12-$A14)*-1&lt;0,0,1)*IF(ABS(N$3*10^12-$A15)&gt;(N$3*10^12-$A14),$A14,$A15)=N15,0,IF((N$3*10^12-$A15)*(N$3*10^12-$A14)*-1&lt;0,0,1)*IF(ABS(N$3*10^12-$A15)&gt;(N$3*10^12-$A14),$A14,$A15))</f>
        <v>#VALUE!</v>
      </c>
      <c r="S14" s="244"/>
    </row>
    <row r="15" customFormat="false" ht="12.75" hidden="false" customHeight="false" outlineLevel="0" collapsed="false">
      <c r="A15" s="0" t="n">
        <v>2.7</v>
      </c>
      <c r="B15" s="0" t="n">
        <f aca="false">IF(IF((B$3*10^12-$A16)*(B$3*10^12-$A15)*-1&lt;0,0,1)*IF(ABS(B$3*10^12-$A16)&gt;(B$3*10^12-$A15),$A15,$A16)=B16,0,IF((B$3*10^12-$A16)*(B$3*10^12-$A15)*-1&lt;0,0,1)*IF(ABS(B$3*10^12-$A16)&gt;(B$3*10^12-$A15),$A15,$A16))</f>
        <v>0</v>
      </c>
      <c r="C15" s="0" t="n">
        <f aca="false">IF(IF((C$3*10^12-$A16)*(C$3*10^12-$A15)*-1&lt;0,0,1)*IF(ABS(C$3*10^12-$A16)&gt;(C$3*10^12-$A15),$A15,$A16)=C16,0,IF((C$3*10^12-$A16)*(C$3*10^12-$A15)*-1&lt;0,0,1)*IF(ABS(C$3*10^12-$A16)&gt;(C$3*10^12-$A15),$A15,$A16))</f>
        <v>0</v>
      </c>
      <c r="D15" s="0" t="n">
        <f aca="false">IF(IF((D$3*10^12-$A16)*(D$3*10^12-$A15)*-1&lt;0,0,1)*IF(ABS(D$3*10^12-$A16)&gt;(D$3*10^12-$A15),$A15,$A16)=D16,0,IF((D$3*10^12-$A16)*(D$3*10^12-$A15)*-1&lt;0,0,1)*IF(ABS(D$3*10^12-$A16)&gt;(D$3*10^12-$A15),$A15,$A16))</f>
        <v>0</v>
      </c>
      <c r="E15" s="0" t="n">
        <f aca="false">IF(IF((E$3*10^12-$A16)*(E$3*10^12-$A15)*-1&lt;0,0,1)*IF(ABS(E$3*10^12-$A16)&gt;(E$3*10^12-$A15),$A15,$A16)=E16,0,IF((E$3*10^12-$A16)*(E$3*10^12-$A15)*-1&lt;0,0,1)*IF(ABS(E$3*10^12-$A16)&gt;(E$3*10^12-$A15),$A15,$A16))</f>
        <v>0</v>
      </c>
      <c r="F15" s="0" t="n">
        <f aca="false">IF(IF((F$3*10^12-$A16)*(F$3*10^12-$A15)*-1&lt;0,0,1)*IF(ABS(F$3*10^12-$A16)&gt;(F$3*10^12-$A15),$A15,$A16)=F16,0,IF((F$3*10^12-$A16)*(F$3*10^12-$A15)*-1&lt;0,0,1)*IF(ABS(F$3*10^12-$A16)&gt;(F$3*10^12-$A15),$A15,$A16))</f>
        <v>0</v>
      </c>
      <c r="G15" s="0" t="n">
        <f aca="false">IF(IF((G$3*10^12-$A16)*(G$3*10^12-$A15)*-1&lt;0,0,1)*IF(ABS(G$3*10^12-$A16)&gt;(G$3*10^12-$A15),$A15,$A16)=G16,0,IF((G$3*10^12-$A16)*(G$3*10^12-$A15)*-1&lt;0,0,1)*IF(ABS(G$3*10^12-$A16)&gt;(G$3*10^12-$A15),$A15,$A16))</f>
        <v>0</v>
      </c>
      <c r="H15" s="0" t="n">
        <f aca="false">IF(IF((H$3*10^12-$A16)*(H$3*10^12-$A15)*-1&lt;0,0,1)*IF(ABS(H$3*10^12-$A16)&gt;(H$3*10^12-$A15),$A15,$A16)=H16,0,IF((H$3*10^12-$A16)*(H$3*10^12-$A15)*-1&lt;0,0,1)*IF(ABS(H$3*10^12-$A16)&gt;(H$3*10^12-$A15),$A15,$A16))</f>
        <v>0</v>
      </c>
      <c r="I15" s="0" t="n">
        <f aca="false">IF(IF((I$3*10^12-$A16)*(I$3*10^12-$A15)*-1&lt;0,0,1)*IF(ABS(I$3*10^12-$A16)&gt;(I$3*10^12-$A15),$A15,$A16)=I16,0,IF((I$3*10^12-$A16)*(I$3*10^12-$A15)*-1&lt;0,0,1)*IF(ABS(I$3*10^12-$A16)&gt;(I$3*10^12-$A15),$A15,$A16))</f>
        <v>0</v>
      </c>
      <c r="J15" s="0" t="n">
        <f aca="false">IF(IF((J$3*10^12-$A16)*(J$3*10^12-$A15)*-1&lt;0,0,1)*IF(ABS(J$3*10^12-$A16)&gt;(J$3*10^12-$A15),$A15,$A16)=J16,0,IF((J$3*10^12-$A16)*(J$3*10^12-$A15)*-1&lt;0,0,1)*IF(ABS(J$3*10^12-$A16)&gt;(J$3*10^12-$A15),$A15,$A16))</f>
        <v>0</v>
      </c>
      <c r="K15" s="0" t="n">
        <f aca="false">IF(IF((K$3*10^12-$A16)*(K$3*10^12-$A15)*-1&lt;0,0,1)*IF(ABS(K$3*10^12-$A16)&gt;(K$3*10^12-$A15),$A15,$A16)=K16,0,IF((K$3*10^12-$A16)*(K$3*10^12-$A15)*-1&lt;0,0,1)*IF(ABS(K$3*10^12-$A16)&gt;(K$3*10^12-$A15),$A15,$A16))</f>
        <v>0</v>
      </c>
      <c r="L15" s="0" t="n">
        <f aca="false">IF(IF((L$3*10^12-$A16)*(L$3*10^12-$A15)*-1&lt;0,0,1)*IF(ABS(L$3*10^12-$A16)&gt;(L$3*10^12-$A15),$A15,$A16)=L16,0,IF((L$3*10^12-$A16)*(L$3*10^12-$A15)*-1&lt;0,0,1)*IF(ABS(L$3*10^12-$A16)&gt;(L$3*10^12-$A15),$A15,$A16))</f>
        <v>0</v>
      </c>
      <c r="M15" s="0" t="n">
        <f aca="false">IF(IF((M$3*10^12-$A16)*(M$3*10^12-$A15)*-1&lt;0,0,1)*IF(ABS(M$3*10^12-$A16)&gt;(M$3*10^12-$A15),$A15,$A16)=M16,0,IF((M$3*10^12-$A16)*(M$3*10^12-$A15)*-1&lt;0,0,1)*IF(ABS(M$3*10^12-$A16)&gt;(M$3*10^12-$A15),$A15,$A16))</f>
        <v>0</v>
      </c>
      <c r="N15" s="0" t="e">
        <f aca="false">IF(IF((N$3*10^12-$A16)*(N$3*10^12-$A15)*-1&lt;0,0,1)*IF(ABS(N$3*10^12-$A16)&gt;(N$3*10^12-$A15),$A15,$A16)=N16,0,IF((N$3*10^12-$A16)*(N$3*10^12-$A15)*-1&lt;0,0,1)*IF(ABS(N$3*10^12-$A16)&gt;(N$3*10^12-$A15),$A15,$A16))</f>
        <v>#VALUE!</v>
      </c>
      <c r="Q15" s="339" t="s">
        <v>492</v>
      </c>
      <c r="R15" s="0" t="n">
        <f aca="false">Ruvlo1</f>
        <v>79.1108522616968</v>
      </c>
      <c r="S15" s="244" t="n">
        <f aca="false">IF(R15="OPEN","OPEN",IF(R15&gt;(INT(0.5+100*POWER(10,IF(96*(LOG(R15)-INT(LOG(R15)))-ROUND(96*(LOG(R15)-INT(LOG(R15))),0)&lt;0,ROUND(96*(LOG(R15)-INT(LOG(R15))),0)-1,ROUND(96*(LOG(R15)-INT(LOG(R15))),0))/96))*POWER(10,INT(LOG(R15))-2)+INT(0.5+100*POWER(10,(IF(96*(LOG(R15)-INT(LOG(R15)))-ROUND(96*(LOG(R15)-INT(LOG(R15))),0)&lt;0,ROUND(96*(LOG(R15)-INT(LOG(R15))),0)-1,ROUND(96*(LOG(R15)-INT(LOG(R15))),0))+1)/96))*POWER(10,INT(LOG(R15))-2))/2,INT(0.5+100*POWER(10,(IF(96*(LOG(R15)-INT(LOG(R15)))-ROUND(96*(LOG(R15)-INT(LOG(R15))),0)&lt;0,ROUND(96*(LOG(R15)-INT(LOG(R15))),0)-1,ROUND(96*(LOG(R15)-INT(LOG(R15))),0))+1)/96))*POWER(10,INT(LOG(R15))-2),INT(0.5+100*POWER(10,IF(96*(LOG(R15)-INT(LOG(R15)))-ROUND(96*(LOG(R15)-INT(LOG(R15))),0)&lt;0,ROUND(96*(LOG(R15)-INT(LOG(R15))),0)-1,ROUND(96*(LOG(R15)-INT(LOG(R15))),0))/96))*POWER(10,INT(LOG(R15))-2)))</f>
        <v>78.7</v>
      </c>
      <c r="T15" s="309" t="s">
        <v>287</v>
      </c>
    </row>
    <row r="16" customFormat="false" ht="12.75" hidden="false" customHeight="false" outlineLevel="0" collapsed="false">
      <c r="A16" s="0" t="n">
        <v>3.3</v>
      </c>
      <c r="B16" s="0" t="n">
        <f aca="false">IF(IF((B$3*10^12-$A17)*(B$3*10^12-$A16)*-1&lt;0,0,1)*IF(ABS(B$3*10^12-$A17)&gt;(B$3*10^12-$A16),$A16,$A17)=B17,0,IF((B$3*10^12-$A17)*(B$3*10^12-$A16)*-1&lt;0,0,1)*IF(ABS(B$3*10^12-$A17)&gt;(B$3*10^12-$A16),$A16,$A17))</f>
        <v>0</v>
      </c>
      <c r="C16" s="0" t="n">
        <f aca="false">IF(IF((C$3*10^12-$A17)*(C$3*10^12-$A16)*-1&lt;0,0,1)*IF(ABS(C$3*10^12-$A17)&gt;(C$3*10^12-$A16),$A16,$A17)=C17,0,IF((C$3*10^12-$A17)*(C$3*10^12-$A16)*-1&lt;0,0,1)*IF(ABS(C$3*10^12-$A17)&gt;(C$3*10^12-$A16),$A16,$A17))</f>
        <v>0</v>
      </c>
      <c r="D16" s="0" t="n">
        <f aca="false">IF(IF((D$3*10^12-$A17)*(D$3*10^12-$A16)*-1&lt;0,0,1)*IF(ABS(D$3*10^12-$A17)&gt;(D$3*10^12-$A16),$A16,$A17)=D17,0,IF((D$3*10^12-$A17)*(D$3*10^12-$A16)*-1&lt;0,0,1)*IF(ABS(D$3*10^12-$A17)&gt;(D$3*10^12-$A16),$A16,$A17))</f>
        <v>0</v>
      </c>
      <c r="E16" s="0" t="n">
        <f aca="false">IF(IF((E$3*10^12-$A17)*(E$3*10^12-$A16)*-1&lt;0,0,1)*IF(ABS(E$3*10^12-$A17)&gt;(E$3*10^12-$A16),$A16,$A17)=E17,0,IF((E$3*10^12-$A17)*(E$3*10^12-$A16)*-1&lt;0,0,1)*IF(ABS(E$3*10^12-$A17)&gt;(E$3*10^12-$A16),$A16,$A17))</f>
        <v>0</v>
      </c>
      <c r="F16" s="0" t="n">
        <f aca="false">IF(IF((F$3*10^12-$A17)*(F$3*10^12-$A16)*-1&lt;0,0,1)*IF(ABS(F$3*10^12-$A17)&gt;(F$3*10^12-$A16),$A16,$A17)=F17,0,IF((F$3*10^12-$A17)*(F$3*10^12-$A16)*-1&lt;0,0,1)*IF(ABS(F$3*10^12-$A17)&gt;(F$3*10^12-$A16),$A16,$A17))</f>
        <v>0</v>
      </c>
      <c r="G16" s="0" t="n">
        <f aca="false">IF(IF((G$3*10^12-$A17)*(G$3*10^12-$A16)*-1&lt;0,0,1)*IF(ABS(G$3*10^12-$A17)&gt;(G$3*10^12-$A16),$A16,$A17)=G17,0,IF((G$3*10^12-$A17)*(G$3*10^12-$A16)*-1&lt;0,0,1)*IF(ABS(G$3*10^12-$A17)&gt;(G$3*10^12-$A16),$A16,$A17))</f>
        <v>0</v>
      </c>
      <c r="H16" s="0" t="n">
        <f aca="false">IF(IF((H$3*10^12-$A17)*(H$3*10^12-$A16)*-1&lt;0,0,1)*IF(ABS(H$3*10^12-$A17)&gt;(H$3*10^12-$A16),$A16,$A17)=H17,0,IF((H$3*10^12-$A17)*(H$3*10^12-$A16)*-1&lt;0,0,1)*IF(ABS(H$3*10^12-$A17)&gt;(H$3*10^12-$A16),$A16,$A17))</f>
        <v>0</v>
      </c>
      <c r="I16" s="0" t="n">
        <f aca="false">IF(IF((I$3*10^12-$A17)*(I$3*10^12-$A16)*-1&lt;0,0,1)*IF(ABS(I$3*10^12-$A17)&gt;(I$3*10^12-$A16),$A16,$A17)=I17,0,IF((I$3*10^12-$A17)*(I$3*10^12-$A16)*-1&lt;0,0,1)*IF(ABS(I$3*10^12-$A17)&gt;(I$3*10^12-$A16),$A16,$A17))</f>
        <v>0</v>
      </c>
      <c r="J16" s="0" t="n">
        <f aca="false">IF(IF((J$3*10^12-$A17)*(J$3*10^12-$A16)*-1&lt;0,0,1)*IF(ABS(J$3*10^12-$A17)&gt;(J$3*10^12-$A16),$A16,$A17)=J17,0,IF((J$3*10^12-$A17)*(J$3*10^12-$A16)*-1&lt;0,0,1)*IF(ABS(J$3*10^12-$A17)&gt;(J$3*10^12-$A16),$A16,$A17))</f>
        <v>0</v>
      </c>
      <c r="K16" s="0" t="n">
        <f aca="false">IF(IF((K$3*10^12-$A17)*(K$3*10^12-$A16)*-1&lt;0,0,1)*IF(ABS(K$3*10^12-$A17)&gt;(K$3*10^12-$A16),$A16,$A17)=K17,0,IF((K$3*10^12-$A17)*(K$3*10^12-$A16)*-1&lt;0,0,1)*IF(ABS(K$3*10^12-$A17)&gt;(K$3*10^12-$A16),$A16,$A17))</f>
        <v>0</v>
      </c>
      <c r="L16" s="0" t="n">
        <f aca="false">IF(IF((L$3*10^12-$A17)*(L$3*10^12-$A16)*-1&lt;0,0,1)*IF(ABS(L$3*10^12-$A17)&gt;(L$3*10^12-$A16),$A16,$A17)=L17,0,IF((L$3*10^12-$A17)*(L$3*10^12-$A16)*-1&lt;0,0,1)*IF(ABS(L$3*10^12-$A17)&gt;(L$3*10^12-$A16),$A16,$A17))</f>
        <v>0</v>
      </c>
      <c r="M16" s="0" t="n">
        <f aca="false">IF(IF((M$3*10^12-$A17)*(M$3*10^12-$A16)*-1&lt;0,0,1)*IF(ABS(M$3*10^12-$A17)&gt;(M$3*10^12-$A16),$A16,$A17)=M17,0,IF((M$3*10^12-$A17)*(M$3*10^12-$A16)*-1&lt;0,0,1)*IF(ABS(M$3*10^12-$A17)&gt;(M$3*10^12-$A16),$A16,$A17))</f>
        <v>0</v>
      </c>
      <c r="N16" s="0" t="e">
        <f aca="false">IF(IF((N$3*10^12-$A17)*(N$3*10^12-$A16)*-1&lt;0,0,1)*IF(ABS(N$3*10^12-$A17)&gt;(N$3*10^12-$A16),$A16,$A17)=N17,0,IF((N$3*10^12-$A17)*(N$3*10^12-$A16)*-1&lt;0,0,1)*IF(ABS(N$3*10^12-$A17)&gt;(N$3*10^12-$A16),$A16,$A17))</f>
        <v>#VALUE!</v>
      </c>
      <c r="Q16" s="339" t="s">
        <v>493</v>
      </c>
      <c r="R16" s="0" t="n">
        <f aca="false">Ruvlo2</f>
        <v>11.3238833486969</v>
      </c>
      <c r="S16" s="244" t="n">
        <f aca="false">IF(R16="OPEN","OPEN",IF(R16&gt;(INT(0.5+100*POWER(10,IF(96*(LOG(R16)-INT(LOG(R16)))-ROUND(96*(LOG(R16)-INT(LOG(R16))),0)&lt;0,ROUND(96*(LOG(R16)-INT(LOG(R16))),0)-1,ROUND(96*(LOG(R16)-INT(LOG(R16))),0))/96))*POWER(10,INT(LOG(R16))-2)+INT(0.5+100*POWER(10,(IF(96*(LOG(R16)-INT(LOG(R16)))-ROUND(96*(LOG(R16)-INT(LOG(R16))),0)&lt;0,ROUND(96*(LOG(R16)-INT(LOG(R16))),0)-1,ROUND(96*(LOG(R16)-INT(LOG(R16))),0))+1)/96))*POWER(10,INT(LOG(R16))-2))/2,INT(0.5+100*POWER(10,(IF(96*(LOG(R16)-INT(LOG(R16)))-ROUND(96*(LOG(R16)-INT(LOG(R16))),0)&lt;0,ROUND(96*(LOG(R16)-INT(LOG(R16))),0)-1,ROUND(96*(LOG(R16)-INT(LOG(R16))),0))+1)/96))*POWER(10,INT(LOG(R16))-2),INT(0.5+100*POWER(10,IF(96*(LOG(R16)-INT(LOG(R16)))-ROUND(96*(LOG(R16)-INT(LOG(R16))),0)&lt;0,ROUND(96*(LOG(R16)-INT(LOG(R16))),0)-1,ROUND(96*(LOG(R16)-INT(LOG(R16))),0))/96))*POWER(10,INT(LOG(R16))-2)))</f>
        <v>11.3</v>
      </c>
      <c r="T16" s="309" t="s">
        <v>287</v>
      </c>
    </row>
    <row r="17" customFormat="false" ht="12.75" hidden="false" customHeight="false" outlineLevel="0" collapsed="false">
      <c r="A17" s="0" t="n">
        <v>3.9</v>
      </c>
      <c r="B17" s="0" t="n">
        <f aca="false">IF(IF((B$3*10^12-$A18)*(B$3*10^12-$A17)*-1&lt;0,0,1)*IF(ABS(B$3*10^12-$A18)&gt;(B$3*10^12-$A17),$A17,$A18)=B18,0,IF((B$3*10^12-$A18)*(B$3*10^12-$A17)*-1&lt;0,0,1)*IF(ABS(B$3*10^12-$A18)&gt;(B$3*10^12-$A17),$A17,$A18))</f>
        <v>0</v>
      </c>
      <c r="C17" s="0" t="n">
        <f aca="false">IF(IF((C$3*10^12-$A18)*(C$3*10^12-$A17)*-1&lt;0,0,1)*IF(ABS(C$3*10^12-$A18)&gt;(C$3*10^12-$A17),$A17,$A18)=C18,0,IF((C$3*10^12-$A18)*(C$3*10^12-$A17)*-1&lt;0,0,1)*IF(ABS(C$3*10^12-$A18)&gt;(C$3*10^12-$A17),$A17,$A18))</f>
        <v>0</v>
      </c>
      <c r="D17" s="0" t="n">
        <f aca="false">IF(IF((D$3*10^12-$A18)*(D$3*10^12-$A17)*-1&lt;0,0,1)*IF(ABS(D$3*10^12-$A18)&gt;(D$3*10^12-$A17),$A17,$A18)=D18,0,IF((D$3*10^12-$A18)*(D$3*10^12-$A17)*-1&lt;0,0,1)*IF(ABS(D$3*10^12-$A18)&gt;(D$3*10^12-$A17),$A17,$A18))</f>
        <v>0</v>
      </c>
      <c r="E17" s="0" t="n">
        <f aca="false">IF(IF((E$3*10^12-$A18)*(E$3*10^12-$A17)*-1&lt;0,0,1)*IF(ABS(E$3*10^12-$A18)&gt;(E$3*10^12-$A17),$A17,$A18)=E18,0,IF((E$3*10^12-$A18)*(E$3*10^12-$A17)*-1&lt;0,0,1)*IF(ABS(E$3*10^12-$A18)&gt;(E$3*10^12-$A17),$A17,$A18))</f>
        <v>0</v>
      </c>
      <c r="F17" s="0" t="n">
        <f aca="false">IF(IF((F$3*10^12-$A18)*(F$3*10^12-$A17)*-1&lt;0,0,1)*IF(ABS(F$3*10^12-$A18)&gt;(F$3*10^12-$A17),$A17,$A18)=F18,0,IF((F$3*10^12-$A18)*(F$3*10^12-$A17)*-1&lt;0,0,1)*IF(ABS(F$3*10^12-$A18)&gt;(F$3*10^12-$A17),$A17,$A18))</f>
        <v>0</v>
      </c>
      <c r="G17" s="0" t="n">
        <f aca="false">IF(IF((G$3*10^12-$A18)*(G$3*10^12-$A17)*-1&lt;0,0,1)*IF(ABS(G$3*10^12-$A18)&gt;(G$3*10^12-$A17),$A17,$A18)=G18,0,IF((G$3*10^12-$A18)*(G$3*10^12-$A17)*-1&lt;0,0,1)*IF(ABS(G$3*10^12-$A18)&gt;(G$3*10^12-$A17),$A17,$A18))</f>
        <v>0</v>
      </c>
      <c r="H17" s="0" t="n">
        <f aca="false">IF(IF((H$3*10^12-$A18)*(H$3*10^12-$A17)*-1&lt;0,0,1)*IF(ABS(H$3*10^12-$A18)&gt;(H$3*10^12-$A17),$A17,$A18)=H18,0,IF((H$3*10^12-$A18)*(H$3*10^12-$A17)*-1&lt;0,0,1)*IF(ABS(H$3*10^12-$A18)&gt;(H$3*10^12-$A17),$A17,$A18))</f>
        <v>0</v>
      </c>
      <c r="I17" s="0" t="n">
        <f aca="false">IF(IF((I$3*10^12-$A18)*(I$3*10^12-$A17)*-1&lt;0,0,1)*IF(ABS(I$3*10^12-$A18)&gt;(I$3*10^12-$A17),$A17,$A18)=I18,0,IF((I$3*10^12-$A18)*(I$3*10^12-$A17)*-1&lt;0,0,1)*IF(ABS(I$3*10^12-$A18)&gt;(I$3*10^12-$A17),$A17,$A18))</f>
        <v>0</v>
      </c>
      <c r="J17" s="0" t="n">
        <f aca="false">IF(IF((J$3*10^12-$A18)*(J$3*10^12-$A17)*-1&lt;0,0,1)*IF(ABS(J$3*10^12-$A18)&gt;(J$3*10^12-$A17),$A17,$A18)=J18,0,IF((J$3*10^12-$A18)*(J$3*10^12-$A17)*-1&lt;0,0,1)*IF(ABS(J$3*10^12-$A18)&gt;(J$3*10^12-$A17),$A17,$A18))</f>
        <v>0</v>
      </c>
      <c r="K17" s="0" t="n">
        <f aca="false">IF(IF((K$3*10^12-$A18)*(K$3*10^12-$A17)*-1&lt;0,0,1)*IF(ABS(K$3*10^12-$A18)&gt;(K$3*10^12-$A17),$A17,$A18)=K18,0,IF((K$3*10^12-$A18)*(K$3*10^12-$A17)*-1&lt;0,0,1)*IF(ABS(K$3*10^12-$A18)&gt;(K$3*10^12-$A17),$A17,$A18))</f>
        <v>0</v>
      </c>
      <c r="L17" s="0" t="n">
        <f aca="false">IF(IF((L$3*10^12-$A18)*(L$3*10^12-$A17)*-1&lt;0,0,1)*IF(ABS(L$3*10^12-$A18)&gt;(L$3*10^12-$A17),$A17,$A18)=L18,0,IF((L$3*10^12-$A18)*(L$3*10^12-$A17)*-1&lt;0,0,1)*IF(ABS(L$3*10^12-$A18)&gt;(L$3*10^12-$A17),$A17,$A18))</f>
        <v>0</v>
      </c>
      <c r="M17" s="0" t="n">
        <f aca="false">IF(IF((M$3*10^12-$A18)*(M$3*10^12-$A17)*-1&lt;0,0,1)*IF(ABS(M$3*10^12-$A18)&gt;(M$3*10^12-$A17),$A17,$A18)=M18,0,IF((M$3*10^12-$A18)*(M$3*10^12-$A17)*-1&lt;0,0,1)*IF(ABS(M$3*10^12-$A18)&gt;(M$3*10^12-$A17),$A17,$A18))</f>
        <v>0</v>
      </c>
      <c r="N17" s="0" t="e">
        <f aca="false">IF(IF((N$3*10^12-$A18)*(N$3*10^12-$A17)*-1&lt;0,0,1)*IF(ABS(N$3*10^12-$A18)&gt;(N$3*10^12-$A17),$A17,$A18)=N18,0,IF((N$3*10^12-$A18)*(N$3*10^12-$A17)*-1&lt;0,0,1)*IF(ABS(N$3*10^12-$A18)&gt;(N$3*10^12-$A17),$A17,$A18))</f>
        <v>#VALUE!</v>
      </c>
    </row>
    <row r="18" customFormat="false" ht="12.75" hidden="false" customHeight="false" outlineLevel="0" collapsed="false">
      <c r="A18" s="0" t="n">
        <v>4.7</v>
      </c>
      <c r="B18" s="0" t="n">
        <f aca="false">IF(IF((B$3*10^12-$A19)*(B$3*10^12-$A18)*-1&lt;0,0,1)*IF(ABS(B$3*10^12-$A19)&gt;(B$3*10^12-$A18),$A18,$A19)=B19,0,IF((B$3*10^12-$A19)*(B$3*10^12-$A18)*-1&lt;0,0,1)*IF(ABS(B$3*10^12-$A19)&gt;(B$3*10^12-$A18),$A18,$A19))</f>
        <v>0</v>
      </c>
      <c r="C18" s="0" t="n">
        <f aca="false">IF(IF((C$3*10^12-$A19)*(C$3*10^12-$A18)*-1&lt;0,0,1)*IF(ABS(C$3*10^12-$A19)&gt;(C$3*10^12-$A18),$A18,$A19)=C19,0,IF((C$3*10^12-$A19)*(C$3*10^12-$A18)*-1&lt;0,0,1)*IF(ABS(C$3*10^12-$A19)&gt;(C$3*10^12-$A18),$A18,$A19))</f>
        <v>0</v>
      </c>
      <c r="D18" s="0" t="n">
        <f aca="false">IF(IF((D$3*10^12-$A19)*(D$3*10^12-$A18)*-1&lt;0,0,1)*IF(ABS(D$3*10^12-$A19)&gt;(D$3*10^12-$A18),$A18,$A19)=D19,0,IF((D$3*10^12-$A19)*(D$3*10^12-$A18)*-1&lt;0,0,1)*IF(ABS(D$3*10^12-$A19)&gt;(D$3*10^12-$A18),$A18,$A19))</f>
        <v>0</v>
      </c>
      <c r="E18" s="0" t="n">
        <f aca="false">IF(IF((E$3*10^12-$A19)*(E$3*10^12-$A18)*-1&lt;0,0,1)*IF(ABS(E$3*10^12-$A19)&gt;(E$3*10^12-$A18),$A18,$A19)=E19,0,IF((E$3*10^12-$A19)*(E$3*10^12-$A18)*-1&lt;0,0,1)*IF(ABS(E$3*10^12-$A19)&gt;(E$3*10^12-$A18),$A18,$A19))</f>
        <v>0</v>
      </c>
      <c r="F18" s="0" t="n">
        <f aca="false">IF(IF((F$3*10^12-$A19)*(F$3*10^12-$A18)*-1&lt;0,0,1)*IF(ABS(F$3*10^12-$A19)&gt;(F$3*10^12-$A18),$A18,$A19)=F19,0,IF((F$3*10^12-$A19)*(F$3*10^12-$A18)*-1&lt;0,0,1)*IF(ABS(F$3*10^12-$A19)&gt;(F$3*10^12-$A18),$A18,$A19))</f>
        <v>0</v>
      </c>
      <c r="G18" s="0" t="n">
        <f aca="false">IF(IF((G$3*10^12-$A19)*(G$3*10^12-$A18)*-1&lt;0,0,1)*IF(ABS(G$3*10^12-$A19)&gt;(G$3*10^12-$A18),$A18,$A19)=G19,0,IF((G$3*10^12-$A19)*(G$3*10^12-$A18)*-1&lt;0,0,1)*IF(ABS(G$3*10^12-$A19)&gt;(G$3*10^12-$A18),$A18,$A19))</f>
        <v>0</v>
      </c>
      <c r="H18" s="0" t="n">
        <f aca="false">IF(IF((H$3*10^12-$A19)*(H$3*10^12-$A18)*-1&lt;0,0,1)*IF(ABS(H$3*10^12-$A19)&gt;(H$3*10^12-$A18),$A18,$A19)=H19,0,IF((H$3*10^12-$A19)*(H$3*10^12-$A18)*-1&lt;0,0,1)*IF(ABS(H$3*10^12-$A19)&gt;(H$3*10^12-$A18),$A18,$A19))</f>
        <v>0</v>
      </c>
      <c r="I18" s="0" t="n">
        <f aca="false">IF(IF((I$3*10^12-$A19)*(I$3*10^12-$A18)*-1&lt;0,0,1)*IF(ABS(I$3*10^12-$A19)&gt;(I$3*10^12-$A18),$A18,$A19)=I19,0,IF((I$3*10^12-$A19)*(I$3*10^12-$A18)*-1&lt;0,0,1)*IF(ABS(I$3*10^12-$A19)&gt;(I$3*10^12-$A18),$A18,$A19))</f>
        <v>0</v>
      </c>
      <c r="J18" s="0" t="n">
        <f aca="false">IF(IF((J$3*10^12-$A19)*(J$3*10^12-$A18)*-1&lt;0,0,1)*IF(ABS(J$3*10^12-$A19)&gt;(J$3*10^12-$A18),$A18,$A19)=J19,0,IF((J$3*10^12-$A19)*(J$3*10^12-$A18)*-1&lt;0,0,1)*IF(ABS(J$3*10^12-$A19)&gt;(J$3*10^12-$A18),$A18,$A19))</f>
        <v>0</v>
      </c>
      <c r="K18" s="0" t="n">
        <f aca="false">IF(IF((K$3*10^12-$A19)*(K$3*10^12-$A18)*-1&lt;0,0,1)*IF(ABS(K$3*10^12-$A19)&gt;(K$3*10^12-$A18),$A18,$A19)=K19,0,IF((K$3*10^12-$A19)*(K$3*10^12-$A18)*-1&lt;0,0,1)*IF(ABS(K$3*10^12-$A19)&gt;(K$3*10^12-$A18),$A18,$A19))</f>
        <v>0</v>
      </c>
      <c r="L18" s="0" t="n">
        <f aca="false">IF(IF((L$3*10^12-$A19)*(L$3*10^12-$A18)*-1&lt;0,0,1)*IF(ABS(L$3*10^12-$A19)&gt;(L$3*10^12-$A18),$A18,$A19)=L19,0,IF((L$3*10^12-$A19)*(L$3*10^12-$A18)*-1&lt;0,0,1)*IF(ABS(L$3*10^12-$A19)&gt;(L$3*10^12-$A18),$A18,$A19))</f>
        <v>0</v>
      </c>
      <c r="M18" s="0" t="n">
        <f aca="false">IF(IF((M$3*10^12-$A19)*(M$3*10^12-$A18)*-1&lt;0,0,1)*IF(ABS(M$3*10^12-$A19)&gt;(M$3*10^12-$A18),$A18,$A19)=M19,0,IF((M$3*10^12-$A19)*(M$3*10^12-$A18)*-1&lt;0,0,1)*IF(ABS(M$3*10^12-$A19)&gt;(M$3*10^12-$A18),$A18,$A19))</f>
        <v>0</v>
      </c>
      <c r="N18" s="0" t="e">
        <f aca="false">IF(IF((N$3*10^12-$A19)*(N$3*10^12-$A18)*-1&lt;0,0,1)*IF(ABS(N$3*10^12-$A19)&gt;(N$3*10^12-$A18),$A18,$A19)=N19,0,IF((N$3*10^12-$A19)*(N$3*10^12-$A18)*-1&lt;0,0,1)*IF(ABS(N$3*10^12-$A19)&gt;(N$3*10^12-$A18),$A18,$A19))</f>
        <v>#VALUE!</v>
      </c>
      <c r="S18" s="244"/>
    </row>
    <row r="19" customFormat="false" ht="12.75" hidden="false" customHeight="false" outlineLevel="0" collapsed="false">
      <c r="A19" s="0" t="n">
        <v>5.6</v>
      </c>
      <c r="B19" s="0" t="n">
        <f aca="false">IF(IF((B$3*10^12-$A20)*(B$3*10^12-$A19)*-1&lt;0,0,1)*IF(ABS(B$3*10^12-$A20)&gt;(B$3*10^12-$A19),$A19,$A20)=B20,0,IF((B$3*10^12-$A20)*(B$3*10^12-$A19)*-1&lt;0,0,1)*IF(ABS(B$3*10^12-$A20)&gt;(B$3*10^12-$A19),$A19,$A20))</f>
        <v>0</v>
      </c>
      <c r="C19" s="0" t="n">
        <f aca="false">IF(IF((C$3*10^12-$A20)*(C$3*10^12-$A19)*-1&lt;0,0,1)*IF(ABS(C$3*10^12-$A20)&gt;(C$3*10^12-$A19),$A19,$A20)=C20,0,IF((C$3*10^12-$A20)*(C$3*10^12-$A19)*-1&lt;0,0,1)*IF(ABS(C$3*10^12-$A20)&gt;(C$3*10^12-$A19),$A19,$A20))</f>
        <v>0</v>
      </c>
      <c r="D19" s="0" t="n">
        <f aca="false">IF(IF((D$3*10^12-$A20)*(D$3*10^12-$A19)*-1&lt;0,0,1)*IF(ABS(D$3*10^12-$A20)&gt;(D$3*10^12-$A19),$A19,$A20)=D20,0,IF((D$3*10^12-$A20)*(D$3*10^12-$A19)*-1&lt;0,0,1)*IF(ABS(D$3*10^12-$A20)&gt;(D$3*10^12-$A19),$A19,$A20))</f>
        <v>0</v>
      </c>
      <c r="E19" s="0" t="n">
        <f aca="false">IF(IF((E$3*10^12-$A20)*(E$3*10^12-$A19)*-1&lt;0,0,1)*IF(ABS(E$3*10^12-$A20)&gt;(E$3*10^12-$A19),$A19,$A20)=E20,0,IF((E$3*10^12-$A20)*(E$3*10^12-$A19)*-1&lt;0,0,1)*IF(ABS(E$3*10^12-$A20)&gt;(E$3*10^12-$A19),$A19,$A20))</f>
        <v>0</v>
      </c>
      <c r="F19" s="0" t="n">
        <f aca="false">IF(IF((F$3*10^12-$A20)*(F$3*10^12-$A19)*-1&lt;0,0,1)*IF(ABS(F$3*10^12-$A20)&gt;(F$3*10^12-$A19),$A19,$A20)=F20,0,IF((F$3*10^12-$A20)*(F$3*10^12-$A19)*-1&lt;0,0,1)*IF(ABS(F$3*10^12-$A20)&gt;(F$3*10^12-$A19),$A19,$A20))</f>
        <v>0</v>
      </c>
      <c r="G19" s="0" t="n">
        <f aca="false">IF(IF((G$3*10^12-$A20)*(G$3*10^12-$A19)*-1&lt;0,0,1)*IF(ABS(G$3*10^12-$A20)&gt;(G$3*10^12-$A19),$A19,$A20)=G20,0,IF((G$3*10^12-$A20)*(G$3*10^12-$A19)*-1&lt;0,0,1)*IF(ABS(G$3*10^12-$A20)&gt;(G$3*10^12-$A19),$A19,$A20))</f>
        <v>0</v>
      </c>
      <c r="H19" s="0" t="n">
        <f aca="false">IF(IF((H$3*10^12-$A20)*(H$3*10^12-$A19)*-1&lt;0,0,1)*IF(ABS(H$3*10^12-$A20)&gt;(H$3*10^12-$A19),$A19,$A20)=H20,0,IF((H$3*10^12-$A20)*(H$3*10^12-$A19)*-1&lt;0,0,1)*IF(ABS(H$3*10^12-$A20)&gt;(H$3*10^12-$A19),$A19,$A20))</f>
        <v>0</v>
      </c>
      <c r="I19" s="0" t="n">
        <f aca="false">IF(IF((I$3*10^12-$A20)*(I$3*10^12-$A19)*-1&lt;0,0,1)*IF(ABS(I$3*10^12-$A20)&gt;(I$3*10^12-$A19),$A19,$A20)=I20,0,IF((I$3*10^12-$A20)*(I$3*10^12-$A19)*-1&lt;0,0,1)*IF(ABS(I$3*10^12-$A20)&gt;(I$3*10^12-$A19),$A19,$A20))</f>
        <v>0</v>
      </c>
      <c r="J19" s="0" t="n">
        <f aca="false">IF(IF((J$3*10^12-$A20)*(J$3*10^12-$A19)*-1&lt;0,0,1)*IF(ABS(J$3*10^12-$A20)&gt;(J$3*10^12-$A19),$A19,$A20)=J20,0,IF((J$3*10^12-$A20)*(J$3*10^12-$A19)*-1&lt;0,0,1)*IF(ABS(J$3*10^12-$A20)&gt;(J$3*10^12-$A19),$A19,$A20))</f>
        <v>0</v>
      </c>
      <c r="K19" s="0" t="n">
        <f aca="false">IF(IF((K$3*10^12-$A20)*(K$3*10^12-$A19)*-1&lt;0,0,1)*IF(ABS(K$3*10^12-$A20)&gt;(K$3*10^12-$A19),$A19,$A20)=K20,0,IF((K$3*10^12-$A20)*(K$3*10^12-$A19)*-1&lt;0,0,1)*IF(ABS(K$3*10^12-$A20)&gt;(K$3*10^12-$A19),$A19,$A20))</f>
        <v>0</v>
      </c>
      <c r="L19" s="0" t="n">
        <f aca="false">IF(IF((L$3*10^12-$A20)*(L$3*10^12-$A19)*-1&lt;0,0,1)*IF(ABS(L$3*10^12-$A20)&gt;(L$3*10^12-$A19),$A19,$A20)=L20,0,IF((L$3*10^12-$A20)*(L$3*10^12-$A19)*-1&lt;0,0,1)*IF(ABS(L$3*10^12-$A20)&gt;(L$3*10^12-$A19),$A19,$A20))</f>
        <v>0</v>
      </c>
      <c r="M19" s="0" t="n">
        <f aca="false">IF(IF((M$3*10^12-$A20)*(M$3*10^12-$A19)*-1&lt;0,0,1)*IF(ABS(M$3*10^12-$A20)&gt;(M$3*10^12-$A19),$A19,$A20)=M20,0,IF((M$3*10^12-$A20)*(M$3*10^12-$A19)*-1&lt;0,0,1)*IF(ABS(M$3*10^12-$A20)&gt;(M$3*10^12-$A19),$A19,$A20))</f>
        <v>0</v>
      </c>
      <c r="N19" s="0" t="e">
        <f aca="false">IF(IF((N$3*10^12-$A20)*(N$3*10^12-$A19)*-1&lt;0,0,1)*IF(ABS(N$3*10^12-$A20)&gt;(N$3*10^12-$A19),$A19,$A20)=N20,0,IF((N$3*10^12-$A20)*(N$3*10^12-$A19)*-1&lt;0,0,1)*IF(ABS(N$3*10^12-$A20)&gt;(N$3*10^12-$A19),$A19,$A20))</f>
        <v>#VALUE!</v>
      </c>
      <c r="S19" s="244"/>
    </row>
    <row r="20" customFormat="false" ht="12.75" hidden="false" customHeight="false" outlineLevel="0" collapsed="false">
      <c r="A20" s="0" t="n">
        <v>6.8</v>
      </c>
      <c r="B20" s="0" t="n">
        <f aca="false">IF(IF((B$3*10^12-$A21)*(B$3*10^12-$A20)*-1&lt;0,0,1)*IF(ABS(B$3*10^12-$A21)&gt;(B$3*10^12-$A20),$A20,$A21)=B21,0,IF((B$3*10^12-$A21)*(B$3*10^12-$A20)*-1&lt;0,0,1)*IF(ABS(B$3*10^12-$A21)&gt;(B$3*10^12-$A20),$A20,$A21))</f>
        <v>0</v>
      </c>
      <c r="C20" s="0" t="n">
        <f aca="false">IF(IF((C$3*10^12-$A21)*(C$3*10^12-$A20)*-1&lt;0,0,1)*IF(ABS(C$3*10^12-$A21)&gt;(C$3*10^12-$A20),$A20,$A21)=C21,0,IF((C$3*10^12-$A21)*(C$3*10^12-$A20)*-1&lt;0,0,1)*IF(ABS(C$3*10^12-$A21)&gt;(C$3*10^12-$A20),$A20,$A21))</f>
        <v>0</v>
      </c>
      <c r="D20" s="0" t="n">
        <f aca="false">IF(IF((D$3*10^12-$A21)*(D$3*10^12-$A20)*-1&lt;0,0,1)*IF(ABS(D$3*10^12-$A21)&gt;(D$3*10^12-$A20),$A20,$A21)=D21,0,IF((D$3*10^12-$A21)*(D$3*10^12-$A20)*-1&lt;0,0,1)*IF(ABS(D$3*10^12-$A21)&gt;(D$3*10^12-$A20),$A20,$A21))</f>
        <v>0</v>
      </c>
      <c r="E20" s="0" t="n">
        <f aca="false">IF(IF((E$3*10^12-$A21)*(E$3*10^12-$A20)*-1&lt;0,0,1)*IF(ABS(E$3*10^12-$A21)&gt;(E$3*10^12-$A20),$A20,$A21)=E21,0,IF((E$3*10^12-$A21)*(E$3*10^12-$A20)*-1&lt;0,0,1)*IF(ABS(E$3*10^12-$A21)&gt;(E$3*10^12-$A20),$A20,$A21))</f>
        <v>0</v>
      </c>
      <c r="F20" s="0" t="n">
        <f aca="false">IF(IF((F$3*10^12-$A21)*(F$3*10^12-$A20)*-1&lt;0,0,1)*IF(ABS(F$3*10^12-$A21)&gt;(F$3*10^12-$A20),$A20,$A21)=F21,0,IF((F$3*10^12-$A21)*(F$3*10^12-$A20)*-1&lt;0,0,1)*IF(ABS(F$3*10^12-$A21)&gt;(F$3*10^12-$A20),$A20,$A21))</f>
        <v>0</v>
      </c>
      <c r="G20" s="0" t="n">
        <f aca="false">IF(IF((G$3*10^12-$A21)*(G$3*10^12-$A20)*-1&lt;0,0,1)*IF(ABS(G$3*10^12-$A21)&gt;(G$3*10^12-$A20),$A20,$A21)=G21,0,IF((G$3*10^12-$A21)*(G$3*10^12-$A20)*-1&lt;0,0,1)*IF(ABS(G$3*10^12-$A21)&gt;(G$3*10^12-$A20),$A20,$A21))</f>
        <v>0</v>
      </c>
      <c r="H20" s="0" t="n">
        <f aca="false">IF(IF((H$3*10^12-$A21)*(H$3*10^12-$A20)*-1&lt;0,0,1)*IF(ABS(H$3*10^12-$A21)&gt;(H$3*10^12-$A20),$A20,$A21)=H21,0,IF((H$3*10^12-$A21)*(H$3*10^12-$A20)*-1&lt;0,0,1)*IF(ABS(H$3*10^12-$A21)&gt;(H$3*10^12-$A20),$A20,$A21))</f>
        <v>0</v>
      </c>
      <c r="I20" s="0" t="n">
        <f aca="false">IF(IF((I$3*10^12-$A21)*(I$3*10^12-$A20)*-1&lt;0,0,1)*IF(ABS(I$3*10^12-$A21)&gt;(I$3*10^12-$A20),$A20,$A21)=I21,0,IF((I$3*10^12-$A21)*(I$3*10^12-$A20)*-1&lt;0,0,1)*IF(ABS(I$3*10^12-$A21)&gt;(I$3*10^12-$A20),$A20,$A21))</f>
        <v>0</v>
      </c>
      <c r="J20" s="0" t="n">
        <f aca="false">IF(IF((J$3*10^12-$A21)*(J$3*10^12-$A20)*-1&lt;0,0,1)*IF(ABS(J$3*10^12-$A21)&gt;(J$3*10^12-$A20),$A20,$A21)=J21,0,IF((J$3*10^12-$A21)*(J$3*10^12-$A20)*-1&lt;0,0,1)*IF(ABS(J$3*10^12-$A21)&gt;(J$3*10^12-$A20),$A20,$A21))</f>
        <v>0</v>
      </c>
      <c r="K20" s="0" t="n">
        <f aca="false">IF(IF((K$3*10^12-$A21)*(K$3*10^12-$A20)*-1&lt;0,0,1)*IF(ABS(K$3*10^12-$A21)&gt;(K$3*10^12-$A20),$A20,$A21)=K21,0,IF((K$3*10^12-$A21)*(K$3*10^12-$A20)*-1&lt;0,0,1)*IF(ABS(K$3*10^12-$A21)&gt;(K$3*10^12-$A20),$A20,$A21))</f>
        <v>0</v>
      </c>
      <c r="L20" s="0" t="n">
        <f aca="false">IF(IF((L$3*10^12-$A21)*(L$3*10^12-$A20)*-1&lt;0,0,1)*IF(ABS(L$3*10^12-$A21)&gt;(L$3*10^12-$A20),$A20,$A21)=L21,0,IF((L$3*10^12-$A21)*(L$3*10^12-$A20)*-1&lt;0,0,1)*IF(ABS(L$3*10^12-$A21)&gt;(L$3*10^12-$A20),$A20,$A21))</f>
        <v>0</v>
      </c>
      <c r="M20" s="0" t="n">
        <f aca="false">IF(IF((M$3*10^12-$A21)*(M$3*10^12-$A20)*-1&lt;0,0,1)*IF(ABS(M$3*10^12-$A21)&gt;(M$3*10^12-$A20),$A20,$A21)=M21,0,IF((M$3*10^12-$A21)*(M$3*10^12-$A20)*-1&lt;0,0,1)*IF(ABS(M$3*10^12-$A21)&gt;(M$3*10^12-$A20),$A20,$A21))</f>
        <v>0</v>
      </c>
      <c r="N20" s="0" t="e">
        <f aca="false">IF(IF((N$3*10^12-$A21)*(N$3*10^12-$A20)*-1&lt;0,0,1)*IF(ABS(N$3*10^12-$A21)&gt;(N$3*10^12-$A20),$A20,$A21)=N21,0,IF((N$3*10^12-$A21)*(N$3*10^12-$A20)*-1&lt;0,0,1)*IF(ABS(N$3*10^12-$A21)&gt;(N$3*10^12-$A20),$A20,$A21))</f>
        <v>#VALUE!</v>
      </c>
      <c r="S20" s="244"/>
    </row>
    <row r="21" customFormat="false" ht="12.75" hidden="false" customHeight="false" outlineLevel="0" collapsed="false">
      <c r="A21" s="0" t="n">
        <v>8.2</v>
      </c>
      <c r="B21" s="0" t="n">
        <f aca="false">IF(IF((B$3*10^12-$A22)*(B$3*10^12-$A21)*-1&lt;0,0,1)*IF(ABS(B$3*10^12-$A22)&gt;(B$3*10^12-$A21),$A21,$A22)=B22,0,IF((B$3*10^12-$A22)*(B$3*10^12-$A21)*-1&lt;0,0,1)*IF(ABS(B$3*10^12-$A22)&gt;(B$3*10^12-$A21),$A21,$A22))</f>
        <v>0</v>
      </c>
      <c r="C21" s="0" t="n">
        <f aca="false">IF(IF((C$3*10^12-$A22)*(C$3*10^12-$A21)*-1&lt;0,0,1)*IF(ABS(C$3*10^12-$A22)&gt;(C$3*10^12-$A21),$A21,$A22)=C22,0,IF((C$3*10^12-$A22)*(C$3*10^12-$A21)*-1&lt;0,0,1)*IF(ABS(C$3*10^12-$A22)&gt;(C$3*10^12-$A21),$A21,$A22))</f>
        <v>0</v>
      </c>
      <c r="D21" s="0" t="n">
        <f aca="false">IF(IF((D$3*10^12-$A22)*(D$3*10^12-$A21)*-1&lt;0,0,1)*IF(ABS(D$3*10^12-$A22)&gt;(D$3*10^12-$A21),$A21,$A22)=D22,0,IF((D$3*10^12-$A22)*(D$3*10^12-$A21)*-1&lt;0,0,1)*IF(ABS(D$3*10^12-$A22)&gt;(D$3*10^12-$A21),$A21,$A22))</f>
        <v>0</v>
      </c>
      <c r="E21" s="0" t="n">
        <f aca="false">IF(IF((E$3*10^12-$A22)*(E$3*10^12-$A21)*-1&lt;0,0,1)*IF(ABS(E$3*10^12-$A22)&gt;(E$3*10^12-$A21),$A21,$A22)=E22,0,IF((E$3*10^12-$A22)*(E$3*10^12-$A21)*-1&lt;0,0,1)*IF(ABS(E$3*10^12-$A22)&gt;(E$3*10^12-$A21),$A21,$A22))</f>
        <v>0</v>
      </c>
      <c r="F21" s="0" t="n">
        <f aca="false">IF(IF((F$3*10^12-$A22)*(F$3*10^12-$A21)*-1&lt;0,0,1)*IF(ABS(F$3*10^12-$A22)&gt;(F$3*10^12-$A21),$A21,$A22)=F22,0,IF((F$3*10^12-$A22)*(F$3*10^12-$A21)*-1&lt;0,0,1)*IF(ABS(F$3*10^12-$A22)&gt;(F$3*10^12-$A21),$A21,$A22))</f>
        <v>0</v>
      </c>
      <c r="G21" s="0" t="n">
        <f aca="false">IF(IF((G$3*10^12-$A22)*(G$3*10^12-$A21)*-1&lt;0,0,1)*IF(ABS(G$3*10^12-$A22)&gt;(G$3*10^12-$A21),$A21,$A22)=G22,0,IF((G$3*10^12-$A22)*(G$3*10^12-$A21)*-1&lt;0,0,1)*IF(ABS(G$3*10^12-$A22)&gt;(G$3*10^12-$A21),$A21,$A22))</f>
        <v>0</v>
      </c>
      <c r="H21" s="0" t="n">
        <f aca="false">IF(IF((H$3*10^12-$A22)*(H$3*10^12-$A21)*-1&lt;0,0,1)*IF(ABS(H$3*10^12-$A22)&gt;(H$3*10^12-$A21),$A21,$A22)=H22,0,IF((H$3*10^12-$A22)*(H$3*10^12-$A21)*-1&lt;0,0,1)*IF(ABS(H$3*10^12-$A22)&gt;(H$3*10^12-$A21),$A21,$A22))</f>
        <v>0</v>
      </c>
      <c r="I21" s="0" t="n">
        <f aca="false">IF(IF((I$3*10^12-$A22)*(I$3*10^12-$A21)*-1&lt;0,0,1)*IF(ABS(I$3*10^12-$A22)&gt;(I$3*10^12-$A21),$A21,$A22)=I22,0,IF((I$3*10^12-$A22)*(I$3*10^12-$A21)*-1&lt;0,0,1)*IF(ABS(I$3*10^12-$A22)&gt;(I$3*10^12-$A21),$A21,$A22))</f>
        <v>0</v>
      </c>
      <c r="J21" s="0" t="n">
        <f aca="false">IF(IF((J$3*10^12-$A22)*(J$3*10^12-$A21)*-1&lt;0,0,1)*IF(ABS(J$3*10^12-$A22)&gt;(J$3*10^12-$A21),$A21,$A22)=J22,0,IF((J$3*10^12-$A22)*(J$3*10^12-$A21)*-1&lt;0,0,1)*IF(ABS(J$3*10^12-$A22)&gt;(J$3*10^12-$A21),$A21,$A22))</f>
        <v>0</v>
      </c>
      <c r="K21" s="0" t="n">
        <f aca="false">IF(IF((K$3*10^12-$A22)*(K$3*10^12-$A21)*-1&lt;0,0,1)*IF(ABS(K$3*10^12-$A22)&gt;(K$3*10^12-$A21),$A21,$A22)=K22,0,IF((K$3*10^12-$A22)*(K$3*10^12-$A21)*-1&lt;0,0,1)*IF(ABS(K$3*10^12-$A22)&gt;(K$3*10^12-$A21),$A21,$A22))</f>
        <v>0</v>
      </c>
      <c r="L21" s="0" t="n">
        <f aca="false">IF(IF((L$3*10^12-$A22)*(L$3*10^12-$A21)*-1&lt;0,0,1)*IF(ABS(L$3*10^12-$A22)&gt;(L$3*10^12-$A21),$A21,$A22)=L22,0,IF((L$3*10^12-$A22)*(L$3*10^12-$A21)*-1&lt;0,0,1)*IF(ABS(L$3*10^12-$A22)&gt;(L$3*10^12-$A21),$A21,$A22))</f>
        <v>0</v>
      </c>
      <c r="M21" s="0" t="n">
        <f aca="false">IF(IF((M$3*10^12-$A22)*(M$3*10^12-$A21)*-1&lt;0,0,1)*IF(ABS(M$3*10^12-$A22)&gt;(M$3*10^12-$A21),$A21,$A22)=M22,0,IF((M$3*10^12-$A22)*(M$3*10^12-$A21)*-1&lt;0,0,1)*IF(ABS(M$3*10^12-$A22)&gt;(M$3*10^12-$A21),$A21,$A22))</f>
        <v>0</v>
      </c>
      <c r="N21" s="0" t="e">
        <f aca="false">IF(IF((N$3*10^12-$A22)*(N$3*10^12-$A21)*-1&lt;0,0,1)*IF(ABS(N$3*10^12-$A22)&gt;(N$3*10^12-$A21),$A21,$A22)=N22,0,IF((N$3*10^12-$A22)*(N$3*10^12-$A21)*-1&lt;0,0,1)*IF(ABS(N$3*10^12-$A22)&gt;(N$3*10^12-$A21),$A21,$A22))</f>
        <v>#VALUE!</v>
      </c>
      <c r="Q21" s="339" t="s">
        <v>298</v>
      </c>
      <c r="R21" s="0" t="n">
        <f aca="false">Rl</f>
        <v>84969.8412698413</v>
      </c>
      <c r="S21" s="244" t="n">
        <f aca="false">IF(R21=0,0,IF(R21&gt;(INT(0.5+100*POWER(10,IF(96*(LOG(R21)-INT(LOG(R21)))-ROUND(96*(LOG(R21)-INT(LOG(R21))),0)&lt;0,ROUND(96*(LOG(R21)-INT(LOG(R21))),0)-1,ROUND(96*(LOG(R21)-INT(LOG(R21))),0))/96))*POWER(10,INT(LOG(R21))-2)+INT(0.5+100*POWER(10,(IF(96*(LOG(R21)-INT(LOG(R21)))-ROUND(96*(LOG(R21)-INT(LOG(R21))),0)&lt;0,ROUND(96*(LOG(R21)-INT(LOG(R21))),0)-1,ROUND(96*(LOG(R21)-INT(LOG(R21))),0))+1)/96))*POWER(10,INT(LOG(R21))-2))/2,INT(0.5+100*POWER(10,(IF(96*(LOG(R21)-INT(LOG(R21)))-ROUND(96*(LOG(R21)-INT(LOG(R21))),0)&lt;0,ROUND(96*(LOG(R21)-INT(LOG(R21))),0)-1,ROUND(96*(LOG(R21)-INT(LOG(R21))),0))+1)/96))*POWER(10,INT(LOG(R21))-2),INT(0.5+100*POWER(10,IF(96*(LOG(R21)-INT(LOG(R21)))-ROUND(96*(LOG(R21)-INT(LOG(R21))),0)&lt;0,ROUND(96*(LOG(R21)-INT(LOG(R21))),0)-1,ROUND(96*(LOG(R21)-INT(LOG(R21))),0))/96))*POWER(10,INT(LOG(R21))-2)))</f>
        <v>84500</v>
      </c>
      <c r="T21" s="309" t="s">
        <v>488</v>
      </c>
    </row>
    <row r="22" customFormat="false" ht="12.75" hidden="false" customHeight="false" outlineLevel="0" collapsed="false">
      <c r="A22" s="0" t="n">
        <v>10</v>
      </c>
      <c r="B22" s="0" t="n">
        <f aca="false">IF(IF((B$3*10^12-$A23)*(B$3*10^12-$A22)*-1&lt;0,0,1)*IF(ABS(B$3*10^12-$A23)&gt;(B$3*10^12-$A22),$A22,$A23)=B23,0,IF((B$3*10^12-$A23)*(B$3*10^12-$A22)*-1&lt;0,0,1)*IF(ABS(B$3*10^12-$A23)&gt;(B$3*10^12-$A22),$A22,$A23))</f>
        <v>0</v>
      </c>
      <c r="C22" s="0" t="n">
        <f aca="false">IF(IF((C$3*10^12-$A23)*(C$3*10^12-$A22)*-1&lt;0,0,1)*IF(ABS(C$3*10^12-$A23)&gt;(C$3*10^12-$A22),$A22,$A23)=C23,0,IF((C$3*10^12-$A23)*(C$3*10^12-$A22)*-1&lt;0,0,1)*IF(ABS(C$3*10^12-$A23)&gt;(C$3*10^12-$A22),$A22,$A23))</f>
        <v>0</v>
      </c>
      <c r="D22" s="0" t="n">
        <f aca="false">IF(IF((D$3*10^12-$A23)*(D$3*10^12-$A22)*-1&lt;0,0,1)*IF(ABS(D$3*10^12-$A23)&gt;(D$3*10^12-$A22),$A22,$A23)=D23,0,IF((D$3*10^12-$A23)*(D$3*10^12-$A22)*-1&lt;0,0,1)*IF(ABS(D$3*10^12-$A23)&gt;(D$3*10^12-$A22),$A22,$A23))</f>
        <v>0</v>
      </c>
      <c r="E22" s="0" t="n">
        <f aca="false">IF(IF((E$3*10^12-$A23)*(E$3*10^12-$A22)*-1&lt;0,0,1)*IF(ABS(E$3*10^12-$A23)&gt;(E$3*10^12-$A22),$A22,$A23)=E23,0,IF((E$3*10^12-$A23)*(E$3*10^12-$A22)*-1&lt;0,0,1)*IF(ABS(E$3*10^12-$A23)&gt;(E$3*10^12-$A22),$A22,$A23))</f>
        <v>0</v>
      </c>
      <c r="F22" s="0" t="n">
        <f aca="false">IF(IF((F$3*10^12-$A23)*(F$3*10^12-$A22)*-1&lt;0,0,1)*IF(ABS(F$3*10^12-$A23)&gt;(F$3*10^12-$A22),$A22,$A23)=F23,0,IF((F$3*10^12-$A23)*(F$3*10^12-$A22)*-1&lt;0,0,1)*IF(ABS(F$3*10^12-$A23)&gt;(F$3*10^12-$A22),$A22,$A23))</f>
        <v>0</v>
      </c>
      <c r="G22" s="0" t="n">
        <f aca="false">IF(IF((G$3*10^12-$A23)*(G$3*10^12-$A22)*-1&lt;0,0,1)*IF(ABS(G$3*10^12-$A23)&gt;(G$3*10^12-$A22),$A22,$A23)=G23,0,IF((G$3*10^12-$A23)*(G$3*10^12-$A22)*-1&lt;0,0,1)*IF(ABS(G$3*10^12-$A23)&gt;(G$3*10^12-$A22),$A22,$A23))</f>
        <v>0</v>
      </c>
      <c r="H22" s="0" t="n">
        <f aca="false">IF(IF((H$3*10^12-$A23)*(H$3*10^12-$A22)*-1&lt;0,0,1)*IF(ABS(H$3*10^12-$A23)&gt;(H$3*10^12-$A22),$A22,$A23)=H23,0,IF((H$3*10^12-$A23)*(H$3*10^12-$A22)*-1&lt;0,0,1)*IF(ABS(H$3*10^12-$A23)&gt;(H$3*10^12-$A22),$A22,$A23))</f>
        <v>0</v>
      </c>
      <c r="I22" s="0" t="n">
        <f aca="false">IF(IF((I$3*10^12-$A23)*(I$3*10^12-$A22)*-1&lt;0,0,1)*IF(ABS(I$3*10^12-$A23)&gt;(I$3*10^12-$A22),$A22,$A23)=I23,0,IF((I$3*10^12-$A23)*(I$3*10^12-$A22)*-1&lt;0,0,1)*IF(ABS(I$3*10^12-$A23)&gt;(I$3*10^12-$A22),$A22,$A23))</f>
        <v>0</v>
      </c>
      <c r="J22" s="0" t="n">
        <f aca="false">IF(IF((J$3*10^12-$A23)*(J$3*10^12-$A22)*-1&lt;0,0,1)*IF(ABS(J$3*10^12-$A23)&gt;(J$3*10^12-$A22),$A22,$A23)=J23,0,IF((J$3*10^12-$A23)*(J$3*10^12-$A22)*-1&lt;0,0,1)*IF(ABS(J$3*10^12-$A23)&gt;(J$3*10^12-$A22),$A22,$A23))</f>
        <v>0</v>
      </c>
      <c r="K22" s="0" t="n">
        <f aca="false">IF(IF((K$3*10^12-$A23)*(K$3*10^12-$A22)*-1&lt;0,0,1)*IF(ABS(K$3*10^12-$A23)&gt;(K$3*10^12-$A22),$A22,$A23)=K23,0,IF((K$3*10^12-$A23)*(K$3*10^12-$A22)*-1&lt;0,0,1)*IF(ABS(K$3*10^12-$A23)&gt;(K$3*10^12-$A22),$A22,$A23))</f>
        <v>0</v>
      </c>
      <c r="L22" s="0" t="n">
        <f aca="false">IF(IF((L$3*10^12-$A23)*(L$3*10^12-$A22)*-1&lt;0,0,1)*IF(ABS(L$3*10^12-$A23)&gt;(L$3*10^12-$A22),$A22,$A23)=L23,0,IF((L$3*10^12-$A23)*(L$3*10^12-$A22)*-1&lt;0,0,1)*IF(ABS(L$3*10^12-$A23)&gt;(L$3*10^12-$A22),$A22,$A23))</f>
        <v>0</v>
      </c>
      <c r="M22" s="0" t="n">
        <f aca="false">IF(IF((M$3*10^12-$A23)*(M$3*10^12-$A22)*-1&lt;0,0,1)*IF(ABS(M$3*10^12-$A23)&gt;(M$3*10^12-$A22),$A22,$A23)=M23,0,IF((M$3*10^12-$A23)*(M$3*10^12-$A22)*-1&lt;0,0,1)*IF(ABS(M$3*10^12-$A23)&gt;(M$3*10^12-$A22),$A22,$A23))</f>
        <v>0</v>
      </c>
      <c r="N22" s="0" t="e">
        <f aca="false">IF(IF((N$3*10^12-$A23)*(N$3*10^12-$A22)*-1&lt;0,0,1)*IF(ABS(N$3*10^12-$A23)&gt;(N$3*10^12-$A22),$A22,$A23)=N23,0,IF((N$3*10^12-$A23)*(N$3*10^12-$A22)*-1&lt;0,0,1)*IF(ABS(N$3*10^12-$A23)&gt;(N$3*10^12-$A22),$A22,$A23))</f>
        <v>#VALUE!</v>
      </c>
      <c r="Q22" s="339" t="s">
        <v>494</v>
      </c>
      <c r="R22" s="0" t="n">
        <f aca="false">Rsetideal</f>
        <v>11438.1772911185</v>
      </c>
      <c r="S22" s="244" t="n">
        <f aca="false">IF(R22=0,0,IF(R22&gt;(INT(0.5+100*POWER(10,IF(96*(LOG(R22)-INT(LOG(R22)))-ROUND(96*(LOG(R22)-INT(LOG(R22))),0)&lt;0,ROUND(96*(LOG(R22)-INT(LOG(R22))),0)-1,ROUND(96*(LOG(R22)-INT(LOG(R22))),0))/96))*POWER(10,INT(LOG(R22))-2)+INT(0.5+100*POWER(10,(IF(96*(LOG(R22)-INT(LOG(R22)))-ROUND(96*(LOG(R22)-INT(LOG(R22))),0)&lt;0,ROUND(96*(LOG(R22)-INT(LOG(R22))),0)-1,ROUND(96*(LOG(R22)-INT(LOG(R22))),0))+1)/96))*POWER(10,INT(LOG(R22))-2))/2,INT(0.5+100*POWER(10,(IF(96*(LOG(R22)-INT(LOG(R22)))-ROUND(96*(LOG(R22)-INT(LOG(R22))),0)&lt;0,ROUND(96*(LOG(R22)-INT(LOG(R22))),0)-1,ROUND(96*(LOG(R22)-INT(LOG(R22))),0))+1)/96))*POWER(10,INT(LOG(R22))-2),INT(0.5+100*POWER(10,IF(96*(LOG(R22)-INT(LOG(R22)))-ROUND(96*(LOG(R22)-INT(LOG(R22))),0)&lt;0,ROUND(96*(LOG(R22)-INT(LOG(R22))),0)-1,ROUND(96*(LOG(R22)-INT(LOG(R22))),0))/96))*POWER(10,INT(LOG(R22))-2)))</f>
        <v>11500</v>
      </c>
      <c r="T22" s="309" t="s">
        <v>488</v>
      </c>
    </row>
    <row r="23" customFormat="false" ht="12.75" hidden="false" customHeight="false" outlineLevel="0" collapsed="false">
      <c r="A23" s="0" t="n">
        <v>12</v>
      </c>
      <c r="B23" s="0" t="n">
        <f aca="false">IF(IF((B$3*10^12-$A24)*(B$3*10^12-$A23)*-1&lt;0,0,1)*IF(ABS(B$3*10^12-$A24)&gt;(B$3*10^12-$A23),$A23,$A24)=B24,0,IF((B$3*10^12-$A24)*(B$3*10^12-$A23)*-1&lt;0,0,1)*IF(ABS(B$3*10^12-$A24)&gt;(B$3*10^12-$A23),$A23,$A24))</f>
        <v>0</v>
      </c>
      <c r="C23" s="0" t="n">
        <f aca="false">IF(IF((C$3*10^12-$A24)*(C$3*10^12-$A23)*-1&lt;0,0,1)*IF(ABS(C$3*10^12-$A24)&gt;(C$3*10^12-$A23),$A23,$A24)=C24,0,IF((C$3*10^12-$A24)*(C$3*10^12-$A23)*-1&lt;0,0,1)*IF(ABS(C$3*10^12-$A24)&gt;(C$3*10^12-$A23),$A23,$A24))</f>
        <v>0</v>
      </c>
      <c r="D23" s="0" t="n">
        <f aca="false">IF(IF((D$3*10^12-$A24)*(D$3*10^12-$A23)*-1&lt;0,0,1)*IF(ABS(D$3*10^12-$A24)&gt;(D$3*10^12-$A23),$A23,$A24)=D24,0,IF((D$3*10^12-$A24)*(D$3*10^12-$A23)*-1&lt;0,0,1)*IF(ABS(D$3*10^12-$A24)&gt;(D$3*10^12-$A23),$A23,$A24))</f>
        <v>0</v>
      </c>
      <c r="E23" s="0" t="n">
        <f aca="false">IF(IF((E$3*10^12-$A24)*(E$3*10^12-$A23)*-1&lt;0,0,1)*IF(ABS(E$3*10^12-$A24)&gt;(E$3*10^12-$A23),$A23,$A24)=E24,0,IF((E$3*10^12-$A24)*(E$3*10^12-$A23)*-1&lt;0,0,1)*IF(ABS(E$3*10^12-$A24)&gt;(E$3*10^12-$A23),$A23,$A24))</f>
        <v>0</v>
      </c>
      <c r="F23" s="0" t="n">
        <f aca="false">IF(IF((F$3*10^12-$A24)*(F$3*10^12-$A23)*-1&lt;0,0,1)*IF(ABS(F$3*10^12-$A24)&gt;(F$3*10^12-$A23),$A23,$A24)=F24,0,IF((F$3*10^12-$A24)*(F$3*10^12-$A23)*-1&lt;0,0,1)*IF(ABS(F$3*10^12-$A24)&gt;(F$3*10^12-$A23),$A23,$A24))</f>
        <v>0</v>
      </c>
      <c r="G23" s="0" t="n">
        <f aca="false">IF(IF((G$3*10^12-$A24)*(G$3*10^12-$A23)*-1&lt;0,0,1)*IF(ABS(G$3*10^12-$A24)&gt;(G$3*10^12-$A23),$A23,$A24)=G24,0,IF((G$3*10^12-$A24)*(G$3*10^12-$A23)*-1&lt;0,0,1)*IF(ABS(G$3*10^12-$A24)&gt;(G$3*10^12-$A23),$A23,$A24))</f>
        <v>0</v>
      </c>
      <c r="H23" s="0" t="n">
        <f aca="false">IF(IF((H$3*10^12-$A24)*(H$3*10^12-$A23)*-1&lt;0,0,1)*IF(ABS(H$3*10^12-$A24)&gt;(H$3*10^12-$A23),$A23,$A24)=H24,0,IF((H$3*10^12-$A24)*(H$3*10^12-$A23)*-1&lt;0,0,1)*IF(ABS(H$3*10^12-$A24)&gt;(H$3*10^12-$A23),$A23,$A24))</f>
        <v>0</v>
      </c>
      <c r="I23" s="0" t="n">
        <f aca="false">IF(IF((I$3*10^12-$A24)*(I$3*10^12-$A23)*-1&lt;0,0,1)*IF(ABS(I$3*10^12-$A24)&gt;(I$3*10^12-$A23),$A23,$A24)=I24,0,IF((I$3*10^12-$A24)*(I$3*10^12-$A23)*-1&lt;0,0,1)*IF(ABS(I$3*10^12-$A24)&gt;(I$3*10^12-$A23),$A23,$A24))</f>
        <v>0</v>
      </c>
      <c r="J23" s="0" t="n">
        <f aca="false">IF(IF((J$3*10^12-$A24)*(J$3*10^12-$A23)*-1&lt;0,0,1)*IF(ABS(J$3*10^12-$A24)&gt;(J$3*10^12-$A23),$A23,$A24)=J24,0,IF((J$3*10^12-$A24)*(J$3*10^12-$A23)*-1&lt;0,0,1)*IF(ABS(J$3*10^12-$A24)&gt;(J$3*10^12-$A23),$A23,$A24))</f>
        <v>0</v>
      </c>
      <c r="K23" s="0" t="n">
        <f aca="false">IF(IF((K$3*10^12-$A24)*(K$3*10^12-$A23)*-1&lt;0,0,1)*IF(ABS(K$3*10^12-$A24)&gt;(K$3*10^12-$A23),$A23,$A24)=K24,0,IF((K$3*10^12-$A24)*(K$3*10^12-$A23)*-1&lt;0,0,1)*IF(ABS(K$3*10^12-$A24)&gt;(K$3*10^12-$A23),$A23,$A24))</f>
        <v>0</v>
      </c>
      <c r="L23" s="0" t="n">
        <f aca="false">IF(IF((L$3*10^12-$A24)*(L$3*10^12-$A23)*-1&lt;0,0,1)*IF(ABS(L$3*10^12-$A24)&gt;(L$3*10^12-$A23),$A23,$A24)=L24,0,IF((L$3*10^12-$A24)*(L$3*10^12-$A23)*-1&lt;0,0,1)*IF(ABS(L$3*10^12-$A24)&gt;(L$3*10^12-$A23),$A23,$A24))</f>
        <v>0</v>
      </c>
      <c r="M23" s="0" t="n">
        <f aca="false">IF(IF((M$3*10^12-$A24)*(M$3*10^12-$A23)*-1&lt;0,0,1)*IF(ABS(M$3*10^12-$A24)&gt;(M$3*10^12-$A23),$A23,$A24)=M24,0,IF((M$3*10^12-$A24)*(M$3*10^12-$A23)*-1&lt;0,0,1)*IF(ABS(M$3*10^12-$A24)&gt;(M$3*10^12-$A23),$A23,$A24))</f>
        <v>0</v>
      </c>
      <c r="N23" s="0" t="e">
        <f aca="false">IF(IF((N$3*10^12-$A24)*(N$3*10^12-$A23)*-1&lt;0,0,1)*IF(ABS(N$3*10^12-$A24)&gt;(N$3*10^12-$A23),$A23,$A24)=N24,0,IF((N$3*10^12-$A24)*(N$3*10^12-$A23)*-1&lt;0,0,1)*IF(ABS(N$3*10^12-$A24)&gt;(N$3*10^12-$A23),$A23,$A24))</f>
        <v>#VALUE!</v>
      </c>
      <c r="S23" s="244"/>
    </row>
    <row r="24" customFormat="false" ht="12.75" hidden="false" customHeight="false" outlineLevel="0" collapsed="false">
      <c r="A24" s="0" t="n">
        <v>15</v>
      </c>
      <c r="B24" s="0" t="n">
        <f aca="false">IF(IF((B$3*10^12-$A25)*(B$3*10^12-$A24)*-1&lt;0,0,1)*IF(ABS(B$3*10^12-$A25)&gt;(B$3*10^12-$A24),$A24,$A25)=B25,0,IF((B$3*10^12-$A25)*(B$3*10^12-$A24)*-1&lt;0,0,1)*IF(ABS(B$3*10^12-$A25)&gt;(B$3*10^12-$A24),$A24,$A25))</f>
        <v>0</v>
      </c>
      <c r="C24" s="0" t="n">
        <f aca="false">IF(IF((C$3*10^12-$A25)*(C$3*10^12-$A24)*-1&lt;0,0,1)*IF(ABS(C$3*10^12-$A25)&gt;(C$3*10^12-$A24),$A24,$A25)=C25,0,IF((C$3*10^12-$A25)*(C$3*10^12-$A24)*-1&lt;0,0,1)*IF(ABS(C$3*10^12-$A25)&gt;(C$3*10^12-$A24),$A24,$A25))</f>
        <v>0</v>
      </c>
      <c r="D24" s="0" t="n">
        <f aca="false">IF(IF((D$3*10^12-$A25)*(D$3*10^12-$A24)*-1&lt;0,0,1)*IF(ABS(D$3*10^12-$A25)&gt;(D$3*10^12-$A24),$A24,$A25)=D25,0,IF((D$3*10^12-$A25)*(D$3*10^12-$A24)*-1&lt;0,0,1)*IF(ABS(D$3*10^12-$A25)&gt;(D$3*10^12-$A24),$A24,$A25))</f>
        <v>0</v>
      </c>
      <c r="E24" s="0" t="n">
        <f aca="false">IF(IF((E$3*10^12-$A25)*(E$3*10^12-$A24)*-1&lt;0,0,1)*IF(ABS(E$3*10^12-$A25)&gt;(E$3*10^12-$A24),$A24,$A25)=E25,0,IF((E$3*10^12-$A25)*(E$3*10^12-$A24)*-1&lt;0,0,1)*IF(ABS(E$3*10^12-$A25)&gt;(E$3*10^12-$A24),$A24,$A25))</f>
        <v>0</v>
      </c>
      <c r="F24" s="0" t="n">
        <f aca="false">IF(IF((F$3*10^12-$A25)*(F$3*10^12-$A24)*-1&lt;0,0,1)*IF(ABS(F$3*10^12-$A25)&gt;(F$3*10^12-$A24),$A24,$A25)=F25,0,IF((F$3*10^12-$A25)*(F$3*10^12-$A24)*-1&lt;0,0,1)*IF(ABS(F$3*10^12-$A25)&gt;(F$3*10^12-$A24),$A24,$A25))</f>
        <v>0</v>
      </c>
      <c r="G24" s="0" t="n">
        <f aca="false">IF(IF((G$3*10^12-$A25)*(G$3*10^12-$A24)*-1&lt;0,0,1)*IF(ABS(G$3*10^12-$A25)&gt;(G$3*10^12-$A24),$A24,$A25)=G25,0,IF((G$3*10^12-$A25)*(G$3*10^12-$A24)*-1&lt;0,0,1)*IF(ABS(G$3*10^12-$A25)&gt;(G$3*10^12-$A24),$A24,$A25))</f>
        <v>0</v>
      </c>
      <c r="H24" s="0" t="n">
        <f aca="false">IF(IF((H$3*10^12-$A25)*(H$3*10^12-$A24)*-1&lt;0,0,1)*IF(ABS(H$3*10^12-$A25)&gt;(H$3*10^12-$A24),$A24,$A25)=H25,0,IF((H$3*10^12-$A25)*(H$3*10^12-$A24)*-1&lt;0,0,1)*IF(ABS(H$3*10^12-$A25)&gt;(H$3*10^12-$A24),$A24,$A25))</f>
        <v>0</v>
      </c>
      <c r="I24" s="0" t="n">
        <f aca="false">IF(IF((I$3*10^12-$A25)*(I$3*10^12-$A24)*-1&lt;0,0,1)*IF(ABS(I$3*10^12-$A25)&gt;(I$3*10^12-$A24),$A24,$A25)=I25,0,IF((I$3*10^12-$A25)*(I$3*10^12-$A24)*-1&lt;0,0,1)*IF(ABS(I$3*10^12-$A25)&gt;(I$3*10^12-$A24),$A24,$A25))</f>
        <v>0</v>
      </c>
      <c r="J24" s="0" t="n">
        <f aca="false">IF(IF((J$3*10^12-$A25)*(J$3*10^12-$A24)*-1&lt;0,0,1)*IF(ABS(J$3*10^12-$A25)&gt;(J$3*10^12-$A24),$A24,$A25)=J25,0,IF((J$3*10^12-$A25)*(J$3*10^12-$A24)*-1&lt;0,0,1)*IF(ABS(J$3*10^12-$A25)&gt;(J$3*10^12-$A24),$A24,$A25))</f>
        <v>0</v>
      </c>
      <c r="K24" s="0" t="n">
        <f aca="false">IF(IF((K$3*10^12-$A25)*(K$3*10^12-$A24)*-1&lt;0,0,1)*IF(ABS(K$3*10^12-$A25)&gt;(K$3*10^12-$A24),$A24,$A25)=K25,0,IF((K$3*10^12-$A25)*(K$3*10^12-$A24)*-1&lt;0,0,1)*IF(ABS(K$3*10^12-$A25)&gt;(K$3*10^12-$A24),$A24,$A25))</f>
        <v>0</v>
      </c>
      <c r="L24" s="0" t="n">
        <f aca="false">IF(IF((L$3*10^12-$A25)*(L$3*10^12-$A24)*-1&lt;0,0,1)*IF(ABS(L$3*10^12-$A25)&gt;(L$3*10^12-$A24),$A24,$A25)=L25,0,IF((L$3*10^12-$A25)*(L$3*10^12-$A24)*-1&lt;0,0,1)*IF(ABS(L$3*10^12-$A25)&gt;(L$3*10^12-$A24),$A24,$A25))</f>
        <v>0</v>
      </c>
      <c r="M24" s="0" t="n">
        <f aca="false">IF(IF((M$3*10^12-$A25)*(M$3*10^12-$A24)*-1&lt;0,0,1)*IF(ABS(M$3*10^12-$A25)&gt;(M$3*10^12-$A24),$A24,$A25)=M25,0,IF((M$3*10^12-$A25)*(M$3*10^12-$A24)*-1&lt;0,0,1)*IF(ABS(M$3*10^12-$A25)&gt;(M$3*10^12-$A24),$A24,$A25))</f>
        <v>0</v>
      </c>
      <c r="N24" s="0" t="e">
        <f aca="false">IF(IF((N$3*10^12-$A25)*(N$3*10^12-$A24)*-1&lt;0,0,1)*IF(ABS(N$3*10^12-$A25)&gt;(N$3*10^12-$A24),$A24,$A25)=N25,0,IF((N$3*10^12-$A25)*(N$3*10^12-$A24)*-1&lt;0,0,1)*IF(ABS(N$3*10^12-$A25)&gt;(N$3*10^12-$A24),$A24,$A25))</f>
        <v>#VALUE!</v>
      </c>
      <c r="Q24" s="339" t="s">
        <v>298</v>
      </c>
      <c r="R24" s="0" t="n">
        <f aca="false">Rotp</f>
        <v>84969.8412698413</v>
      </c>
      <c r="S24" s="244" t="n">
        <f aca="false">IF(R24=0,0,IF(R24&gt;(INT(0.5+100*POWER(10,IF(96*(LOG(R24)-INT(LOG(R24)))-ROUND(96*(LOG(R24)-INT(LOG(R24))),0)&lt;0,ROUND(96*(LOG(R24)-INT(LOG(R24))),0)-1,ROUND(96*(LOG(R24)-INT(LOG(R24))),0))/96))*POWER(10,INT(LOG(R24))-2)+INT(0.5+100*POWER(10,(IF(96*(LOG(R24)-INT(LOG(R24)))-ROUND(96*(LOG(R24)-INT(LOG(R24))),0)&lt;0,ROUND(96*(LOG(R24)-INT(LOG(R24))),0)-1,ROUND(96*(LOG(R24)-INT(LOG(R24))),0))+1)/96))*POWER(10,INT(LOG(R24))-2))/2,INT(0.5+100*POWER(10,(IF(96*(LOG(R24)-INT(LOG(R24)))-ROUND(96*(LOG(R24)-INT(LOG(R24))),0)&lt;0,ROUND(96*(LOG(R24)-INT(LOG(R24))),0)-1,ROUND(96*(LOG(R24)-INT(LOG(R24))),0))+1)/96))*POWER(10,INT(LOG(R24))-2),INT(0.5+100*POWER(10,IF(96*(LOG(R24)-INT(LOG(R24)))-ROUND(96*(LOG(R24)-INT(LOG(R24))),0)&lt;0,ROUND(96*(LOG(R24)-INT(LOG(R24))),0)-1,ROUND(96*(LOG(R24)-INT(LOG(R24))),0))/96))*POWER(10,INT(LOG(R24))-2)))</f>
        <v>84500</v>
      </c>
      <c r="T24" s="309" t="s">
        <v>488</v>
      </c>
    </row>
    <row r="25" customFormat="false" ht="12.75" hidden="false" customHeight="false" outlineLevel="0" collapsed="false">
      <c r="A25" s="0" t="n">
        <v>18</v>
      </c>
      <c r="B25" s="0" t="n">
        <f aca="false">IF(IF((B$3*10^12-$A26)*(B$3*10^12-$A25)*-1&lt;0,0,1)*IF(ABS(B$3*10^12-$A26)&gt;(B$3*10^12-$A25),$A25,$A26)=B26,0,IF((B$3*10^12-$A26)*(B$3*10^12-$A25)*-1&lt;0,0,1)*IF(ABS(B$3*10^12-$A26)&gt;(B$3*10^12-$A25),$A25,$A26))</f>
        <v>0</v>
      </c>
      <c r="C25" s="0" t="n">
        <f aca="false">IF(IF((C$3*10^12-$A26)*(C$3*10^12-$A25)*-1&lt;0,0,1)*IF(ABS(C$3*10^12-$A26)&gt;(C$3*10^12-$A25),$A25,$A26)=C26,0,IF((C$3*10^12-$A26)*(C$3*10^12-$A25)*-1&lt;0,0,1)*IF(ABS(C$3*10^12-$A26)&gt;(C$3*10^12-$A25),$A25,$A26))</f>
        <v>0</v>
      </c>
      <c r="D25" s="0" t="n">
        <f aca="false">IF(IF((D$3*10^12-$A26)*(D$3*10^12-$A25)*-1&lt;0,0,1)*IF(ABS(D$3*10^12-$A26)&gt;(D$3*10^12-$A25),$A25,$A26)=D26,0,IF((D$3*10^12-$A26)*(D$3*10^12-$A25)*-1&lt;0,0,1)*IF(ABS(D$3*10^12-$A26)&gt;(D$3*10^12-$A25),$A25,$A26))</f>
        <v>0</v>
      </c>
      <c r="E25" s="0" t="n">
        <f aca="false">IF(IF((E$3*10^12-$A26)*(E$3*10^12-$A25)*-1&lt;0,0,1)*IF(ABS(E$3*10^12-$A26)&gt;(E$3*10^12-$A25),$A25,$A26)=E26,0,IF((E$3*10^12-$A26)*(E$3*10^12-$A25)*-1&lt;0,0,1)*IF(ABS(E$3*10^12-$A26)&gt;(E$3*10^12-$A25),$A25,$A26))</f>
        <v>0</v>
      </c>
      <c r="F25" s="0" t="n">
        <f aca="false">IF(IF((F$3*10^12-$A26)*(F$3*10^12-$A25)*-1&lt;0,0,1)*IF(ABS(F$3*10^12-$A26)&gt;(F$3*10^12-$A25),$A25,$A26)=F26,0,IF((F$3*10^12-$A26)*(F$3*10^12-$A25)*-1&lt;0,0,1)*IF(ABS(F$3*10^12-$A26)&gt;(F$3*10^12-$A25),$A25,$A26))</f>
        <v>0</v>
      </c>
      <c r="G25" s="0" t="n">
        <f aca="false">IF(IF((G$3*10^12-$A26)*(G$3*10^12-$A25)*-1&lt;0,0,1)*IF(ABS(G$3*10^12-$A26)&gt;(G$3*10^12-$A25),$A25,$A26)=G26,0,IF((G$3*10^12-$A26)*(G$3*10^12-$A25)*-1&lt;0,0,1)*IF(ABS(G$3*10^12-$A26)&gt;(G$3*10^12-$A25),$A25,$A26))</f>
        <v>0</v>
      </c>
      <c r="H25" s="0" t="n">
        <f aca="false">IF(IF((H$3*10^12-$A26)*(H$3*10^12-$A25)*-1&lt;0,0,1)*IF(ABS(H$3*10^12-$A26)&gt;(H$3*10^12-$A25),$A25,$A26)=H26,0,IF((H$3*10^12-$A26)*(H$3*10^12-$A25)*-1&lt;0,0,1)*IF(ABS(H$3*10^12-$A26)&gt;(H$3*10^12-$A25),$A25,$A26))</f>
        <v>0</v>
      </c>
      <c r="I25" s="0" t="n">
        <f aca="false">IF(IF((I$3*10^12-$A26)*(I$3*10^12-$A25)*-1&lt;0,0,1)*IF(ABS(I$3*10^12-$A26)&gt;(I$3*10^12-$A25),$A25,$A26)=I26,0,IF((I$3*10^12-$A26)*(I$3*10^12-$A25)*-1&lt;0,0,1)*IF(ABS(I$3*10^12-$A26)&gt;(I$3*10^12-$A25),$A25,$A26))</f>
        <v>0</v>
      </c>
      <c r="J25" s="0" t="n">
        <f aca="false">IF(IF((J$3*10^12-$A26)*(J$3*10^12-$A25)*-1&lt;0,0,1)*IF(ABS(J$3*10^12-$A26)&gt;(J$3*10^12-$A25),$A25,$A26)=J26,0,IF((J$3*10^12-$A26)*(J$3*10^12-$A25)*-1&lt;0,0,1)*IF(ABS(J$3*10^12-$A26)&gt;(J$3*10^12-$A25),$A25,$A26))</f>
        <v>0</v>
      </c>
      <c r="K25" s="0" t="n">
        <f aca="false">IF(IF((K$3*10^12-$A26)*(K$3*10^12-$A25)*-1&lt;0,0,1)*IF(ABS(K$3*10^12-$A26)&gt;(K$3*10^12-$A25),$A25,$A26)=K26,0,IF((K$3*10^12-$A26)*(K$3*10^12-$A25)*-1&lt;0,0,1)*IF(ABS(K$3*10^12-$A26)&gt;(K$3*10^12-$A25),$A25,$A26))</f>
        <v>0</v>
      </c>
      <c r="L25" s="0" t="n">
        <f aca="false">IF(IF((L$3*10^12-$A26)*(L$3*10^12-$A25)*-1&lt;0,0,1)*IF(ABS(L$3*10^12-$A26)&gt;(L$3*10^12-$A25),$A25,$A26)=L26,0,IF((L$3*10^12-$A26)*(L$3*10^12-$A25)*-1&lt;0,0,1)*IF(ABS(L$3*10^12-$A26)&gt;(L$3*10^12-$A25),$A25,$A26))</f>
        <v>0</v>
      </c>
      <c r="M25" s="0" t="n">
        <f aca="false">IF(IF((M$3*10^12-$A26)*(M$3*10^12-$A25)*-1&lt;0,0,1)*IF(ABS(M$3*10^12-$A26)&gt;(M$3*10^12-$A25),$A25,$A26)=M26,0,IF((M$3*10^12-$A26)*(M$3*10^12-$A25)*-1&lt;0,0,1)*IF(ABS(M$3*10^12-$A26)&gt;(M$3*10^12-$A25),$A25,$A26))</f>
        <v>0</v>
      </c>
      <c r="N25" s="0" t="e">
        <f aca="false">IF(IF((N$3*10^12-$A26)*(N$3*10^12-$A25)*-1&lt;0,0,1)*IF(ABS(N$3*10^12-$A26)&gt;(N$3*10^12-$A25),$A25,$A26)=N26,0,IF((N$3*10^12-$A26)*(N$3*10^12-$A25)*-1&lt;0,0,1)*IF(ABS(N$3*10^12-$A26)&gt;(N$3*10^12-$A25),$A25,$A26))</f>
        <v>#VALUE!</v>
      </c>
    </row>
    <row r="26" customFormat="false" ht="12.75" hidden="false" customHeight="false" outlineLevel="0" collapsed="false">
      <c r="A26" s="0" t="n">
        <v>22</v>
      </c>
      <c r="B26" s="0" t="n">
        <f aca="false">IF(IF((B$3*10^12-$A27)*(B$3*10^12-$A26)*-1&lt;0,0,1)*IF(ABS(B$3*10^12-$A27)&gt;(B$3*10^12-$A26),$A26,$A27)=B27,0,IF((B$3*10^12-$A27)*(B$3*10^12-$A26)*-1&lt;0,0,1)*IF(ABS(B$3*10^12-$A27)&gt;(B$3*10^12-$A26),$A26,$A27))</f>
        <v>0</v>
      </c>
      <c r="C26" s="0" t="n">
        <f aca="false">IF(IF((C$3*10^12-$A27)*(C$3*10^12-$A26)*-1&lt;0,0,1)*IF(ABS(C$3*10^12-$A27)&gt;(C$3*10^12-$A26),$A26,$A27)=C27,0,IF((C$3*10^12-$A27)*(C$3*10^12-$A26)*-1&lt;0,0,1)*IF(ABS(C$3*10^12-$A27)&gt;(C$3*10^12-$A26),$A26,$A27))</f>
        <v>0</v>
      </c>
      <c r="D26" s="0" t="n">
        <f aca="false">IF(IF((D$3*10^12-$A27)*(D$3*10^12-$A26)*-1&lt;0,0,1)*IF(ABS(D$3*10^12-$A27)&gt;(D$3*10^12-$A26),$A26,$A27)=D27,0,IF((D$3*10^12-$A27)*(D$3*10^12-$A26)*-1&lt;0,0,1)*IF(ABS(D$3*10^12-$A27)&gt;(D$3*10^12-$A26),$A26,$A27))</f>
        <v>0</v>
      </c>
      <c r="E26" s="0" t="n">
        <f aca="false">IF(IF((E$3*10^12-$A27)*(E$3*10^12-$A26)*-1&lt;0,0,1)*IF(ABS(E$3*10^12-$A27)&gt;(E$3*10^12-$A26),$A26,$A27)=E27,0,IF((E$3*10^12-$A27)*(E$3*10^12-$A26)*-1&lt;0,0,1)*IF(ABS(E$3*10^12-$A27)&gt;(E$3*10^12-$A26),$A26,$A27))</f>
        <v>0</v>
      </c>
      <c r="F26" s="0" t="n">
        <f aca="false">IF(IF((F$3*10^12-$A27)*(F$3*10^12-$A26)*-1&lt;0,0,1)*IF(ABS(F$3*10^12-$A27)&gt;(F$3*10^12-$A26),$A26,$A27)=F27,0,IF((F$3*10^12-$A27)*(F$3*10^12-$A26)*-1&lt;0,0,1)*IF(ABS(F$3*10^12-$A27)&gt;(F$3*10^12-$A26),$A26,$A27))</f>
        <v>0</v>
      </c>
      <c r="G26" s="0" t="n">
        <f aca="false">IF(IF((G$3*10^12-$A27)*(G$3*10^12-$A26)*-1&lt;0,0,1)*IF(ABS(G$3*10^12-$A27)&gt;(G$3*10^12-$A26),$A26,$A27)=G27,0,IF((G$3*10^12-$A27)*(G$3*10^12-$A26)*-1&lt;0,0,1)*IF(ABS(G$3*10^12-$A27)&gt;(G$3*10^12-$A26),$A26,$A27))</f>
        <v>0</v>
      </c>
      <c r="H26" s="0" t="n">
        <f aca="false">IF(IF((H$3*10^12-$A27)*(H$3*10^12-$A26)*-1&lt;0,0,1)*IF(ABS(H$3*10^12-$A27)&gt;(H$3*10^12-$A26),$A26,$A27)=H27,0,IF((H$3*10^12-$A27)*(H$3*10^12-$A26)*-1&lt;0,0,1)*IF(ABS(H$3*10^12-$A27)&gt;(H$3*10^12-$A26),$A26,$A27))</f>
        <v>0</v>
      </c>
      <c r="I26" s="0" t="n">
        <f aca="false">IF(IF((I$3*10^12-$A27)*(I$3*10^12-$A26)*-1&lt;0,0,1)*IF(ABS(I$3*10^12-$A27)&gt;(I$3*10^12-$A26),$A26,$A27)=I27,0,IF((I$3*10^12-$A27)*(I$3*10^12-$A26)*-1&lt;0,0,1)*IF(ABS(I$3*10^12-$A27)&gt;(I$3*10^12-$A26),$A26,$A27))</f>
        <v>0</v>
      </c>
      <c r="J26" s="0" t="n">
        <f aca="false">IF(IF((J$3*10^12-$A27)*(J$3*10^12-$A26)*-1&lt;0,0,1)*IF(ABS(J$3*10^12-$A27)&gt;(J$3*10^12-$A26),$A26,$A27)=J27,0,IF((J$3*10^12-$A27)*(J$3*10^12-$A26)*-1&lt;0,0,1)*IF(ABS(J$3*10^12-$A27)&gt;(J$3*10^12-$A26),$A26,$A27))</f>
        <v>0</v>
      </c>
      <c r="K26" s="0" t="n">
        <f aca="false">IF(IF((K$3*10^12-$A27)*(K$3*10^12-$A26)*-1&lt;0,0,1)*IF(ABS(K$3*10^12-$A27)&gt;(K$3*10^12-$A26),$A26,$A27)=K27,0,IF((K$3*10^12-$A27)*(K$3*10^12-$A26)*-1&lt;0,0,1)*IF(ABS(K$3*10^12-$A27)&gt;(K$3*10^12-$A26),$A26,$A27))</f>
        <v>0</v>
      </c>
      <c r="L26" s="0" t="n">
        <f aca="false">IF(IF((L$3*10^12-$A27)*(L$3*10^12-$A26)*-1&lt;0,0,1)*IF(ABS(L$3*10^12-$A27)&gt;(L$3*10^12-$A26),$A26,$A27)=L27,0,IF((L$3*10^12-$A27)*(L$3*10^12-$A26)*-1&lt;0,0,1)*IF(ABS(L$3*10^12-$A27)&gt;(L$3*10^12-$A26),$A26,$A27))</f>
        <v>0</v>
      </c>
      <c r="M26" s="0" t="n">
        <f aca="false">IF(IF((M$3*10^12-$A27)*(M$3*10^12-$A26)*-1&lt;0,0,1)*IF(ABS(M$3*10^12-$A27)&gt;(M$3*10^12-$A26),$A26,$A27)=M27,0,IF((M$3*10^12-$A27)*(M$3*10^12-$A26)*-1&lt;0,0,1)*IF(ABS(M$3*10^12-$A27)&gt;(M$3*10^12-$A26),$A26,$A27))</f>
        <v>0</v>
      </c>
      <c r="N26" s="0" t="e">
        <f aca="false">IF(IF((N$3*10^12-$A27)*(N$3*10^12-$A26)*-1&lt;0,0,1)*IF(ABS(N$3*10^12-$A27)&gt;(N$3*10^12-$A26),$A26,$A27)=N27,0,IF((N$3*10^12-$A27)*(N$3*10^12-$A26)*-1&lt;0,0,1)*IF(ABS(N$3*10^12-$A27)&gt;(N$3*10^12-$A26),$A26,$A27))</f>
        <v>#VALUE!</v>
      </c>
    </row>
    <row r="27" customFormat="false" ht="12.75" hidden="false" customHeight="false" outlineLevel="0" collapsed="false">
      <c r="A27" s="0" t="n">
        <v>27</v>
      </c>
      <c r="B27" s="0" t="n">
        <f aca="false">IF(IF((B$3*10^12-$A28)*(B$3*10^12-$A27)*-1&lt;0,0,1)*IF(ABS(B$3*10^12-$A28)&gt;(B$3*10^12-$A27),$A27,$A28)=B28,0,IF((B$3*10^12-$A28)*(B$3*10^12-$A27)*-1&lt;0,0,1)*IF(ABS(B$3*10^12-$A28)&gt;(B$3*10^12-$A27),$A27,$A28))</f>
        <v>0</v>
      </c>
      <c r="C27" s="0" t="n">
        <f aca="false">IF(IF((C$3*10^12-$A28)*(C$3*10^12-$A27)*-1&lt;0,0,1)*IF(ABS(C$3*10^12-$A28)&gt;(C$3*10^12-$A27),$A27,$A28)=C28,0,IF((C$3*10^12-$A28)*(C$3*10^12-$A27)*-1&lt;0,0,1)*IF(ABS(C$3*10^12-$A28)&gt;(C$3*10^12-$A27),$A27,$A28))</f>
        <v>0</v>
      </c>
      <c r="D27" s="0" t="n">
        <f aca="false">IF(IF((D$3*10^12-$A28)*(D$3*10^12-$A27)*-1&lt;0,0,1)*IF(ABS(D$3*10^12-$A28)&gt;(D$3*10^12-$A27),$A27,$A28)=D28,0,IF((D$3*10^12-$A28)*(D$3*10^12-$A27)*-1&lt;0,0,1)*IF(ABS(D$3*10^12-$A28)&gt;(D$3*10^12-$A27),$A27,$A28))</f>
        <v>0</v>
      </c>
      <c r="E27" s="0" t="n">
        <f aca="false">IF(IF((E$3*10^12-$A28)*(E$3*10^12-$A27)*-1&lt;0,0,1)*IF(ABS(E$3*10^12-$A28)&gt;(E$3*10^12-$A27),$A27,$A28)=E28,0,IF((E$3*10^12-$A28)*(E$3*10^12-$A27)*-1&lt;0,0,1)*IF(ABS(E$3*10^12-$A28)&gt;(E$3*10^12-$A27),$A27,$A28))</f>
        <v>0</v>
      </c>
      <c r="F27" s="0" t="n">
        <f aca="false">IF(IF((F$3*10^12-$A28)*(F$3*10^12-$A27)*-1&lt;0,0,1)*IF(ABS(F$3*10^12-$A28)&gt;(F$3*10^12-$A27),$A27,$A28)=F28,0,IF((F$3*10^12-$A28)*(F$3*10^12-$A27)*-1&lt;0,0,1)*IF(ABS(F$3*10^12-$A28)&gt;(F$3*10^12-$A27),$A27,$A28))</f>
        <v>0</v>
      </c>
      <c r="G27" s="0" t="n">
        <f aca="false">IF(IF((G$3*10^12-$A28)*(G$3*10^12-$A27)*-1&lt;0,0,1)*IF(ABS(G$3*10^12-$A28)&gt;(G$3*10^12-$A27),$A27,$A28)=G28,0,IF((G$3*10^12-$A28)*(G$3*10^12-$A27)*-1&lt;0,0,1)*IF(ABS(G$3*10^12-$A28)&gt;(G$3*10^12-$A27),$A27,$A28))</f>
        <v>0</v>
      </c>
      <c r="H27" s="0" t="n">
        <f aca="false">IF(IF((H$3*10^12-$A28)*(H$3*10^12-$A27)*-1&lt;0,0,1)*IF(ABS(H$3*10^12-$A28)&gt;(H$3*10^12-$A27),$A27,$A28)=H28,0,IF((H$3*10^12-$A28)*(H$3*10^12-$A27)*-1&lt;0,0,1)*IF(ABS(H$3*10^12-$A28)&gt;(H$3*10^12-$A27),$A27,$A28))</f>
        <v>0</v>
      </c>
      <c r="I27" s="0" t="n">
        <f aca="false">IF(IF((I$3*10^12-$A28)*(I$3*10^12-$A27)*-1&lt;0,0,1)*IF(ABS(I$3*10^12-$A28)&gt;(I$3*10^12-$A27),$A27,$A28)=I28,0,IF((I$3*10^12-$A28)*(I$3*10^12-$A27)*-1&lt;0,0,1)*IF(ABS(I$3*10^12-$A28)&gt;(I$3*10^12-$A27),$A27,$A28))</f>
        <v>0</v>
      </c>
      <c r="J27" s="0" t="n">
        <f aca="false">IF(IF((J$3*10^12-$A28)*(J$3*10^12-$A27)*-1&lt;0,0,1)*IF(ABS(J$3*10^12-$A28)&gt;(J$3*10^12-$A27),$A27,$A28)=J28,0,IF((J$3*10^12-$A28)*(J$3*10^12-$A27)*-1&lt;0,0,1)*IF(ABS(J$3*10^12-$A28)&gt;(J$3*10^12-$A27),$A27,$A28))</f>
        <v>0</v>
      </c>
      <c r="K27" s="0" t="n">
        <f aca="false">IF(IF((K$3*10^12-$A28)*(K$3*10^12-$A27)*-1&lt;0,0,1)*IF(ABS(K$3*10^12-$A28)&gt;(K$3*10^12-$A27),$A27,$A28)=K28,0,IF((K$3*10^12-$A28)*(K$3*10^12-$A27)*-1&lt;0,0,1)*IF(ABS(K$3*10^12-$A28)&gt;(K$3*10^12-$A27),$A27,$A28))</f>
        <v>0</v>
      </c>
      <c r="L27" s="0" t="n">
        <f aca="false">IF(IF((L$3*10^12-$A28)*(L$3*10^12-$A27)*-1&lt;0,0,1)*IF(ABS(L$3*10^12-$A28)&gt;(L$3*10^12-$A27),$A27,$A28)=L28,0,IF((L$3*10^12-$A28)*(L$3*10^12-$A27)*-1&lt;0,0,1)*IF(ABS(L$3*10^12-$A28)&gt;(L$3*10^12-$A27),$A27,$A28))</f>
        <v>0</v>
      </c>
      <c r="M27" s="0" t="n">
        <f aca="false">IF(IF((M$3*10^12-$A28)*(M$3*10^12-$A27)*-1&lt;0,0,1)*IF(ABS(M$3*10^12-$A28)&gt;(M$3*10^12-$A27),$A27,$A28)=M28,0,IF((M$3*10^12-$A28)*(M$3*10^12-$A27)*-1&lt;0,0,1)*IF(ABS(M$3*10^12-$A28)&gt;(M$3*10^12-$A27),$A27,$A28))</f>
        <v>0</v>
      </c>
      <c r="N27" s="0" t="e">
        <f aca="false">IF(IF((N$3*10^12-$A28)*(N$3*10^12-$A27)*-1&lt;0,0,1)*IF(ABS(N$3*10^12-$A28)&gt;(N$3*10^12-$A27),$A27,$A28)=N28,0,IF((N$3*10^12-$A28)*(N$3*10^12-$A27)*-1&lt;0,0,1)*IF(ABS(N$3*10^12-$A28)&gt;(N$3*10^12-$A27),$A27,$A28))</f>
        <v>#VALUE!</v>
      </c>
      <c r="Q27" s="339" t="s">
        <v>495</v>
      </c>
      <c r="R27" s="0" t="str">
        <f aca="false">S7/1000&amp;" kΩ"</f>
        <v>5.36 kΩ</v>
      </c>
      <c r="S27" s="0" t="n">
        <f aca="false">S7/1000</f>
        <v>5.36</v>
      </c>
      <c r="T27" s="309" t="s">
        <v>287</v>
      </c>
    </row>
    <row r="28" customFormat="false" ht="12.75" hidden="false" customHeight="false" outlineLevel="0" collapsed="false">
      <c r="A28" s="0" t="n">
        <v>33</v>
      </c>
      <c r="B28" s="0" t="n">
        <f aca="false">IF(IF((B$3*10^12-$A29)*(B$3*10^12-$A28)*-1&lt;0,0,1)*IF(ABS(B$3*10^12-$A29)&gt;(B$3*10^12-$A28),$A28,$A29)=B29,0,IF((B$3*10^12-$A29)*(B$3*10^12-$A28)*-1&lt;0,0,1)*IF(ABS(B$3*10^12-$A29)&gt;(B$3*10^12-$A28),$A28,$A29))</f>
        <v>0</v>
      </c>
      <c r="C28" s="0" t="n">
        <f aca="false">IF(IF((C$3*10^12-$A29)*(C$3*10^12-$A28)*-1&lt;0,0,1)*IF(ABS(C$3*10^12-$A29)&gt;(C$3*10^12-$A28),$A28,$A29)=C29,0,IF((C$3*10^12-$A29)*(C$3*10^12-$A28)*-1&lt;0,0,1)*IF(ABS(C$3*10^12-$A29)&gt;(C$3*10^12-$A28),$A28,$A29))</f>
        <v>0</v>
      </c>
      <c r="D28" s="0" t="n">
        <f aca="false">IF(IF((D$3*10^12-$A29)*(D$3*10^12-$A28)*-1&lt;0,0,1)*IF(ABS(D$3*10^12-$A29)&gt;(D$3*10^12-$A28),$A28,$A29)=D29,0,IF((D$3*10^12-$A29)*(D$3*10^12-$A28)*-1&lt;0,0,1)*IF(ABS(D$3*10^12-$A29)&gt;(D$3*10^12-$A28),$A28,$A29))</f>
        <v>0</v>
      </c>
      <c r="E28" s="0" t="n">
        <f aca="false">IF(IF((E$3*10^12-$A29)*(E$3*10^12-$A28)*-1&lt;0,0,1)*IF(ABS(E$3*10^12-$A29)&gt;(E$3*10^12-$A28),$A28,$A29)=E29,0,IF((E$3*10^12-$A29)*(E$3*10^12-$A28)*-1&lt;0,0,1)*IF(ABS(E$3*10^12-$A29)&gt;(E$3*10^12-$A28),$A28,$A29))</f>
        <v>0</v>
      </c>
      <c r="F28" s="0" t="n">
        <f aca="false">IF(IF((F$3*10^12-$A29)*(F$3*10^12-$A28)*-1&lt;0,0,1)*IF(ABS(F$3*10^12-$A29)&gt;(F$3*10^12-$A28),$A28,$A29)=F29,0,IF((F$3*10^12-$A29)*(F$3*10^12-$A28)*-1&lt;0,0,1)*IF(ABS(F$3*10^12-$A29)&gt;(F$3*10^12-$A28),$A28,$A29))</f>
        <v>0</v>
      </c>
      <c r="G28" s="0" t="n">
        <f aca="false">IF(IF((G$3*10^12-$A29)*(G$3*10^12-$A28)*-1&lt;0,0,1)*IF(ABS(G$3*10^12-$A29)&gt;(G$3*10^12-$A28),$A28,$A29)=G29,0,IF((G$3*10^12-$A29)*(G$3*10^12-$A28)*-1&lt;0,0,1)*IF(ABS(G$3*10^12-$A29)&gt;(G$3*10^12-$A28),$A28,$A29))</f>
        <v>0</v>
      </c>
      <c r="H28" s="0" t="n">
        <f aca="false">IF(IF((H$3*10^12-$A29)*(H$3*10^12-$A28)*-1&lt;0,0,1)*IF(ABS(H$3*10^12-$A29)&gt;(H$3*10^12-$A28),$A28,$A29)=H29,0,IF((H$3*10^12-$A29)*(H$3*10^12-$A28)*-1&lt;0,0,1)*IF(ABS(H$3*10^12-$A29)&gt;(H$3*10^12-$A28),$A28,$A29))</f>
        <v>0</v>
      </c>
      <c r="I28" s="0" t="n">
        <f aca="false">IF(IF((I$3*10^12-$A29)*(I$3*10^12-$A28)*-1&lt;0,0,1)*IF(ABS(I$3*10^12-$A29)&gt;(I$3*10^12-$A28),$A28,$A29)=I29,0,IF((I$3*10^12-$A29)*(I$3*10^12-$A28)*-1&lt;0,0,1)*IF(ABS(I$3*10^12-$A29)&gt;(I$3*10^12-$A28),$A28,$A29))</f>
        <v>0</v>
      </c>
      <c r="J28" s="0" t="n">
        <f aca="false">IF(IF((J$3*10^12-$A29)*(J$3*10^12-$A28)*-1&lt;0,0,1)*IF(ABS(J$3*10^12-$A29)&gt;(J$3*10^12-$A28),$A28,$A29)=J29,0,IF((J$3*10^12-$A29)*(J$3*10^12-$A28)*-1&lt;0,0,1)*IF(ABS(J$3*10^12-$A29)&gt;(J$3*10^12-$A28),$A28,$A29))</f>
        <v>0</v>
      </c>
      <c r="K28" s="0" t="n">
        <f aca="false">IF(IF((K$3*10^12-$A29)*(K$3*10^12-$A28)*-1&lt;0,0,1)*IF(ABS(K$3*10^12-$A29)&gt;(K$3*10^12-$A28),$A28,$A29)=K29,0,IF((K$3*10^12-$A29)*(K$3*10^12-$A28)*-1&lt;0,0,1)*IF(ABS(K$3*10^12-$A29)&gt;(K$3*10^12-$A28),$A28,$A29))</f>
        <v>0</v>
      </c>
      <c r="L28" s="0" t="n">
        <f aca="false">IF(IF((L$3*10^12-$A29)*(L$3*10^12-$A28)*-1&lt;0,0,1)*IF(ABS(L$3*10^12-$A29)&gt;(L$3*10^12-$A28),$A28,$A29)=L29,0,IF((L$3*10^12-$A29)*(L$3*10^12-$A28)*-1&lt;0,0,1)*IF(ABS(L$3*10^12-$A29)&gt;(L$3*10^12-$A28),$A28,$A29))</f>
        <v>0</v>
      </c>
      <c r="M28" s="0" t="n">
        <f aca="false">IF(IF((M$3*10^12-$A29)*(M$3*10^12-$A28)*-1&lt;0,0,1)*IF(ABS(M$3*10^12-$A29)&gt;(M$3*10^12-$A28),$A28,$A29)=M29,0,IF((M$3*10^12-$A29)*(M$3*10^12-$A28)*-1&lt;0,0,1)*IF(ABS(M$3*10^12-$A29)&gt;(M$3*10^12-$A28),$A28,$A29))</f>
        <v>0</v>
      </c>
      <c r="N28" s="0" t="e">
        <f aca="false">IF(IF((N$3*10^12-$A29)*(N$3*10^12-$A28)*-1&lt;0,0,1)*IF(ABS(N$3*10^12-$A29)&gt;(N$3*10^12-$A28),$A28,$A29)=N29,0,IF((N$3*10^12-$A29)*(N$3*10^12-$A28)*-1&lt;0,0,1)*IF(ABS(N$3*10^12-$A29)&gt;(N$3*10^12-$A28),$A28,$A29))</f>
        <v>#VALUE!</v>
      </c>
      <c r="Q28" s="339" t="s">
        <v>496</v>
      </c>
      <c r="R28" s="0" t="str">
        <f aca="false">C4*1000000000000&amp;" pF"</f>
        <v>1000 pF</v>
      </c>
      <c r="S28" s="0" t="n">
        <f aca="false">C4*1000000000000</f>
        <v>1000</v>
      </c>
      <c r="T28" s="339" t="s">
        <v>88</v>
      </c>
    </row>
    <row r="29" customFormat="false" ht="12.75" hidden="false" customHeight="false" outlineLevel="0" collapsed="false">
      <c r="A29" s="0" t="n">
        <v>39</v>
      </c>
      <c r="B29" s="0" t="n">
        <f aca="false">IF(IF((B$3*10^12-$A30)*(B$3*10^12-$A29)*-1&lt;0,0,1)*IF(ABS(B$3*10^12-$A30)&gt;(B$3*10^12-$A29),$A29,$A30)=B30,0,IF((B$3*10^12-$A30)*(B$3*10^12-$A29)*-1&lt;0,0,1)*IF(ABS(B$3*10^12-$A30)&gt;(B$3*10^12-$A29),$A29,$A30))</f>
        <v>0</v>
      </c>
      <c r="C29" s="0" t="n">
        <f aca="false">IF(IF((C$3*10^12-$A30)*(C$3*10^12-$A29)*-1&lt;0,0,1)*IF(ABS(C$3*10^12-$A30)&gt;(C$3*10^12-$A29),$A29,$A30)=C30,0,IF((C$3*10^12-$A30)*(C$3*10^12-$A29)*-1&lt;0,0,1)*IF(ABS(C$3*10^12-$A30)&gt;(C$3*10^12-$A29),$A29,$A30))</f>
        <v>0</v>
      </c>
      <c r="D29" s="0" t="n">
        <f aca="false">IF(IF((D$3*10^12-$A30)*(D$3*10^12-$A29)*-1&lt;0,0,1)*IF(ABS(D$3*10^12-$A30)&gt;(D$3*10^12-$A29),$A29,$A30)=D30,0,IF((D$3*10^12-$A30)*(D$3*10^12-$A29)*-1&lt;0,0,1)*IF(ABS(D$3*10^12-$A30)&gt;(D$3*10^12-$A29),$A29,$A30))</f>
        <v>0</v>
      </c>
      <c r="E29" s="0" t="n">
        <f aca="false">IF(IF((E$3*10^12-$A30)*(E$3*10^12-$A29)*-1&lt;0,0,1)*IF(ABS(E$3*10^12-$A30)&gt;(E$3*10^12-$A29),$A29,$A30)=E30,0,IF((E$3*10^12-$A30)*(E$3*10^12-$A29)*-1&lt;0,0,1)*IF(ABS(E$3*10^12-$A30)&gt;(E$3*10^12-$A29),$A29,$A30))</f>
        <v>0</v>
      </c>
      <c r="F29" s="0" t="n">
        <f aca="false">IF(IF((F$3*10^12-$A30)*(F$3*10^12-$A29)*-1&lt;0,0,1)*IF(ABS(F$3*10^12-$A30)&gt;(F$3*10^12-$A29),$A29,$A30)=F30,0,IF((F$3*10^12-$A30)*(F$3*10^12-$A29)*-1&lt;0,0,1)*IF(ABS(F$3*10^12-$A30)&gt;(F$3*10^12-$A29),$A29,$A30))</f>
        <v>0</v>
      </c>
      <c r="G29" s="0" t="n">
        <f aca="false">IF(IF((G$3*10^12-$A30)*(G$3*10^12-$A29)*-1&lt;0,0,1)*IF(ABS(G$3*10^12-$A30)&gt;(G$3*10^12-$A29),$A29,$A30)=G30,0,IF((G$3*10^12-$A30)*(G$3*10^12-$A29)*-1&lt;0,0,1)*IF(ABS(G$3*10^12-$A30)&gt;(G$3*10^12-$A29),$A29,$A30))</f>
        <v>0</v>
      </c>
      <c r="H29" s="0" t="n">
        <f aca="false">IF(IF((H$3*10^12-$A30)*(H$3*10^12-$A29)*-1&lt;0,0,1)*IF(ABS(H$3*10^12-$A30)&gt;(H$3*10^12-$A29),$A29,$A30)=H30,0,IF((H$3*10^12-$A30)*(H$3*10^12-$A29)*-1&lt;0,0,1)*IF(ABS(H$3*10^12-$A30)&gt;(H$3*10^12-$A29),$A29,$A30))</f>
        <v>0</v>
      </c>
      <c r="I29" s="0" t="n">
        <f aca="false">IF(IF((I$3*10^12-$A30)*(I$3*10^12-$A29)*-1&lt;0,0,1)*IF(ABS(I$3*10^12-$A30)&gt;(I$3*10^12-$A29),$A29,$A30)=I30,0,IF((I$3*10^12-$A30)*(I$3*10^12-$A29)*-1&lt;0,0,1)*IF(ABS(I$3*10^12-$A30)&gt;(I$3*10^12-$A29),$A29,$A30))</f>
        <v>0</v>
      </c>
      <c r="J29" s="0" t="n">
        <f aca="false">IF(IF((J$3*10^12-$A30)*(J$3*10^12-$A29)*-1&lt;0,0,1)*IF(ABS(J$3*10^12-$A30)&gt;(J$3*10^12-$A29),$A29,$A30)=J30,0,IF((J$3*10^12-$A30)*(J$3*10^12-$A29)*-1&lt;0,0,1)*IF(ABS(J$3*10^12-$A30)&gt;(J$3*10^12-$A29),$A29,$A30))</f>
        <v>0</v>
      </c>
      <c r="K29" s="0" t="n">
        <f aca="false">IF(IF((K$3*10^12-$A30)*(K$3*10^12-$A29)*-1&lt;0,0,1)*IF(ABS(K$3*10^12-$A30)&gt;(K$3*10^12-$A29),$A29,$A30)=K30,0,IF((K$3*10^12-$A30)*(K$3*10^12-$A29)*-1&lt;0,0,1)*IF(ABS(K$3*10^12-$A30)&gt;(K$3*10^12-$A29),$A29,$A30))</f>
        <v>0</v>
      </c>
      <c r="L29" s="0" t="n">
        <f aca="false">IF(IF((L$3*10^12-$A30)*(L$3*10^12-$A29)*-1&lt;0,0,1)*IF(ABS(L$3*10^12-$A30)&gt;(L$3*10^12-$A29),$A29,$A30)=L30,0,IF((L$3*10^12-$A30)*(L$3*10^12-$A29)*-1&lt;0,0,1)*IF(ABS(L$3*10^12-$A30)&gt;(L$3*10^12-$A29),$A29,$A30))</f>
        <v>0</v>
      </c>
      <c r="M29" s="0" t="n">
        <f aca="false">IF(IF((M$3*10^12-$A30)*(M$3*10^12-$A29)*-1&lt;0,0,1)*IF(ABS(M$3*10^12-$A30)&gt;(M$3*10^12-$A29),$A29,$A30)=M30,0,IF((M$3*10^12-$A30)*(M$3*10^12-$A29)*-1&lt;0,0,1)*IF(ABS(M$3*10^12-$A30)&gt;(M$3*10^12-$A29),$A29,$A30))</f>
        <v>0</v>
      </c>
      <c r="N29" s="0" t="e">
        <f aca="false">IF(IF((N$3*10^12-$A30)*(N$3*10^12-$A29)*-1&lt;0,0,1)*IF(ABS(N$3*10^12-$A30)&gt;(N$3*10^12-$A29),$A29,$A30)=N30,0,IF((N$3*10^12-$A30)*(N$3*10^12-$A29)*-1&lt;0,0,1)*IF(ABS(N$3*10^12-$A30)&gt;(N$3*10^12-$A29),$A29,$A30))</f>
        <v>#VALUE!</v>
      </c>
      <c r="Q29" s="339" t="s">
        <v>497</v>
      </c>
      <c r="R29" s="0" t="str">
        <f aca="false">D4*1000000000000&amp;" pF"</f>
        <v>100 pF</v>
      </c>
      <c r="S29" s="0" t="n">
        <f aca="false">D4*1000000000000</f>
        <v>100</v>
      </c>
      <c r="T29" s="339" t="s">
        <v>88</v>
      </c>
    </row>
    <row r="30" customFormat="false" ht="12.75" hidden="false" customHeight="false" outlineLevel="0" collapsed="false">
      <c r="A30" s="0" t="n">
        <v>47</v>
      </c>
      <c r="B30" s="0" t="n">
        <f aca="false">IF(IF((B$3*10^12-$A31)*(B$3*10^12-$A30)*-1&lt;0,0,1)*IF(ABS(B$3*10^12-$A31)&gt;(B$3*10^12-$A30),$A30,$A31)=B31,0,IF((B$3*10^12-$A31)*(B$3*10^12-$A30)*-1&lt;0,0,1)*IF(ABS(B$3*10^12-$A31)&gt;(B$3*10^12-$A30),$A30,$A31))</f>
        <v>0</v>
      </c>
      <c r="C30" s="0" t="n">
        <f aca="false">IF(IF((C$3*10^12-$A31)*(C$3*10^12-$A30)*-1&lt;0,0,1)*IF(ABS(C$3*10^12-$A31)&gt;(C$3*10^12-$A30),$A30,$A31)=C31,0,IF((C$3*10^12-$A31)*(C$3*10^12-$A30)*-1&lt;0,0,1)*IF(ABS(C$3*10^12-$A31)&gt;(C$3*10^12-$A30),$A30,$A31))</f>
        <v>0</v>
      </c>
      <c r="D30" s="0" t="n">
        <f aca="false">IF(IF((D$3*10^12-$A31)*(D$3*10^12-$A30)*-1&lt;0,0,1)*IF(ABS(D$3*10^12-$A31)&gt;(D$3*10^12-$A30),$A30,$A31)=D31,0,IF((D$3*10^12-$A31)*(D$3*10^12-$A30)*-1&lt;0,0,1)*IF(ABS(D$3*10^12-$A31)&gt;(D$3*10^12-$A30),$A30,$A31))</f>
        <v>0</v>
      </c>
      <c r="E30" s="0" t="n">
        <f aca="false">IF(IF((E$3*10^12-$A31)*(E$3*10^12-$A30)*-1&lt;0,0,1)*IF(ABS(E$3*10^12-$A31)&gt;(E$3*10^12-$A30),$A30,$A31)=E31,0,IF((E$3*10^12-$A31)*(E$3*10^12-$A30)*-1&lt;0,0,1)*IF(ABS(E$3*10^12-$A31)&gt;(E$3*10^12-$A30),$A30,$A31))</f>
        <v>0</v>
      </c>
      <c r="F30" s="0" t="n">
        <f aca="false">IF(IF((F$3*10^12-$A31)*(F$3*10^12-$A30)*-1&lt;0,0,1)*IF(ABS(F$3*10^12-$A31)&gt;(F$3*10^12-$A30),$A30,$A31)=F31,0,IF((F$3*10^12-$A31)*(F$3*10^12-$A30)*-1&lt;0,0,1)*IF(ABS(F$3*10^12-$A31)&gt;(F$3*10^12-$A30),$A30,$A31))</f>
        <v>0</v>
      </c>
      <c r="G30" s="0" t="n">
        <f aca="false">IF(IF((G$3*10^12-$A31)*(G$3*10^12-$A30)*-1&lt;0,0,1)*IF(ABS(G$3*10^12-$A31)&gt;(G$3*10^12-$A30),$A30,$A31)=G31,0,IF((G$3*10^12-$A31)*(G$3*10^12-$A30)*-1&lt;0,0,1)*IF(ABS(G$3*10^12-$A31)&gt;(G$3*10^12-$A30),$A30,$A31))</f>
        <v>0</v>
      </c>
      <c r="H30" s="0" t="n">
        <f aca="false">IF(IF((H$3*10^12-$A31)*(H$3*10^12-$A30)*-1&lt;0,0,1)*IF(ABS(H$3*10^12-$A31)&gt;(H$3*10^12-$A30),$A30,$A31)=H31,0,IF((H$3*10^12-$A31)*(H$3*10^12-$A30)*-1&lt;0,0,1)*IF(ABS(H$3*10^12-$A31)&gt;(H$3*10^12-$A30),$A30,$A31))</f>
        <v>0</v>
      </c>
      <c r="I30" s="0" t="n">
        <f aca="false">IF(IF((I$3*10^12-$A31)*(I$3*10^12-$A30)*-1&lt;0,0,1)*IF(ABS(I$3*10^12-$A31)&gt;(I$3*10^12-$A30),$A30,$A31)=I31,0,IF((I$3*10^12-$A31)*(I$3*10^12-$A30)*-1&lt;0,0,1)*IF(ABS(I$3*10^12-$A31)&gt;(I$3*10^12-$A30),$A30,$A31))</f>
        <v>0</v>
      </c>
      <c r="J30" s="0" t="n">
        <f aca="false">IF(IF((J$3*10^12-$A31)*(J$3*10^12-$A30)*-1&lt;0,0,1)*IF(ABS(J$3*10^12-$A31)&gt;(J$3*10^12-$A30),$A30,$A31)=J31,0,IF((J$3*10^12-$A31)*(J$3*10^12-$A30)*-1&lt;0,0,1)*IF(ABS(J$3*10^12-$A31)&gt;(J$3*10^12-$A30),$A30,$A31))</f>
        <v>0</v>
      </c>
      <c r="K30" s="0" t="n">
        <f aca="false">IF(IF((K$3*10^12-$A31)*(K$3*10^12-$A30)*-1&lt;0,0,1)*IF(ABS(K$3*10^12-$A31)&gt;(K$3*10^12-$A30),$A30,$A31)=K31,0,IF((K$3*10^12-$A31)*(K$3*10^12-$A30)*-1&lt;0,0,1)*IF(ABS(K$3*10^12-$A31)&gt;(K$3*10^12-$A30),$A30,$A31))</f>
        <v>0</v>
      </c>
      <c r="L30" s="0" t="n">
        <f aca="false">IF(IF((L$3*10^12-$A31)*(L$3*10^12-$A30)*-1&lt;0,0,1)*IF(ABS(L$3*10^12-$A31)&gt;(L$3*10^12-$A30),$A30,$A31)=L31,0,IF((L$3*10^12-$A31)*(L$3*10^12-$A30)*-1&lt;0,0,1)*IF(ABS(L$3*10^12-$A31)&gt;(L$3*10^12-$A30),$A30,$A31))</f>
        <v>0</v>
      </c>
      <c r="M30" s="0" t="n">
        <f aca="false">IF(IF((M$3*10^12-$A31)*(M$3*10^12-$A30)*-1&lt;0,0,1)*IF(ABS(M$3*10^12-$A31)&gt;(M$3*10^12-$A30),$A30,$A31)=M31,0,IF((M$3*10^12-$A31)*(M$3*10^12-$A30)*-1&lt;0,0,1)*IF(ABS(M$3*10^12-$A31)&gt;(M$3*10^12-$A30),$A30,$A31))</f>
        <v>0</v>
      </c>
      <c r="N30" s="0" t="e">
        <f aca="false">IF(IF((N$3*10^12-$A31)*(N$3*10^12-$A30)*-1&lt;0,0,1)*IF(ABS(N$3*10^12-$A31)&gt;(N$3*10^12-$A30),$A30,$A31)=N31,0,IF((N$3*10^12-$A31)*(N$3*10^12-$A30)*-1&lt;0,0,1)*IF(ABS(N$3*10^12-$A31)&gt;(N$3*10^12-$A30),$A30,$A31))</f>
        <v>#VALUE!</v>
      </c>
      <c r="Q30" s="339" t="s">
        <v>498</v>
      </c>
      <c r="R30" s="0" t="str">
        <f aca="false">S8&amp;" Ω"</f>
        <v>5.49 Ω</v>
      </c>
      <c r="S30" s="0" t="n">
        <f aca="false">S8</f>
        <v>5.49</v>
      </c>
      <c r="T30" s="309" t="s">
        <v>488</v>
      </c>
    </row>
    <row r="31" customFormat="false" ht="12.75" hidden="false" customHeight="false" outlineLevel="0" collapsed="false">
      <c r="A31" s="0" t="n">
        <v>56</v>
      </c>
      <c r="B31" s="0" t="n">
        <f aca="false">IF(IF((B$3*10^12-$A32)*(B$3*10^12-$A31)*-1&lt;0,0,1)*IF(ABS(B$3*10^12-$A32)&gt;(B$3*10^12-$A31),$A31,$A32)=B32,0,IF((B$3*10^12-$A32)*(B$3*10^12-$A31)*-1&lt;0,0,1)*IF(ABS(B$3*10^12-$A32)&gt;(B$3*10^12-$A31),$A31,$A32))</f>
        <v>0</v>
      </c>
      <c r="C31" s="0" t="n">
        <f aca="false">IF(IF((C$3*10^12-$A32)*(C$3*10^12-$A31)*-1&lt;0,0,1)*IF(ABS(C$3*10^12-$A32)&gt;(C$3*10^12-$A31),$A31,$A32)=C32,0,IF((C$3*10^12-$A32)*(C$3*10^12-$A31)*-1&lt;0,0,1)*IF(ABS(C$3*10^12-$A32)&gt;(C$3*10^12-$A31),$A31,$A32))</f>
        <v>0</v>
      </c>
      <c r="D31" s="0" t="n">
        <f aca="false">IF(IF((D$3*10^12-$A32)*(D$3*10^12-$A31)*-1&lt;0,0,1)*IF(ABS(D$3*10^12-$A32)&gt;(D$3*10^12-$A31),$A31,$A32)=D32,0,IF((D$3*10^12-$A32)*(D$3*10^12-$A31)*-1&lt;0,0,1)*IF(ABS(D$3*10^12-$A32)&gt;(D$3*10^12-$A31),$A31,$A32))</f>
        <v>0</v>
      </c>
      <c r="E31" s="0" t="n">
        <f aca="false">IF(IF((E$3*10^12-$A32)*(E$3*10^12-$A31)*-1&lt;0,0,1)*IF(ABS(E$3*10^12-$A32)&gt;(E$3*10^12-$A31),$A31,$A32)=E32,0,IF((E$3*10^12-$A32)*(E$3*10^12-$A31)*-1&lt;0,0,1)*IF(ABS(E$3*10^12-$A32)&gt;(E$3*10^12-$A31),$A31,$A32))</f>
        <v>0</v>
      </c>
      <c r="F31" s="0" t="n">
        <f aca="false">IF(IF((F$3*10^12-$A32)*(F$3*10^12-$A31)*-1&lt;0,0,1)*IF(ABS(F$3*10^12-$A32)&gt;(F$3*10^12-$A31),$A31,$A32)=F32,0,IF((F$3*10^12-$A32)*(F$3*10^12-$A31)*-1&lt;0,0,1)*IF(ABS(F$3*10^12-$A32)&gt;(F$3*10^12-$A31),$A31,$A32))</f>
        <v>0</v>
      </c>
      <c r="G31" s="0" t="n">
        <f aca="false">IF(IF((G$3*10^12-$A32)*(G$3*10^12-$A31)*-1&lt;0,0,1)*IF(ABS(G$3*10^12-$A32)&gt;(G$3*10^12-$A31),$A31,$A32)=G32,0,IF((G$3*10^12-$A32)*(G$3*10^12-$A31)*-1&lt;0,0,1)*IF(ABS(G$3*10^12-$A32)&gt;(G$3*10^12-$A31),$A31,$A32))</f>
        <v>0</v>
      </c>
      <c r="H31" s="0" t="n">
        <f aca="false">IF(IF((H$3*10^12-$A32)*(H$3*10^12-$A31)*-1&lt;0,0,1)*IF(ABS(H$3*10^12-$A32)&gt;(H$3*10^12-$A31),$A31,$A32)=H32,0,IF((H$3*10^12-$A32)*(H$3*10^12-$A31)*-1&lt;0,0,1)*IF(ABS(H$3*10^12-$A32)&gt;(H$3*10^12-$A31),$A31,$A32))</f>
        <v>0</v>
      </c>
      <c r="I31" s="0" t="n">
        <f aca="false">IF(IF((I$3*10^12-$A32)*(I$3*10^12-$A31)*-1&lt;0,0,1)*IF(ABS(I$3*10^12-$A32)&gt;(I$3*10^12-$A31),$A31,$A32)=I32,0,IF((I$3*10^12-$A32)*(I$3*10^12-$A31)*-1&lt;0,0,1)*IF(ABS(I$3*10^12-$A32)&gt;(I$3*10^12-$A31),$A31,$A32))</f>
        <v>0</v>
      </c>
      <c r="J31" s="0" t="n">
        <f aca="false">IF(IF((J$3*10^12-$A32)*(J$3*10^12-$A31)*-1&lt;0,0,1)*IF(ABS(J$3*10^12-$A32)&gt;(J$3*10^12-$A31),$A31,$A32)=J32,0,IF((J$3*10^12-$A32)*(J$3*10^12-$A31)*-1&lt;0,0,1)*IF(ABS(J$3*10^12-$A32)&gt;(J$3*10^12-$A31),$A31,$A32))</f>
        <v>0</v>
      </c>
      <c r="K31" s="0" t="n">
        <f aca="false">IF(IF((K$3*10^12-$A32)*(K$3*10^12-$A31)*-1&lt;0,0,1)*IF(ABS(K$3*10^12-$A32)&gt;(K$3*10^12-$A31),$A31,$A32)=K32,0,IF((K$3*10^12-$A32)*(K$3*10^12-$A31)*-1&lt;0,0,1)*IF(ABS(K$3*10^12-$A32)&gt;(K$3*10^12-$A31),$A31,$A32))</f>
        <v>0</v>
      </c>
      <c r="L31" s="0" t="n">
        <f aca="false">IF(IF((L$3*10^12-$A32)*(L$3*10^12-$A31)*-1&lt;0,0,1)*IF(ABS(L$3*10^12-$A32)&gt;(L$3*10^12-$A31),$A31,$A32)=L32,0,IF((L$3*10^12-$A32)*(L$3*10^12-$A31)*-1&lt;0,0,1)*IF(ABS(L$3*10^12-$A32)&gt;(L$3*10^12-$A31),$A31,$A32))</f>
        <v>0</v>
      </c>
      <c r="M31" s="0" t="n">
        <f aca="false">IF(IF((M$3*10^12-$A32)*(M$3*10^12-$A31)*-1&lt;0,0,1)*IF(ABS(M$3*10^12-$A32)&gt;(M$3*10^12-$A31),$A31,$A32)=M32,0,IF((M$3*10^12-$A32)*(M$3*10^12-$A31)*-1&lt;0,0,1)*IF(ABS(M$3*10^12-$A32)&gt;(M$3*10^12-$A31),$A31,$A32))</f>
        <v>0</v>
      </c>
      <c r="N31" s="0" t="e">
        <f aca="false">IF(IF((N$3*10^12-$A32)*(N$3*10^12-$A31)*-1&lt;0,0,1)*IF(ABS(N$3*10^12-$A32)&gt;(N$3*10^12-$A31),$A31,$A32)=N32,0,IF((N$3*10^12-$A32)*(N$3*10^12-$A31)*-1&lt;0,0,1)*IF(ABS(N$3*10^12-$A32)&gt;(N$3*10^12-$A31),$A31,$A32))</f>
        <v>#VALUE!</v>
      </c>
      <c r="Q31" s="339" t="s">
        <v>499</v>
      </c>
      <c r="R31" s="0" t="str">
        <f aca="false">E4*1000000000000&amp;" pF"</f>
        <v>180 pF</v>
      </c>
      <c r="S31" s="0" t="n">
        <f aca="false">E4*1000000000000</f>
        <v>180</v>
      </c>
      <c r="T31" s="339" t="s">
        <v>88</v>
      </c>
    </row>
    <row r="32" customFormat="false" ht="12.75" hidden="false" customHeight="false" outlineLevel="0" collapsed="false">
      <c r="A32" s="0" t="n">
        <v>68</v>
      </c>
      <c r="B32" s="0" t="n">
        <f aca="false">IF(IF((B$3*10^12-$A33)*(B$3*10^12-$A32)*-1&lt;0,0,1)*IF(ABS(B$3*10^12-$A33)&gt;(B$3*10^12-$A32),$A32,$A33)=B33,0,IF((B$3*10^12-$A33)*(B$3*10^12-$A32)*-1&lt;0,0,1)*IF(ABS(B$3*10^12-$A33)&gt;(B$3*10^12-$A32),$A32,$A33))</f>
        <v>0</v>
      </c>
      <c r="C32" s="0" t="n">
        <f aca="false">IF(IF((C$3*10^12-$A33)*(C$3*10^12-$A32)*-1&lt;0,0,1)*IF(ABS(C$3*10^12-$A33)&gt;(C$3*10^12-$A32),$A32,$A33)=C33,0,IF((C$3*10^12-$A33)*(C$3*10^12-$A32)*-1&lt;0,0,1)*IF(ABS(C$3*10^12-$A33)&gt;(C$3*10^12-$A32),$A32,$A33))</f>
        <v>0</v>
      </c>
      <c r="D32" s="0" t="n">
        <f aca="false">IF(IF((D$3*10^12-$A33)*(D$3*10^12-$A32)*-1&lt;0,0,1)*IF(ABS(D$3*10^12-$A33)&gt;(D$3*10^12-$A32),$A32,$A33)=D33,0,IF((D$3*10^12-$A33)*(D$3*10^12-$A32)*-1&lt;0,0,1)*IF(ABS(D$3*10^12-$A33)&gt;(D$3*10^12-$A32),$A32,$A33))</f>
        <v>0</v>
      </c>
      <c r="E32" s="0" t="n">
        <f aca="false">IF(IF((E$3*10^12-$A33)*(E$3*10^12-$A32)*-1&lt;0,0,1)*IF(ABS(E$3*10^12-$A33)&gt;(E$3*10^12-$A32),$A32,$A33)=E33,0,IF((E$3*10^12-$A33)*(E$3*10^12-$A32)*-1&lt;0,0,1)*IF(ABS(E$3*10^12-$A33)&gt;(E$3*10^12-$A32),$A32,$A33))</f>
        <v>0</v>
      </c>
      <c r="F32" s="0" t="n">
        <f aca="false">IF(IF((F$3*10^12-$A33)*(F$3*10^12-$A32)*-1&lt;0,0,1)*IF(ABS(F$3*10^12-$A33)&gt;(F$3*10^12-$A32),$A32,$A33)=F33,0,IF((F$3*10^12-$A33)*(F$3*10^12-$A32)*-1&lt;0,0,1)*IF(ABS(F$3*10^12-$A33)&gt;(F$3*10^12-$A32),$A32,$A33))</f>
        <v>0</v>
      </c>
      <c r="G32" s="0" t="n">
        <f aca="false">IF(IF((G$3*10^12-$A33)*(G$3*10^12-$A32)*-1&lt;0,0,1)*IF(ABS(G$3*10^12-$A33)&gt;(G$3*10^12-$A32),$A32,$A33)=G33,0,IF((G$3*10^12-$A33)*(G$3*10^12-$A32)*-1&lt;0,0,1)*IF(ABS(G$3*10^12-$A33)&gt;(G$3*10^12-$A32),$A32,$A33))</f>
        <v>0</v>
      </c>
      <c r="H32" s="0" t="n">
        <f aca="false">IF(IF((H$3*10^12-$A33)*(H$3*10^12-$A32)*-1&lt;0,0,1)*IF(ABS(H$3*10^12-$A33)&gt;(H$3*10^12-$A32),$A32,$A33)=H33,0,IF((H$3*10^12-$A33)*(H$3*10^12-$A32)*-1&lt;0,0,1)*IF(ABS(H$3*10^12-$A33)&gt;(H$3*10^12-$A32),$A32,$A33))</f>
        <v>0</v>
      </c>
      <c r="I32" s="0" t="n">
        <f aca="false">IF(IF((I$3*10^12-$A33)*(I$3*10^12-$A32)*-1&lt;0,0,1)*IF(ABS(I$3*10^12-$A33)&gt;(I$3*10^12-$A32),$A32,$A33)=I33,0,IF((I$3*10^12-$A33)*(I$3*10^12-$A32)*-1&lt;0,0,1)*IF(ABS(I$3*10^12-$A33)&gt;(I$3*10^12-$A32),$A32,$A33))</f>
        <v>0</v>
      </c>
      <c r="J32" s="0" t="n">
        <f aca="false">IF(IF((J$3*10^12-$A33)*(J$3*10^12-$A32)*-1&lt;0,0,1)*IF(ABS(J$3*10^12-$A33)&gt;(J$3*10^12-$A32),$A32,$A33)=J33,0,IF((J$3*10^12-$A33)*(J$3*10^12-$A32)*-1&lt;0,0,1)*IF(ABS(J$3*10^12-$A33)&gt;(J$3*10^12-$A32),$A32,$A33))</f>
        <v>0</v>
      </c>
      <c r="K32" s="0" t="n">
        <f aca="false">IF(IF((K$3*10^12-$A33)*(K$3*10^12-$A32)*-1&lt;0,0,1)*IF(ABS(K$3*10^12-$A33)&gt;(K$3*10^12-$A32),$A32,$A33)=K33,0,IF((K$3*10^12-$A33)*(K$3*10^12-$A32)*-1&lt;0,0,1)*IF(ABS(K$3*10^12-$A33)&gt;(K$3*10^12-$A32),$A32,$A33))</f>
        <v>0</v>
      </c>
      <c r="L32" s="0" t="n">
        <f aca="false">IF(IF((L$3*10^12-$A33)*(L$3*10^12-$A32)*-1&lt;0,0,1)*IF(ABS(L$3*10^12-$A33)&gt;(L$3*10^12-$A32),$A32,$A33)=L33,0,IF((L$3*10^12-$A33)*(L$3*10^12-$A32)*-1&lt;0,0,1)*IF(ABS(L$3*10^12-$A33)&gt;(L$3*10^12-$A32),$A32,$A33))</f>
        <v>0</v>
      </c>
      <c r="M32" s="0" t="n">
        <f aca="false">IF(IF((M$3*10^12-$A33)*(M$3*10^12-$A32)*-1&lt;0,0,1)*IF(ABS(M$3*10^12-$A33)&gt;(M$3*10^12-$A32),$A32,$A33)=M33,0,IF((M$3*10^12-$A33)*(M$3*10^12-$A32)*-1&lt;0,0,1)*IF(ABS(M$3*10^12-$A33)&gt;(M$3*10^12-$A32),$A32,$A33))</f>
        <v>0</v>
      </c>
      <c r="N32" s="0" t="e">
        <f aca="false">IF(IF((N$3*10^12-$A33)*(N$3*10^12-$A32)*-1&lt;0,0,1)*IF(ABS(N$3*10^12-$A33)&gt;(N$3*10^12-$A32),$A32,$A33)=N33,0,IF((N$3*10^12-$A33)*(N$3*10^12-$A32)*-1&lt;0,0,1)*IF(ABS(N$3*10^12-$A33)&gt;(N$3*10^12-$A32),$A32,$A33))</f>
        <v>#VALUE!</v>
      </c>
    </row>
    <row r="33" customFormat="false" ht="12.75" hidden="false" customHeight="false" outlineLevel="0" collapsed="false">
      <c r="A33" s="0" t="n">
        <v>82</v>
      </c>
      <c r="B33" s="0" t="n">
        <f aca="false">IF(IF((B$3*10^12-$A34)*(B$3*10^12-$A33)*-1&lt;0,0,1)*IF(ABS(B$3*10^12-$A34)&gt;(B$3*10^12-$A33),$A33,$A34)=B34,0,IF((B$3*10^12-$A34)*(B$3*10^12-$A33)*-1&lt;0,0,1)*IF(ABS(B$3*10^12-$A34)&gt;(B$3*10^12-$A33),$A33,$A34))</f>
        <v>0</v>
      </c>
      <c r="C33" s="0" t="n">
        <f aca="false">IF(IF((C$3*10^12-$A34)*(C$3*10^12-$A33)*-1&lt;0,0,1)*IF(ABS(C$3*10^12-$A34)&gt;(C$3*10^12-$A33),$A33,$A34)=C34,0,IF((C$3*10^12-$A34)*(C$3*10^12-$A33)*-1&lt;0,0,1)*IF(ABS(C$3*10^12-$A34)&gt;(C$3*10^12-$A33),$A33,$A34))</f>
        <v>0</v>
      </c>
      <c r="D33" s="0" t="n">
        <f aca="false">IF(IF((D$3*10^12-$A34)*(D$3*10^12-$A33)*-1&lt;0,0,1)*IF(ABS(D$3*10^12-$A34)&gt;(D$3*10^12-$A33),$A33,$A34)=D34,0,IF((D$3*10^12-$A34)*(D$3*10^12-$A33)*-1&lt;0,0,1)*IF(ABS(D$3*10^12-$A34)&gt;(D$3*10^12-$A33),$A33,$A34))</f>
        <v>100</v>
      </c>
      <c r="E33" s="0" t="n">
        <f aca="false">IF(IF((E$3*10^12-$A34)*(E$3*10^12-$A33)*-1&lt;0,0,1)*IF(ABS(E$3*10^12-$A34)&gt;(E$3*10^12-$A33),$A33,$A34)=E34,0,IF((E$3*10^12-$A34)*(E$3*10^12-$A33)*-1&lt;0,0,1)*IF(ABS(E$3*10^12-$A34)&gt;(E$3*10^12-$A33),$A33,$A34))</f>
        <v>0</v>
      </c>
      <c r="F33" s="0" t="n">
        <f aca="false">IF(IF((F$3*10^12-$A34)*(F$3*10^12-$A33)*-1&lt;0,0,1)*IF(ABS(F$3*10^12-$A34)&gt;(F$3*10^12-$A33),$A33,$A34)=F34,0,IF((F$3*10^12-$A34)*(F$3*10^12-$A33)*-1&lt;0,0,1)*IF(ABS(F$3*10^12-$A34)&gt;(F$3*10^12-$A33),$A33,$A34))</f>
        <v>0</v>
      </c>
      <c r="G33" s="0" t="n">
        <f aca="false">IF(IF((G$3*10^12-$A34)*(G$3*10^12-$A33)*-1&lt;0,0,1)*IF(ABS(G$3*10^12-$A34)&gt;(G$3*10^12-$A33),$A33,$A34)=G34,0,IF((G$3*10^12-$A34)*(G$3*10^12-$A33)*-1&lt;0,0,1)*IF(ABS(G$3*10^12-$A34)&gt;(G$3*10^12-$A33),$A33,$A34))</f>
        <v>0</v>
      </c>
      <c r="H33" s="0" t="n">
        <f aca="false">IF(IF((H$3*10^12-$A34)*(H$3*10^12-$A33)*-1&lt;0,0,1)*IF(ABS(H$3*10^12-$A34)&gt;(H$3*10^12-$A33),$A33,$A34)=H34,0,IF((H$3*10^12-$A34)*(H$3*10^12-$A33)*-1&lt;0,0,1)*IF(ABS(H$3*10^12-$A34)&gt;(H$3*10^12-$A33),$A33,$A34))</f>
        <v>0</v>
      </c>
      <c r="I33" s="0" t="n">
        <f aca="false">IF(IF((I$3*10^12-$A34)*(I$3*10^12-$A33)*-1&lt;0,0,1)*IF(ABS(I$3*10^12-$A34)&gt;(I$3*10^12-$A33),$A33,$A34)=I34,0,IF((I$3*10^12-$A34)*(I$3*10^12-$A33)*-1&lt;0,0,1)*IF(ABS(I$3*10^12-$A34)&gt;(I$3*10^12-$A33),$A33,$A34))</f>
        <v>0</v>
      </c>
      <c r="J33" s="0" t="n">
        <f aca="false">IF(IF((J$3*10^12-$A34)*(J$3*10^12-$A33)*-1&lt;0,0,1)*IF(ABS(J$3*10^12-$A34)&gt;(J$3*10^12-$A33),$A33,$A34)=J34,0,IF((J$3*10^12-$A34)*(J$3*10^12-$A33)*-1&lt;0,0,1)*IF(ABS(J$3*10^12-$A34)&gt;(J$3*10^12-$A33),$A33,$A34))</f>
        <v>0</v>
      </c>
      <c r="K33" s="0" t="n">
        <f aca="false">IF(IF((K$3*10^12-$A34)*(K$3*10^12-$A33)*-1&lt;0,0,1)*IF(ABS(K$3*10^12-$A34)&gt;(K$3*10^12-$A33),$A33,$A34)=K34,0,IF((K$3*10^12-$A34)*(K$3*10^12-$A33)*-1&lt;0,0,1)*IF(ABS(K$3*10^12-$A34)&gt;(K$3*10^12-$A33),$A33,$A34))</f>
        <v>0</v>
      </c>
      <c r="L33" s="0" t="n">
        <f aca="false">IF(IF((L$3*10^12-$A34)*(L$3*10^12-$A33)*-1&lt;0,0,1)*IF(ABS(L$3*10^12-$A34)&gt;(L$3*10^12-$A33),$A33,$A34)=L34,0,IF((L$3*10^12-$A34)*(L$3*10^12-$A33)*-1&lt;0,0,1)*IF(ABS(L$3*10^12-$A34)&gt;(L$3*10^12-$A33),$A33,$A34))</f>
        <v>0</v>
      </c>
      <c r="M33" s="0" t="n">
        <f aca="false">IF(IF((M$3*10^12-$A34)*(M$3*10^12-$A33)*-1&lt;0,0,1)*IF(ABS(M$3*10^12-$A34)&gt;(M$3*10^12-$A33),$A33,$A34)=M34,0,IF((M$3*10^12-$A34)*(M$3*10^12-$A33)*-1&lt;0,0,1)*IF(ABS(M$3*10^12-$A34)&gt;(M$3*10^12-$A33),$A33,$A34))</f>
        <v>0</v>
      </c>
      <c r="N33" s="0" t="e">
        <f aca="false">IF(IF((N$3*10^12-$A34)*(N$3*10^12-$A33)*-1&lt;0,0,1)*IF(ABS(N$3*10^12-$A34)&gt;(N$3*10^12-$A33),$A33,$A34)=N34,0,IF((N$3*10^12-$A34)*(N$3*10^12-$A33)*-1&lt;0,0,1)*IF(ABS(N$3*10^12-$A34)&gt;(N$3*10^12-$A33),$A33,$A34))</f>
        <v>#VALUE!</v>
      </c>
    </row>
    <row r="34" customFormat="false" ht="12.75" hidden="false" customHeight="false" outlineLevel="0" collapsed="false">
      <c r="A34" s="0" t="n">
        <f aca="false">A22*10</f>
        <v>100</v>
      </c>
      <c r="B34" s="0" t="n">
        <f aca="false">IF(IF((B$3*10^12-$A35)*(B$3*10^12-$A34)*-1&lt;0,0,1)*IF(ABS(B$3*10^12-$A35)&gt;(B$3*10^12-$A34),$A34,$A35)=B35,0,IF((B$3*10^12-$A35)*(B$3*10^12-$A34)*-1&lt;0,0,1)*IF(ABS(B$3*10^12-$A35)&gt;(B$3*10^12-$A34),$A34,$A35))</f>
        <v>0</v>
      </c>
      <c r="C34" s="0" t="n">
        <f aca="false">IF(IF((C$3*10^12-$A35)*(C$3*10^12-$A34)*-1&lt;0,0,1)*IF(ABS(C$3*10^12-$A35)&gt;(C$3*10^12-$A34),$A34,$A35)=C35,0,IF((C$3*10^12-$A35)*(C$3*10^12-$A34)*-1&lt;0,0,1)*IF(ABS(C$3*10^12-$A35)&gt;(C$3*10^12-$A34),$A34,$A35))</f>
        <v>0</v>
      </c>
      <c r="D34" s="0" t="n">
        <f aca="false">IF(IF((D$3*10^12-$A35)*(D$3*10^12-$A34)*-1&lt;0,0,1)*IF(ABS(D$3*10^12-$A35)&gt;(D$3*10^12-$A34),$A34,$A35)=D35,0,IF((D$3*10^12-$A35)*(D$3*10^12-$A34)*-1&lt;0,0,1)*IF(ABS(D$3*10^12-$A35)&gt;(D$3*10^12-$A34),$A34,$A35))</f>
        <v>0</v>
      </c>
      <c r="E34" s="0" t="n">
        <f aca="false">IF(IF((E$3*10^12-$A35)*(E$3*10^12-$A34)*-1&lt;0,0,1)*IF(ABS(E$3*10^12-$A35)&gt;(E$3*10^12-$A34),$A34,$A35)=E35,0,IF((E$3*10^12-$A35)*(E$3*10^12-$A34)*-1&lt;0,0,1)*IF(ABS(E$3*10^12-$A35)&gt;(E$3*10^12-$A34),$A34,$A35))</f>
        <v>0</v>
      </c>
      <c r="F34" s="0" t="n">
        <f aca="false">IF(IF((F$3*10^12-$A35)*(F$3*10^12-$A34)*-1&lt;0,0,1)*IF(ABS(F$3*10^12-$A35)&gt;(F$3*10^12-$A34),$A34,$A35)=F35,0,IF((F$3*10^12-$A35)*(F$3*10^12-$A34)*-1&lt;0,0,1)*IF(ABS(F$3*10^12-$A35)&gt;(F$3*10^12-$A34),$A34,$A35))</f>
        <v>0</v>
      </c>
      <c r="G34" s="0" t="n">
        <f aca="false">IF(IF((G$3*10^12-$A35)*(G$3*10^12-$A34)*-1&lt;0,0,1)*IF(ABS(G$3*10^12-$A35)&gt;(G$3*10^12-$A34),$A34,$A35)=G35,0,IF((G$3*10^12-$A35)*(G$3*10^12-$A34)*-1&lt;0,0,1)*IF(ABS(G$3*10^12-$A35)&gt;(G$3*10^12-$A34),$A34,$A35))</f>
        <v>0</v>
      </c>
      <c r="H34" s="0" t="n">
        <f aca="false">IF(IF((H$3*10^12-$A35)*(H$3*10^12-$A34)*-1&lt;0,0,1)*IF(ABS(H$3*10^12-$A35)&gt;(H$3*10^12-$A34),$A34,$A35)=H35,0,IF((H$3*10^12-$A35)*(H$3*10^12-$A34)*-1&lt;0,0,1)*IF(ABS(H$3*10^12-$A35)&gt;(H$3*10^12-$A34),$A34,$A35))</f>
        <v>0</v>
      </c>
      <c r="I34" s="0" t="n">
        <f aca="false">IF(IF((I$3*10^12-$A35)*(I$3*10^12-$A34)*-1&lt;0,0,1)*IF(ABS(I$3*10^12-$A35)&gt;(I$3*10^12-$A34),$A34,$A35)=I35,0,IF((I$3*10^12-$A35)*(I$3*10^12-$A34)*-1&lt;0,0,1)*IF(ABS(I$3*10^12-$A35)&gt;(I$3*10^12-$A34),$A34,$A35))</f>
        <v>0</v>
      </c>
      <c r="J34" s="0" t="n">
        <f aca="false">IF(IF((J$3*10^12-$A35)*(J$3*10^12-$A34)*-1&lt;0,0,1)*IF(ABS(J$3*10^12-$A35)&gt;(J$3*10^12-$A34),$A34,$A35)=J35,0,IF((J$3*10^12-$A35)*(J$3*10^12-$A34)*-1&lt;0,0,1)*IF(ABS(J$3*10^12-$A35)&gt;(J$3*10^12-$A34),$A34,$A35))</f>
        <v>0</v>
      </c>
      <c r="K34" s="0" t="n">
        <f aca="false">IF(IF((K$3*10^12-$A35)*(K$3*10^12-$A34)*-1&lt;0,0,1)*IF(ABS(K$3*10^12-$A35)&gt;(K$3*10^12-$A34),$A34,$A35)=K35,0,IF((K$3*10^12-$A35)*(K$3*10^12-$A34)*-1&lt;0,0,1)*IF(ABS(K$3*10^12-$A35)&gt;(K$3*10^12-$A34),$A34,$A35))</f>
        <v>0</v>
      </c>
      <c r="L34" s="0" t="n">
        <f aca="false">IF(IF((L$3*10^12-$A35)*(L$3*10^12-$A34)*-1&lt;0,0,1)*IF(ABS(L$3*10^12-$A35)&gt;(L$3*10^12-$A34),$A34,$A35)=L35,0,IF((L$3*10^12-$A35)*(L$3*10^12-$A34)*-1&lt;0,0,1)*IF(ABS(L$3*10^12-$A35)&gt;(L$3*10^12-$A34),$A34,$A35))</f>
        <v>0</v>
      </c>
      <c r="M34" s="0" t="n">
        <f aca="false">IF(IF((M$3*10^12-$A35)*(M$3*10^12-$A34)*-1&lt;0,0,1)*IF(ABS(M$3*10^12-$A35)&gt;(M$3*10^12-$A34),$A34,$A35)=M35,0,IF((M$3*10^12-$A35)*(M$3*10^12-$A34)*-1&lt;0,0,1)*IF(ABS(M$3*10^12-$A35)&gt;(M$3*10^12-$A34),$A34,$A35))</f>
        <v>0</v>
      </c>
      <c r="N34" s="0" t="e">
        <f aca="false">IF(IF((N$3*10^12-$A35)*(N$3*10^12-$A34)*-1&lt;0,0,1)*IF(ABS(N$3*10^12-$A35)&gt;(N$3*10^12-$A34),$A34,$A35)=N35,0,IF((N$3*10^12-$A35)*(N$3*10^12-$A34)*-1&lt;0,0,1)*IF(ABS(N$3*10^12-$A35)&gt;(N$3*10^12-$A34),$A34,$A35))</f>
        <v>#VALUE!</v>
      </c>
      <c r="Q34" s="339"/>
    </row>
    <row r="35" customFormat="false" ht="12.75" hidden="false" customHeight="false" outlineLevel="0" collapsed="false">
      <c r="A35" s="0" t="n">
        <f aca="false">A23*10</f>
        <v>120</v>
      </c>
      <c r="B35" s="0" t="n">
        <f aca="false">IF(IF((B$3*10^12-$A36)*(B$3*10^12-$A35)*-1&lt;0,0,1)*IF(ABS(B$3*10^12-$A36)&gt;(B$3*10^12-$A35),$A35,$A36)=B36,0,IF((B$3*10^12-$A36)*(B$3*10^12-$A35)*-1&lt;0,0,1)*IF(ABS(B$3*10^12-$A36)&gt;(B$3*10^12-$A35),$A35,$A36))</f>
        <v>0</v>
      </c>
      <c r="C35" s="0" t="n">
        <f aca="false">IF(IF((C$3*10^12-$A36)*(C$3*10^12-$A35)*-1&lt;0,0,1)*IF(ABS(C$3*10^12-$A36)&gt;(C$3*10^12-$A35),$A35,$A36)=C36,0,IF((C$3*10^12-$A36)*(C$3*10^12-$A35)*-1&lt;0,0,1)*IF(ABS(C$3*10^12-$A36)&gt;(C$3*10^12-$A35),$A35,$A36))</f>
        <v>0</v>
      </c>
      <c r="D35" s="0" t="n">
        <f aca="false">IF(IF((D$3*10^12-$A36)*(D$3*10^12-$A35)*-1&lt;0,0,1)*IF(ABS(D$3*10^12-$A36)&gt;(D$3*10^12-$A35),$A35,$A36)=D36,0,IF((D$3*10^12-$A36)*(D$3*10^12-$A35)*-1&lt;0,0,1)*IF(ABS(D$3*10^12-$A36)&gt;(D$3*10^12-$A35),$A35,$A36))</f>
        <v>0</v>
      </c>
      <c r="E35" s="0" t="n">
        <f aca="false">IF(IF((E$3*10^12-$A36)*(E$3*10^12-$A35)*-1&lt;0,0,1)*IF(ABS(E$3*10^12-$A36)&gt;(E$3*10^12-$A35),$A35,$A36)=E36,0,IF((E$3*10^12-$A36)*(E$3*10^12-$A35)*-1&lt;0,0,1)*IF(ABS(E$3*10^12-$A36)&gt;(E$3*10^12-$A35),$A35,$A36))</f>
        <v>0</v>
      </c>
      <c r="F35" s="0" t="n">
        <f aca="false">IF(IF((F$3*10^12-$A36)*(F$3*10^12-$A35)*-1&lt;0,0,1)*IF(ABS(F$3*10^12-$A36)&gt;(F$3*10^12-$A35),$A35,$A36)=F36,0,IF((F$3*10^12-$A36)*(F$3*10^12-$A35)*-1&lt;0,0,1)*IF(ABS(F$3*10^12-$A36)&gt;(F$3*10^12-$A35),$A35,$A36))</f>
        <v>0</v>
      </c>
      <c r="G35" s="0" t="n">
        <f aca="false">IF(IF((G$3*10^12-$A36)*(G$3*10^12-$A35)*-1&lt;0,0,1)*IF(ABS(G$3*10^12-$A36)&gt;(G$3*10^12-$A35),$A35,$A36)=G36,0,IF((G$3*10^12-$A36)*(G$3*10^12-$A35)*-1&lt;0,0,1)*IF(ABS(G$3*10^12-$A36)&gt;(G$3*10^12-$A35),$A35,$A36))</f>
        <v>0</v>
      </c>
      <c r="H35" s="0" t="n">
        <f aca="false">IF(IF((H$3*10^12-$A36)*(H$3*10^12-$A35)*-1&lt;0,0,1)*IF(ABS(H$3*10^12-$A36)&gt;(H$3*10^12-$A35),$A35,$A36)=H36,0,IF((H$3*10^12-$A36)*(H$3*10^12-$A35)*-1&lt;0,0,1)*IF(ABS(H$3*10^12-$A36)&gt;(H$3*10^12-$A35),$A35,$A36))</f>
        <v>0</v>
      </c>
      <c r="I35" s="0" t="n">
        <f aca="false">IF(IF((I$3*10^12-$A36)*(I$3*10^12-$A35)*-1&lt;0,0,1)*IF(ABS(I$3*10^12-$A36)&gt;(I$3*10^12-$A35),$A35,$A36)=I36,0,IF((I$3*10^12-$A36)*(I$3*10^12-$A35)*-1&lt;0,0,1)*IF(ABS(I$3*10^12-$A36)&gt;(I$3*10^12-$A35),$A35,$A36))</f>
        <v>0</v>
      </c>
      <c r="J35" s="0" t="n">
        <f aca="false">IF(IF((J$3*10^12-$A36)*(J$3*10^12-$A35)*-1&lt;0,0,1)*IF(ABS(J$3*10^12-$A36)&gt;(J$3*10^12-$A35),$A35,$A36)=J36,0,IF((J$3*10^12-$A36)*(J$3*10^12-$A35)*-1&lt;0,0,1)*IF(ABS(J$3*10^12-$A36)&gt;(J$3*10^12-$A35),$A35,$A36))</f>
        <v>0</v>
      </c>
      <c r="K35" s="0" t="n">
        <f aca="false">IF(IF((K$3*10^12-$A36)*(K$3*10^12-$A35)*-1&lt;0,0,1)*IF(ABS(K$3*10^12-$A36)&gt;(K$3*10^12-$A35),$A35,$A36)=K36,0,IF((K$3*10^12-$A36)*(K$3*10^12-$A35)*-1&lt;0,0,1)*IF(ABS(K$3*10^12-$A36)&gt;(K$3*10^12-$A35),$A35,$A36))</f>
        <v>0</v>
      </c>
      <c r="L35" s="0" t="n">
        <f aca="false">IF(IF((L$3*10^12-$A36)*(L$3*10^12-$A35)*-1&lt;0,0,1)*IF(ABS(L$3*10^12-$A36)&gt;(L$3*10^12-$A35),$A35,$A36)=L36,0,IF((L$3*10^12-$A36)*(L$3*10^12-$A35)*-1&lt;0,0,1)*IF(ABS(L$3*10^12-$A36)&gt;(L$3*10^12-$A35),$A35,$A36))</f>
        <v>0</v>
      </c>
      <c r="M35" s="0" t="n">
        <f aca="false">IF(IF((M$3*10^12-$A36)*(M$3*10^12-$A35)*-1&lt;0,0,1)*IF(ABS(M$3*10^12-$A36)&gt;(M$3*10^12-$A35),$A35,$A36)=M36,0,IF((M$3*10^12-$A36)*(M$3*10^12-$A35)*-1&lt;0,0,1)*IF(ABS(M$3*10^12-$A36)&gt;(M$3*10^12-$A35),$A35,$A36))</f>
        <v>0</v>
      </c>
      <c r="N35" s="0" t="e">
        <f aca="false">IF(IF((N$3*10^12-$A36)*(N$3*10^12-$A35)*-1&lt;0,0,1)*IF(ABS(N$3*10^12-$A36)&gt;(N$3*10^12-$A35),$A35,$A36)=N36,0,IF((N$3*10^12-$A36)*(N$3*10^12-$A35)*-1&lt;0,0,1)*IF(ABS(N$3*10^12-$A36)&gt;(N$3*10^12-$A35),$A35,$A36))</f>
        <v>#VALUE!</v>
      </c>
      <c r="Q35" s="339"/>
    </row>
    <row r="36" customFormat="false" ht="12.75" hidden="false" customHeight="false" outlineLevel="0" collapsed="false">
      <c r="A36" s="0" t="n">
        <f aca="false">A24*10</f>
        <v>150</v>
      </c>
      <c r="B36" s="0" t="n">
        <f aca="false">IF(IF((B$3*10^12-$A37)*(B$3*10^12-$A36)*-1&lt;0,0,1)*IF(ABS(B$3*10^12-$A37)&gt;(B$3*10^12-$A36),$A36,$A37)=B37,0,IF((B$3*10^12-$A37)*(B$3*10^12-$A36)*-1&lt;0,0,1)*IF(ABS(B$3*10^12-$A37)&gt;(B$3*10^12-$A36),$A36,$A37))</f>
        <v>0</v>
      </c>
      <c r="C36" s="0" t="n">
        <f aca="false">IF(IF((C$3*10^12-$A37)*(C$3*10^12-$A36)*-1&lt;0,0,1)*IF(ABS(C$3*10^12-$A37)&gt;(C$3*10^12-$A36),$A36,$A37)=C37,0,IF((C$3*10^12-$A37)*(C$3*10^12-$A36)*-1&lt;0,0,1)*IF(ABS(C$3*10^12-$A37)&gt;(C$3*10^12-$A36),$A36,$A37))</f>
        <v>0</v>
      </c>
      <c r="D36" s="0" t="n">
        <f aca="false">IF(IF((D$3*10^12-$A37)*(D$3*10^12-$A36)*-1&lt;0,0,1)*IF(ABS(D$3*10^12-$A37)&gt;(D$3*10^12-$A36),$A36,$A37)=D37,0,IF((D$3*10^12-$A37)*(D$3*10^12-$A36)*-1&lt;0,0,1)*IF(ABS(D$3*10^12-$A37)&gt;(D$3*10^12-$A36),$A36,$A37))</f>
        <v>0</v>
      </c>
      <c r="E36" s="0" t="n">
        <f aca="false">IF(IF((E$3*10^12-$A37)*(E$3*10^12-$A36)*-1&lt;0,0,1)*IF(ABS(E$3*10^12-$A37)&gt;(E$3*10^12-$A36),$A36,$A37)=E37,0,IF((E$3*10^12-$A37)*(E$3*10^12-$A36)*-1&lt;0,0,1)*IF(ABS(E$3*10^12-$A37)&gt;(E$3*10^12-$A36),$A36,$A37))</f>
        <v>0</v>
      </c>
      <c r="F36" s="0" t="n">
        <f aca="false">IF(IF((F$3*10^12-$A37)*(F$3*10^12-$A36)*-1&lt;0,0,1)*IF(ABS(F$3*10^12-$A37)&gt;(F$3*10^12-$A36),$A36,$A37)=F37,0,IF((F$3*10^12-$A37)*(F$3*10^12-$A36)*-1&lt;0,0,1)*IF(ABS(F$3*10^12-$A37)&gt;(F$3*10^12-$A36),$A36,$A37))</f>
        <v>0</v>
      </c>
      <c r="G36" s="0" t="n">
        <f aca="false">IF(IF((G$3*10^12-$A37)*(G$3*10^12-$A36)*-1&lt;0,0,1)*IF(ABS(G$3*10^12-$A37)&gt;(G$3*10^12-$A36),$A36,$A37)=G37,0,IF((G$3*10^12-$A37)*(G$3*10^12-$A36)*-1&lt;0,0,1)*IF(ABS(G$3*10^12-$A37)&gt;(G$3*10^12-$A36),$A36,$A37))</f>
        <v>0</v>
      </c>
      <c r="H36" s="0" t="n">
        <f aca="false">IF(IF((H$3*10^12-$A37)*(H$3*10^12-$A36)*-1&lt;0,0,1)*IF(ABS(H$3*10^12-$A37)&gt;(H$3*10^12-$A36),$A36,$A37)=H37,0,IF((H$3*10^12-$A37)*(H$3*10^12-$A36)*-1&lt;0,0,1)*IF(ABS(H$3*10^12-$A37)&gt;(H$3*10^12-$A36),$A36,$A37))</f>
        <v>0</v>
      </c>
      <c r="I36" s="0" t="n">
        <f aca="false">IF(IF((I$3*10^12-$A37)*(I$3*10^12-$A36)*-1&lt;0,0,1)*IF(ABS(I$3*10^12-$A37)&gt;(I$3*10^12-$A36),$A36,$A37)=I37,0,IF((I$3*10^12-$A37)*(I$3*10^12-$A36)*-1&lt;0,0,1)*IF(ABS(I$3*10^12-$A37)&gt;(I$3*10^12-$A36),$A36,$A37))</f>
        <v>0</v>
      </c>
      <c r="J36" s="0" t="n">
        <f aca="false">IF(IF((J$3*10^12-$A37)*(J$3*10^12-$A36)*-1&lt;0,0,1)*IF(ABS(J$3*10^12-$A37)&gt;(J$3*10^12-$A36),$A36,$A37)=J37,0,IF((J$3*10^12-$A37)*(J$3*10^12-$A36)*-1&lt;0,0,1)*IF(ABS(J$3*10^12-$A37)&gt;(J$3*10^12-$A36),$A36,$A37))</f>
        <v>0</v>
      </c>
      <c r="K36" s="0" t="n">
        <f aca="false">IF(IF((K$3*10^12-$A37)*(K$3*10^12-$A36)*-1&lt;0,0,1)*IF(ABS(K$3*10^12-$A37)&gt;(K$3*10^12-$A36),$A36,$A37)=K37,0,IF((K$3*10^12-$A37)*(K$3*10^12-$A36)*-1&lt;0,0,1)*IF(ABS(K$3*10^12-$A37)&gt;(K$3*10^12-$A36),$A36,$A37))</f>
        <v>0</v>
      </c>
      <c r="L36" s="0" t="n">
        <f aca="false">IF(IF((L$3*10^12-$A37)*(L$3*10^12-$A36)*-1&lt;0,0,1)*IF(ABS(L$3*10^12-$A37)&gt;(L$3*10^12-$A36),$A36,$A37)=L37,0,IF((L$3*10^12-$A37)*(L$3*10^12-$A36)*-1&lt;0,0,1)*IF(ABS(L$3*10^12-$A37)&gt;(L$3*10^12-$A36),$A36,$A37))</f>
        <v>0</v>
      </c>
      <c r="M36" s="0" t="n">
        <f aca="false">IF(IF((M$3*10^12-$A37)*(M$3*10^12-$A36)*-1&lt;0,0,1)*IF(ABS(M$3*10^12-$A37)&gt;(M$3*10^12-$A36),$A36,$A37)=M37,0,IF((M$3*10^12-$A37)*(M$3*10^12-$A36)*-1&lt;0,0,1)*IF(ABS(M$3*10^12-$A37)&gt;(M$3*10^12-$A36),$A36,$A37))</f>
        <v>0</v>
      </c>
      <c r="N36" s="0" t="e">
        <f aca="false">IF(IF((N$3*10^12-$A37)*(N$3*10^12-$A36)*-1&lt;0,0,1)*IF(ABS(N$3*10^12-$A37)&gt;(N$3*10^12-$A36),$A36,$A37)=N37,0,IF((N$3*10^12-$A37)*(N$3*10^12-$A36)*-1&lt;0,0,1)*IF(ABS(N$3*10^12-$A37)&gt;(N$3*10^12-$A36),$A36,$A37))</f>
        <v>#VALUE!</v>
      </c>
    </row>
    <row r="37" customFormat="false" ht="12.75" hidden="false" customHeight="false" outlineLevel="0" collapsed="false">
      <c r="A37" s="0" t="n">
        <f aca="false">A25*10</f>
        <v>180</v>
      </c>
      <c r="B37" s="0" t="n">
        <f aca="false">IF(IF((B$3*10^12-$A38)*(B$3*10^12-$A37)*-1&lt;0,0,1)*IF(ABS(B$3*10^12-$A38)&gt;(B$3*10^12-$A37),$A37,$A38)=B38,0,IF((B$3*10^12-$A38)*(B$3*10^12-$A37)*-1&lt;0,0,1)*IF(ABS(B$3*10^12-$A38)&gt;(B$3*10^12-$A37),$A37,$A38))</f>
        <v>0</v>
      </c>
      <c r="C37" s="0" t="n">
        <f aca="false">IF(IF((C$3*10^12-$A38)*(C$3*10^12-$A37)*-1&lt;0,0,1)*IF(ABS(C$3*10^12-$A38)&gt;(C$3*10^12-$A37),$A37,$A38)=C38,0,IF((C$3*10^12-$A38)*(C$3*10^12-$A37)*-1&lt;0,0,1)*IF(ABS(C$3*10^12-$A38)&gt;(C$3*10^12-$A37),$A37,$A38))</f>
        <v>0</v>
      </c>
      <c r="D37" s="0" t="n">
        <f aca="false">IF(IF((D$3*10^12-$A38)*(D$3*10^12-$A37)*-1&lt;0,0,1)*IF(ABS(D$3*10^12-$A38)&gt;(D$3*10^12-$A37),$A37,$A38)=D38,0,IF((D$3*10^12-$A38)*(D$3*10^12-$A37)*-1&lt;0,0,1)*IF(ABS(D$3*10^12-$A38)&gt;(D$3*10^12-$A37),$A37,$A38))</f>
        <v>0</v>
      </c>
      <c r="E37" s="0" t="n">
        <f aca="false">IF(IF((E$3*10^12-$A38)*(E$3*10^12-$A37)*-1&lt;0,0,1)*IF(ABS(E$3*10^12-$A38)&gt;(E$3*10^12-$A37),$A37,$A38)=E38,0,IF((E$3*10^12-$A38)*(E$3*10^12-$A37)*-1&lt;0,0,1)*IF(ABS(E$3*10^12-$A38)&gt;(E$3*10^12-$A37),$A37,$A38))</f>
        <v>180</v>
      </c>
      <c r="F37" s="0" t="n">
        <f aca="false">IF(IF((F$3*10^12-$A38)*(F$3*10^12-$A37)*-1&lt;0,0,1)*IF(ABS(F$3*10^12-$A38)&gt;(F$3*10^12-$A37),$A37,$A38)=F38,0,IF((F$3*10^12-$A38)*(F$3*10^12-$A37)*-1&lt;0,0,1)*IF(ABS(F$3*10^12-$A38)&gt;(F$3*10^12-$A37),$A37,$A38))</f>
        <v>0</v>
      </c>
      <c r="G37" s="0" t="n">
        <f aca="false">IF(IF((G$3*10^12-$A38)*(G$3*10^12-$A37)*-1&lt;0,0,1)*IF(ABS(G$3*10^12-$A38)&gt;(G$3*10^12-$A37),$A37,$A38)=G38,0,IF((G$3*10^12-$A38)*(G$3*10^12-$A37)*-1&lt;0,0,1)*IF(ABS(G$3*10^12-$A38)&gt;(G$3*10^12-$A37),$A37,$A38))</f>
        <v>0</v>
      </c>
      <c r="H37" s="0" t="n">
        <f aca="false">IF(IF((H$3*10^12-$A38)*(H$3*10^12-$A37)*-1&lt;0,0,1)*IF(ABS(H$3*10^12-$A38)&gt;(H$3*10^12-$A37),$A37,$A38)=H38,0,IF((H$3*10^12-$A38)*(H$3*10^12-$A37)*-1&lt;0,0,1)*IF(ABS(H$3*10^12-$A38)&gt;(H$3*10^12-$A37),$A37,$A38))</f>
        <v>0</v>
      </c>
      <c r="I37" s="0" t="n">
        <f aca="false">IF(IF((I$3*10^12-$A38)*(I$3*10^12-$A37)*-1&lt;0,0,1)*IF(ABS(I$3*10^12-$A38)&gt;(I$3*10^12-$A37),$A37,$A38)=I38,0,IF((I$3*10^12-$A38)*(I$3*10^12-$A37)*-1&lt;0,0,1)*IF(ABS(I$3*10^12-$A38)&gt;(I$3*10^12-$A37),$A37,$A38))</f>
        <v>0</v>
      </c>
      <c r="J37" s="0" t="n">
        <f aca="false">IF(IF((J$3*10^12-$A38)*(J$3*10^12-$A37)*-1&lt;0,0,1)*IF(ABS(J$3*10^12-$A38)&gt;(J$3*10^12-$A37),$A37,$A38)=J38,0,IF((J$3*10^12-$A38)*(J$3*10^12-$A37)*-1&lt;0,0,1)*IF(ABS(J$3*10^12-$A38)&gt;(J$3*10^12-$A37),$A37,$A38))</f>
        <v>0</v>
      </c>
      <c r="K37" s="0" t="n">
        <f aca="false">IF(IF((K$3*10^12-$A38)*(K$3*10^12-$A37)*-1&lt;0,0,1)*IF(ABS(K$3*10^12-$A38)&gt;(K$3*10^12-$A37),$A37,$A38)=K38,0,IF((K$3*10^12-$A38)*(K$3*10^12-$A37)*-1&lt;0,0,1)*IF(ABS(K$3*10^12-$A38)&gt;(K$3*10^12-$A37),$A37,$A38))</f>
        <v>0</v>
      </c>
      <c r="L37" s="0" t="n">
        <f aca="false">IF(IF((L$3*10^12-$A38)*(L$3*10^12-$A37)*-1&lt;0,0,1)*IF(ABS(L$3*10^12-$A38)&gt;(L$3*10^12-$A37),$A37,$A38)=L38,0,IF((L$3*10^12-$A38)*(L$3*10^12-$A37)*-1&lt;0,0,1)*IF(ABS(L$3*10^12-$A38)&gt;(L$3*10^12-$A37),$A37,$A38))</f>
        <v>0</v>
      </c>
      <c r="M37" s="0" t="n">
        <f aca="false">IF(IF((M$3*10^12-$A38)*(M$3*10^12-$A37)*-1&lt;0,0,1)*IF(ABS(M$3*10^12-$A38)&gt;(M$3*10^12-$A37),$A37,$A38)=M38,0,IF((M$3*10^12-$A38)*(M$3*10^12-$A37)*-1&lt;0,0,1)*IF(ABS(M$3*10^12-$A38)&gt;(M$3*10^12-$A37),$A37,$A38))</f>
        <v>0</v>
      </c>
      <c r="N37" s="0" t="e">
        <f aca="false">IF(IF((N$3*10^12-$A38)*(N$3*10^12-$A37)*-1&lt;0,0,1)*IF(ABS(N$3*10^12-$A38)&gt;(N$3*10^12-$A37),$A37,$A38)=N38,0,IF((N$3*10^12-$A38)*(N$3*10^12-$A37)*-1&lt;0,0,1)*IF(ABS(N$3*10^12-$A38)&gt;(N$3*10^12-$A37),$A37,$A38))</f>
        <v>#VALUE!</v>
      </c>
    </row>
    <row r="38" customFormat="false" ht="12.75" hidden="false" customHeight="false" outlineLevel="0" collapsed="false">
      <c r="A38" s="0" t="n">
        <f aca="false">A26*10</f>
        <v>220</v>
      </c>
      <c r="B38" s="0" t="n">
        <f aca="false">IF(IF((B$3*10^12-$A39)*(B$3*10^12-$A38)*-1&lt;0,0,1)*IF(ABS(B$3*10^12-$A39)&gt;(B$3*10^12-$A38),$A38,$A39)=B39,0,IF((B$3*10^12-$A39)*(B$3*10^12-$A38)*-1&lt;0,0,1)*IF(ABS(B$3*10^12-$A39)&gt;(B$3*10^12-$A38),$A38,$A39))</f>
        <v>0</v>
      </c>
      <c r="C38" s="0" t="n">
        <f aca="false">IF(IF((C$3*10^12-$A39)*(C$3*10^12-$A38)*-1&lt;0,0,1)*IF(ABS(C$3*10^12-$A39)&gt;(C$3*10^12-$A38),$A38,$A39)=C39,0,IF((C$3*10^12-$A39)*(C$3*10^12-$A38)*-1&lt;0,0,1)*IF(ABS(C$3*10^12-$A39)&gt;(C$3*10^12-$A38),$A38,$A39))</f>
        <v>0</v>
      </c>
      <c r="D38" s="0" t="n">
        <f aca="false">IF(IF((D$3*10^12-$A39)*(D$3*10^12-$A38)*-1&lt;0,0,1)*IF(ABS(D$3*10^12-$A39)&gt;(D$3*10^12-$A38),$A38,$A39)=D39,0,IF((D$3*10^12-$A39)*(D$3*10^12-$A38)*-1&lt;0,0,1)*IF(ABS(D$3*10^12-$A39)&gt;(D$3*10^12-$A38),$A38,$A39))</f>
        <v>0</v>
      </c>
      <c r="E38" s="0" t="n">
        <f aca="false">IF(IF((E$3*10^12-$A39)*(E$3*10^12-$A38)*-1&lt;0,0,1)*IF(ABS(E$3*10^12-$A39)&gt;(E$3*10^12-$A38),$A38,$A39)=E39,0,IF((E$3*10^12-$A39)*(E$3*10^12-$A38)*-1&lt;0,0,1)*IF(ABS(E$3*10^12-$A39)&gt;(E$3*10^12-$A38),$A38,$A39))</f>
        <v>0</v>
      </c>
      <c r="F38" s="0" t="n">
        <f aca="false">IF(IF((F$3*10^12-$A39)*(F$3*10^12-$A38)*-1&lt;0,0,1)*IF(ABS(F$3*10^12-$A39)&gt;(F$3*10^12-$A38),$A38,$A39)=F39,0,IF((F$3*10^12-$A39)*(F$3*10^12-$A38)*-1&lt;0,0,1)*IF(ABS(F$3*10^12-$A39)&gt;(F$3*10^12-$A38),$A38,$A39))</f>
        <v>0</v>
      </c>
      <c r="G38" s="0" t="n">
        <f aca="false">IF(IF((G$3*10^12-$A39)*(G$3*10^12-$A38)*-1&lt;0,0,1)*IF(ABS(G$3*10^12-$A39)&gt;(G$3*10^12-$A38),$A38,$A39)=G39,0,IF((G$3*10^12-$A39)*(G$3*10^12-$A38)*-1&lt;0,0,1)*IF(ABS(G$3*10^12-$A39)&gt;(G$3*10^12-$A38),$A38,$A39))</f>
        <v>0</v>
      </c>
      <c r="H38" s="0" t="n">
        <f aca="false">IF(IF((H$3*10^12-$A39)*(H$3*10^12-$A38)*-1&lt;0,0,1)*IF(ABS(H$3*10^12-$A39)&gt;(H$3*10^12-$A38),$A38,$A39)=H39,0,IF((H$3*10^12-$A39)*(H$3*10^12-$A38)*-1&lt;0,0,1)*IF(ABS(H$3*10^12-$A39)&gt;(H$3*10^12-$A38),$A38,$A39))</f>
        <v>0</v>
      </c>
      <c r="I38" s="0" t="n">
        <f aca="false">IF(IF((I$3*10^12-$A39)*(I$3*10^12-$A38)*-1&lt;0,0,1)*IF(ABS(I$3*10^12-$A39)&gt;(I$3*10^12-$A38),$A38,$A39)=I39,0,IF((I$3*10^12-$A39)*(I$3*10^12-$A38)*-1&lt;0,0,1)*IF(ABS(I$3*10^12-$A39)&gt;(I$3*10^12-$A38),$A38,$A39))</f>
        <v>0</v>
      </c>
      <c r="J38" s="0" t="n">
        <f aca="false">IF(IF((J$3*10^12-$A39)*(J$3*10^12-$A38)*-1&lt;0,0,1)*IF(ABS(J$3*10^12-$A39)&gt;(J$3*10^12-$A38),$A38,$A39)=J39,0,IF((J$3*10^12-$A39)*(J$3*10^12-$A38)*-1&lt;0,0,1)*IF(ABS(J$3*10^12-$A39)&gt;(J$3*10^12-$A38),$A38,$A39))</f>
        <v>0</v>
      </c>
      <c r="K38" s="0" t="n">
        <f aca="false">IF(IF((K$3*10^12-$A39)*(K$3*10^12-$A38)*-1&lt;0,0,1)*IF(ABS(K$3*10^12-$A39)&gt;(K$3*10^12-$A38),$A38,$A39)=K39,0,IF((K$3*10^12-$A39)*(K$3*10^12-$A38)*-1&lt;0,0,1)*IF(ABS(K$3*10^12-$A39)&gt;(K$3*10^12-$A38),$A38,$A39))</f>
        <v>0</v>
      </c>
      <c r="L38" s="0" t="n">
        <f aca="false">IF(IF((L$3*10^12-$A39)*(L$3*10^12-$A38)*-1&lt;0,0,1)*IF(ABS(L$3*10^12-$A39)&gt;(L$3*10^12-$A38),$A38,$A39)=L39,0,IF((L$3*10^12-$A39)*(L$3*10^12-$A38)*-1&lt;0,0,1)*IF(ABS(L$3*10^12-$A39)&gt;(L$3*10^12-$A38),$A38,$A39))</f>
        <v>0</v>
      </c>
      <c r="M38" s="0" t="n">
        <f aca="false">IF(IF((M$3*10^12-$A39)*(M$3*10^12-$A38)*-1&lt;0,0,1)*IF(ABS(M$3*10^12-$A39)&gt;(M$3*10^12-$A38),$A38,$A39)=M39,0,IF((M$3*10^12-$A39)*(M$3*10^12-$A38)*-1&lt;0,0,1)*IF(ABS(M$3*10^12-$A39)&gt;(M$3*10^12-$A38),$A38,$A39))</f>
        <v>0</v>
      </c>
      <c r="N38" s="0" t="e">
        <f aca="false">IF(IF((N$3*10^12-$A39)*(N$3*10^12-$A38)*-1&lt;0,0,1)*IF(ABS(N$3*10^12-$A39)&gt;(N$3*10^12-$A38),$A38,$A39)=N39,0,IF((N$3*10^12-$A39)*(N$3*10^12-$A38)*-1&lt;0,0,1)*IF(ABS(N$3*10^12-$A39)&gt;(N$3*10^12-$A38),$A38,$A39))</f>
        <v>#VALUE!</v>
      </c>
    </row>
    <row r="39" customFormat="false" ht="12.75" hidden="false" customHeight="false" outlineLevel="0" collapsed="false">
      <c r="A39" s="0" t="n">
        <f aca="false">A27*10</f>
        <v>270</v>
      </c>
      <c r="B39" s="0" t="n">
        <f aca="false">IF(IF((B$3*10^12-$A40)*(B$3*10^12-$A39)*-1&lt;0,0,1)*IF(ABS(B$3*10^12-$A40)&gt;(B$3*10^12-$A39),$A39,$A40)=B40,0,IF((B$3*10^12-$A40)*(B$3*10^12-$A39)*-1&lt;0,0,1)*IF(ABS(B$3*10^12-$A40)&gt;(B$3*10^12-$A39),$A39,$A40))</f>
        <v>0</v>
      </c>
      <c r="C39" s="0" t="n">
        <f aca="false">IF(IF((C$3*10^12-$A40)*(C$3*10^12-$A39)*-1&lt;0,0,1)*IF(ABS(C$3*10^12-$A40)&gt;(C$3*10^12-$A39),$A39,$A40)=C40,0,IF((C$3*10^12-$A40)*(C$3*10^12-$A39)*-1&lt;0,0,1)*IF(ABS(C$3*10^12-$A40)&gt;(C$3*10^12-$A39),$A39,$A40))</f>
        <v>0</v>
      </c>
      <c r="D39" s="0" t="n">
        <f aca="false">IF(IF((D$3*10^12-$A40)*(D$3*10^12-$A39)*-1&lt;0,0,1)*IF(ABS(D$3*10^12-$A40)&gt;(D$3*10^12-$A39),$A39,$A40)=D40,0,IF((D$3*10^12-$A40)*(D$3*10^12-$A39)*-1&lt;0,0,1)*IF(ABS(D$3*10^12-$A40)&gt;(D$3*10^12-$A39),$A39,$A40))</f>
        <v>0</v>
      </c>
      <c r="E39" s="0" t="n">
        <f aca="false">IF(IF((E$3*10^12-$A40)*(E$3*10^12-$A39)*-1&lt;0,0,1)*IF(ABS(E$3*10^12-$A40)&gt;(E$3*10^12-$A39),$A39,$A40)=E40,0,IF((E$3*10^12-$A40)*(E$3*10^12-$A39)*-1&lt;0,0,1)*IF(ABS(E$3*10^12-$A40)&gt;(E$3*10^12-$A39),$A39,$A40))</f>
        <v>0</v>
      </c>
      <c r="F39" s="0" t="n">
        <f aca="false">IF(IF((F$3*10^12-$A40)*(F$3*10^12-$A39)*-1&lt;0,0,1)*IF(ABS(F$3*10^12-$A40)&gt;(F$3*10^12-$A39),$A39,$A40)=F40,0,IF((F$3*10^12-$A40)*(F$3*10^12-$A39)*-1&lt;0,0,1)*IF(ABS(F$3*10^12-$A40)&gt;(F$3*10^12-$A39),$A39,$A40))</f>
        <v>0</v>
      </c>
      <c r="G39" s="0" t="n">
        <f aca="false">IF(IF((G$3*10^12-$A40)*(G$3*10^12-$A39)*-1&lt;0,0,1)*IF(ABS(G$3*10^12-$A40)&gt;(G$3*10^12-$A39),$A39,$A40)=G40,0,IF((G$3*10^12-$A40)*(G$3*10^12-$A39)*-1&lt;0,0,1)*IF(ABS(G$3*10^12-$A40)&gt;(G$3*10^12-$A39),$A39,$A40))</f>
        <v>0</v>
      </c>
      <c r="H39" s="0" t="n">
        <f aca="false">IF(IF((H$3*10^12-$A40)*(H$3*10^12-$A39)*-1&lt;0,0,1)*IF(ABS(H$3*10^12-$A40)&gt;(H$3*10^12-$A39),$A39,$A40)=H40,0,IF((H$3*10^12-$A40)*(H$3*10^12-$A39)*-1&lt;0,0,1)*IF(ABS(H$3*10^12-$A40)&gt;(H$3*10^12-$A39),$A39,$A40))</f>
        <v>0</v>
      </c>
      <c r="I39" s="0" t="n">
        <f aca="false">IF(IF((I$3*10^12-$A40)*(I$3*10^12-$A39)*-1&lt;0,0,1)*IF(ABS(I$3*10^12-$A40)&gt;(I$3*10^12-$A39),$A39,$A40)=I40,0,IF((I$3*10^12-$A40)*(I$3*10^12-$A39)*-1&lt;0,0,1)*IF(ABS(I$3*10^12-$A40)&gt;(I$3*10^12-$A39),$A39,$A40))</f>
        <v>0</v>
      </c>
      <c r="J39" s="0" t="n">
        <f aca="false">IF(IF((J$3*10^12-$A40)*(J$3*10^12-$A39)*-1&lt;0,0,1)*IF(ABS(J$3*10^12-$A40)&gt;(J$3*10^12-$A39),$A39,$A40)=J40,0,IF((J$3*10^12-$A40)*(J$3*10^12-$A39)*-1&lt;0,0,1)*IF(ABS(J$3*10^12-$A40)&gt;(J$3*10^12-$A39),$A39,$A40))</f>
        <v>0</v>
      </c>
      <c r="K39" s="0" t="n">
        <f aca="false">IF(IF((K$3*10^12-$A40)*(K$3*10^12-$A39)*-1&lt;0,0,1)*IF(ABS(K$3*10^12-$A40)&gt;(K$3*10^12-$A39),$A39,$A40)=K40,0,IF((K$3*10^12-$A40)*(K$3*10^12-$A39)*-1&lt;0,0,1)*IF(ABS(K$3*10^12-$A40)&gt;(K$3*10^12-$A39),$A39,$A40))</f>
        <v>0</v>
      </c>
      <c r="L39" s="0" t="n">
        <f aca="false">IF(IF((L$3*10^12-$A40)*(L$3*10^12-$A39)*-1&lt;0,0,1)*IF(ABS(L$3*10^12-$A40)&gt;(L$3*10^12-$A39),$A39,$A40)=L40,0,IF((L$3*10^12-$A40)*(L$3*10^12-$A39)*-1&lt;0,0,1)*IF(ABS(L$3*10^12-$A40)&gt;(L$3*10^12-$A39),$A39,$A40))</f>
        <v>0</v>
      </c>
      <c r="M39" s="0" t="n">
        <f aca="false">IF(IF((M$3*10^12-$A40)*(M$3*10^12-$A39)*-1&lt;0,0,1)*IF(ABS(M$3*10^12-$A40)&gt;(M$3*10^12-$A39),$A39,$A40)=M40,0,IF((M$3*10^12-$A40)*(M$3*10^12-$A39)*-1&lt;0,0,1)*IF(ABS(M$3*10^12-$A40)&gt;(M$3*10^12-$A39),$A39,$A40))</f>
        <v>0</v>
      </c>
      <c r="N39" s="0" t="e">
        <f aca="false">IF(IF((N$3*10^12-$A40)*(N$3*10^12-$A39)*-1&lt;0,0,1)*IF(ABS(N$3*10^12-$A40)&gt;(N$3*10^12-$A39),$A39,$A40)=N40,0,IF((N$3*10^12-$A40)*(N$3*10^12-$A39)*-1&lt;0,0,1)*IF(ABS(N$3*10^12-$A40)&gt;(N$3*10^12-$A39),$A39,$A40))</f>
        <v>#VALUE!</v>
      </c>
    </row>
    <row r="40" customFormat="false" ht="12.75" hidden="false" customHeight="false" outlineLevel="0" collapsed="false">
      <c r="A40" s="0" t="n">
        <f aca="false">A28*10</f>
        <v>330</v>
      </c>
      <c r="B40" s="0" t="n">
        <f aca="false">IF(IF((B$3*10^12-$A41)*(B$3*10^12-$A40)*-1&lt;0,0,1)*IF(ABS(B$3*10^12-$A41)&gt;(B$3*10^12-$A40),$A40,$A41)=B41,0,IF((B$3*10^12-$A41)*(B$3*10^12-$A40)*-1&lt;0,0,1)*IF(ABS(B$3*10^12-$A41)&gt;(B$3*10^12-$A40),$A40,$A41))</f>
        <v>0</v>
      </c>
      <c r="C40" s="0" t="n">
        <f aca="false">IF(IF((C$3*10^12-$A41)*(C$3*10^12-$A40)*-1&lt;0,0,1)*IF(ABS(C$3*10^12-$A41)&gt;(C$3*10^12-$A40),$A40,$A41)=C41,0,IF((C$3*10^12-$A41)*(C$3*10^12-$A40)*-1&lt;0,0,1)*IF(ABS(C$3*10^12-$A41)&gt;(C$3*10^12-$A40),$A40,$A41))</f>
        <v>0</v>
      </c>
      <c r="D40" s="0" t="n">
        <f aca="false">IF(IF((D$3*10^12-$A41)*(D$3*10^12-$A40)*-1&lt;0,0,1)*IF(ABS(D$3*10^12-$A41)&gt;(D$3*10^12-$A40),$A40,$A41)=D41,0,IF((D$3*10^12-$A41)*(D$3*10^12-$A40)*-1&lt;0,0,1)*IF(ABS(D$3*10^12-$A41)&gt;(D$3*10^12-$A40),$A40,$A41))</f>
        <v>0</v>
      </c>
      <c r="E40" s="0" t="n">
        <f aca="false">IF(IF((E$3*10^12-$A41)*(E$3*10^12-$A40)*-1&lt;0,0,1)*IF(ABS(E$3*10^12-$A41)&gt;(E$3*10^12-$A40),$A40,$A41)=E41,0,IF((E$3*10^12-$A41)*(E$3*10^12-$A40)*-1&lt;0,0,1)*IF(ABS(E$3*10^12-$A41)&gt;(E$3*10^12-$A40),$A40,$A41))</f>
        <v>0</v>
      </c>
      <c r="F40" s="0" t="n">
        <f aca="false">IF(IF((F$3*10^12-$A41)*(F$3*10^12-$A40)*-1&lt;0,0,1)*IF(ABS(F$3*10^12-$A41)&gt;(F$3*10^12-$A40),$A40,$A41)=F41,0,IF((F$3*10^12-$A41)*(F$3*10^12-$A40)*-1&lt;0,0,1)*IF(ABS(F$3*10^12-$A41)&gt;(F$3*10^12-$A40),$A40,$A41))</f>
        <v>0</v>
      </c>
      <c r="G40" s="0" t="n">
        <f aca="false">IF(IF((G$3*10^12-$A41)*(G$3*10^12-$A40)*-1&lt;0,0,1)*IF(ABS(G$3*10^12-$A41)&gt;(G$3*10^12-$A40),$A40,$A41)=G41,0,IF((G$3*10^12-$A41)*(G$3*10^12-$A40)*-1&lt;0,0,1)*IF(ABS(G$3*10^12-$A41)&gt;(G$3*10^12-$A40),$A40,$A41))</f>
        <v>0</v>
      </c>
      <c r="H40" s="0" t="n">
        <f aca="false">IF(IF((H$3*10^12-$A41)*(H$3*10^12-$A40)*-1&lt;0,0,1)*IF(ABS(H$3*10^12-$A41)&gt;(H$3*10^12-$A40),$A40,$A41)=H41,0,IF((H$3*10^12-$A41)*(H$3*10^12-$A40)*-1&lt;0,0,1)*IF(ABS(H$3*10^12-$A41)&gt;(H$3*10^12-$A40),$A40,$A41))</f>
        <v>0</v>
      </c>
      <c r="I40" s="0" t="n">
        <f aca="false">IF(IF((I$3*10^12-$A41)*(I$3*10^12-$A40)*-1&lt;0,0,1)*IF(ABS(I$3*10^12-$A41)&gt;(I$3*10^12-$A40),$A40,$A41)=I41,0,IF((I$3*10^12-$A41)*(I$3*10^12-$A40)*-1&lt;0,0,1)*IF(ABS(I$3*10^12-$A41)&gt;(I$3*10^12-$A40),$A40,$A41))</f>
        <v>0</v>
      </c>
      <c r="J40" s="0" t="n">
        <f aca="false">IF(IF((J$3*10^12-$A41)*(J$3*10^12-$A40)*-1&lt;0,0,1)*IF(ABS(J$3*10^12-$A41)&gt;(J$3*10^12-$A40),$A40,$A41)=J41,0,IF((J$3*10^12-$A41)*(J$3*10^12-$A40)*-1&lt;0,0,1)*IF(ABS(J$3*10^12-$A41)&gt;(J$3*10^12-$A40),$A40,$A41))</f>
        <v>0</v>
      </c>
      <c r="K40" s="0" t="n">
        <f aca="false">IF(IF((K$3*10^12-$A41)*(K$3*10^12-$A40)*-1&lt;0,0,1)*IF(ABS(K$3*10^12-$A41)&gt;(K$3*10^12-$A40),$A40,$A41)=K41,0,IF((K$3*10^12-$A41)*(K$3*10^12-$A40)*-1&lt;0,0,1)*IF(ABS(K$3*10^12-$A41)&gt;(K$3*10^12-$A40),$A40,$A41))</f>
        <v>0</v>
      </c>
      <c r="L40" s="0" t="n">
        <f aca="false">IF(IF((L$3*10^12-$A41)*(L$3*10^12-$A40)*-1&lt;0,0,1)*IF(ABS(L$3*10^12-$A41)&gt;(L$3*10^12-$A40),$A40,$A41)=L41,0,IF((L$3*10^12-$A41)*(L$3*10^12-$A40)*-1&lt;0,0,1)*IF(ABS(L$3*10^12-$A41)&gt;(L$3*10^12-$A40),$A40,$A41))</f>
        <v>0</v>
      </c>
      <c r="M40" s="0" t="n">
        <f aca="false">IF(IF((M$3*10^12-$A41)*(M$3*10^12-$A40)*-1&lt;0,0,1)*IF(ABS(M$3*10^12-$A41)&gt;(M$3*10^12-$A40),$A40,$A41)=M41,0,IF((M$3*10^12-$A41)*(M$3*10^12-$A40)*-1&lt;0,0,1)*IF(ABS(M$3*10^12-$A41)&gt;(M$3*10^12-$A40),$A40,$A41))</f>
        <v>0</v>
      </c>
      <c r="N40" s="0" t="e">
        <f aca="false">IF(IF((N$3*10^12-$A41)*(N$3*10^12-$A40)*-1&lt;0,0,1)*IF(ABS(N$3*10^12-$A41)&gt;(N$3*10^12-$A40),$A40,$A41)=N41,0,IF((N$3*10^12-$A41)*(N$3*10^12-$A40)*-1&lt;0,0,1)*IF(ABS(N$3*10^12-$A41)&gt;(N$3*10^12-$A40),$A40,$A41))</f>
        <v>#VALUE!</v>
      </c>
    </row>
    <row r="41" customFormat="false" ht="12.75" hidden="false" customHeight="false" outlineLevel="0" collapsed="false">
      <c r="A41" s="0" t="n">
        <f aca="false">A29*10</f>
        <v>390</v>
      </c>
      <c r="B41" s="0" t="n">
        <f aca="false">IF(IF((B$3*10^12-$A42)*(B$3*10^12-$A41)*-1&lt;0,0,1)*IF(ABS(B$3*10^12-$A42)&gt;(B$3*10^12-$A41),$A41,$A42)=B42,0,IF((B$3*10^12-$A42)*(B$3*10^12-$A41)*-1&lt;0,0,1)*IF(ABS(B$3*10^12-$A42)&gt;(B$3*10^12-$A41),$A41,$A42))</f>
        <v>0</v>
      </c>
      <c r="C41" s="0" t="n">
        <f aca="false">IF(IF((C$3*10^12-$A42)*(C$3*10^12-$A41)*-1&lt;0,0,1)*IF(ABS(C$3*10^12-$A42)&gt;(C$3*10^12-$A41),$A41,$A42)=C42,0,IF((C$3*10^12-$A42)*(C$3*10^12-$A41)*-1&lt;0,0,1)*IF(ABS(C$3*10^12-$A42)&gt;(C$3*10^12-$A41),$A41,$A42))</f>
        <v>0</v>
      </c>
      <c r="D41" s="0" t="n">
        <f aca="false">IF(IF((D$3*10^12-$A42)*(D$3*10^12-$A41)*-1&lt;0,0,1)*IF(ABS(D$3*10^12-$A42)&gt;(D$3*10^12-$A41),$A41,$A42)=D42,0,IF((D$3*10^12-$A42)*(D$3*10^12-$A41)*-1&lt;0,0,1)*IF(ABS(D$3*10^12-$A42)&gt;(D$3*10^12-$A41),$A41,$A42))</f>
        <v>0</v>
      </c>
      <c r="E41" s="0" t="n">
        <f aca="false">IF(IF((E$3*10^12-$A42)*(E$3*10^12-$A41)*-1&lt;0,0,1)*IF(ABS(E$3*10^12-$A42)&gt;(E$3*10^12-$A41),$A41,$A42)=E42,0,IF((E$3*10^12-$A42)*(E$3*10^12-$A41)*-1&lt;0,0,1)*IF(ABS(E$3*10^12-$A42)&gt;(E$3*10^12-$A41),$A41,$A42))</f>
        <v>0</v>
      </c>
      <c r="F41" s="0" t="n">
        <f aca="false">IF(IF((F$3*10^12-$A42)*(F$3*10^12-$A41)*-1&lt;0,0,1)*IF(ABS(F$3*10^12-$A42)&gt;(F$3*10^12-$A41),$A41,$A42)=F42,0,IF((F$3*10^12-$A42)*(F$3*10^12-$A41)*-1&lt;0,0,1)*IF(ABS(F$3*10^12-$A42)&gt;(F$3*10^12-$A41),$A41,$A42))</f>
        <v>0</v>
      </c>
      <c r="G41" s="0" t="n">
        <f aca="false">IF(IF((G$3*10^12-$A42)*(G$3*10^12-$A41)*-1&lt;0,0,1)*IF(ABS(G$3*10^12-$A42)&gt;(G$3*10^12-$A41),$A41,$A42)=G42,0,IF((G$3*10^12-$A42)*(G$3*10^12-$A41)*-1&lt;0,0,1)*IF(ABS(G$3*10^12-$A42)&gt;(G$3*10^12-$A41),$A41,$A42))</f>
        <v>0</v>
      </c>
      <c r="H41" s="0" t="n">
        <f aca="false">IF(IF((H$3*10^12-$A42)*(H$3*10^12-$A41)*-1&lt;0,0,1)*IF(ABS(H$3*10^12-$A42)&gt;(H$3*10^12-$A41),$A41,$A42)=H42,0,IF((H$3*10^12-$A42)*(H$3*10^12-$A41)*-1&lt;0,0,1)*IF(ABS(H$3*10^12-$A42)&gt;(H$3*10^12-$A41),$A41,$A42))</f>
        <v>0</v>
      </c>
      <c r="I41" s="0" t="n">
        <f aca="false">IF(IF((I$3*10^12-$A42)*(I$3*10^12-$A41)*-1&lt;0,0,1)*IF(ABS(I$3*10^12-$A42)&gt;(I$3*10^12-$A41),$A41,$A42)=I42,0,IF((I$3*10^12-$A42)*(I$3*10^12-$A41)*-1&lt;0,0,1)*IF(ABS(I$3*10^12-$A42)&gt;(I$3*10^12-$A41),$A41,$A42))</f>
        <v>0</v>
      </c>
      <c r="J41" s="0" t="n">
        <f aca="false">IF(IF((J$3*10^12-$A42)*(J$3*10^12-$A41)*-1&lt;0,0,1)*IF(ABS(J$3*10^12-$A42)&gt;(J$3*10^12-$A41),$A41,$A42)=J42,0,IF((J$3*10^12-$A42)*(J$3*10^12-$A41)*-1&lt;0,0,1)*IF(ABS(J$3*10^12-$A42)&gt;(J$3*10^12-$A41),$A41,$A42))</f>
        <v>0</v>
      </c>
      <c r="K41" s="0" t="n">
        <f aca="false">IF(IF((K$3*10^12-$A42)*(K$3*10^12-$A41)*-1&lt;0,0,1)*IF(ABS(K$3*10^12-$A42)&gt;(K$3*10^12-$A41),$A41,$A42)=K42,0,IF((K$3*10^12-$A42)*(K$3*10^12-$A41)*-1&lt;0,0,1)*IF(ABS(K$3*10^12-$A42)&gt;(K$3*10^12-$A41),$A41,$A42))</f>
        <v>0</v>
      </c>
      <c r="L41" s="0" t="n">
        <f aca="false">IF(IF((L$3*10^12-$A42)*(L$3*10^12-$A41)*-1&lt;0,0,1)*IF(ABS(L$3*10^12-$A42)&gt;(L$3*10^12-$A41),$A41,$A42)=L42,0,IF((L$3*10^12-$A42)*(L$3*10^12-$A41)*-1&lt;0,0,1)*IF(ABS(L$3*10^12-$A42)&gt;(L$3*10^12-$A41),$A41,$A42))</f>
        <v>0</v>
      </c>
      <c r="M41" s="0" t="n">
        <f aca="false">IF(IF((M$3*10^12-$A42)*(M$3*10^12-$A41)*-1&lt;0,0,1)*IF(ABS(M$3*10^12-$A42)&gt;(M$3*10^12-$A41),$A41,$A42)=M42,0,IF((M$3*10^12-$A42)*(M$3*10^12-$A41)*-1&lt;0,0,1)*IF(ABS(M$3*10^12-$A42)&gt;(M$3*10^12-$A41),$A41,$A42))</f>
        <v>0</v>
      </c>
      <c r="N41" s="0" t="e">
        <f aca="false">IF(IF((N$3*10^12-$A42)*(N$3*10^12-$A41)*-1&lt;0,0,1)*IF(ABS(N$3*10^12-$A42)&gt;(N$3*10^12-$A41),$A41,$A42)=N42,0,IF((N$3*10^12-$A42)*(N$3*10^12-$A41)*-1&lt;0,0,1)*IF(ABS(N$3*10^12-$A42)&gt;(N$3*10^12-$A41),$A41,$A42))</f>
        <v>#VALUE!</v>
      </c>
    </row>
    <row r="42" customFormat="false" ht="12.75" hidden="false" customHeight="false" outlineLevel="0" collapsed="false">
      <c r="A42" s="0" t="n">
        <f aca="false">A30*10</f>
        <v>470</v>
      </c>
      <c r="B42" s="0" t="n">
        <f aca="false">IF(IF((B$3*10^12-$A43)*(B$3*10^12-$A42)*-1&lt;0,0,1)*IF(ABS(B$3*10^12-$A43)&gt;(B$3*10^12-$A42),$A42,$A43)=B43,0,IF((B$3*10^12-$A43)*(B$3*10^12-$A42)*-1&lt;0,0,1)*IF(ABS(B$3*10^12-$A43)&gt;(B$3*10^12-$A42),$A42,$A43))</f>
        <v>0</v>
      </c>
      <c r="C42" s="0" t="n">
        <f aca="false">IF(IF((C$3*10^12-$A43)*(C$3*10^12-$A42)*-1&lt;0,0,1)*IF(ABS(C$3*10^12-$A43)&gt;(C$3*10^12-$A42),$A42,$A43)=C43,0,IF((C$3*10^12-$A43)*(C$3*10^12-$A42)*-1&lt;0,0,1)*IF(ABS(C$3*10^12-$A43)&gt;(C$3*10^12-$A42),$A42,$A43))</f>
        <v>0</v>
      </c>
      <c r="D42" s="0" t="n">
        <f aca="false">IF(IF((D$3*10^12-$A43)*(D$3*10^12-$A42)*-1&lt;0,0,1)*IF(ABS(D$3*10^12-$A43)&gt;(D$3*10^12-$A42),$A42,$A43)=D43,0,IF((D$3*10^12-$A43)*(D$3*10^12-$A42)*-1&lt;0,0,1)*IF(ABS(D$3*10^12-$A43)&gt;(D$3*10^12-$A42),$A42,$A43))</f>
        <v>0</v>
      </c>
      <c r="E42" s="0" t="n">
        <f aca="false">IF(IF((E$3*10^12-$A43)*(E$3*10^12-$A42)*-1&lt;0,0,1)*IF(ABS(E$3*10^12-$A43)&gt;(E$3*10^12-$A42),$A42,$A43)=E43,0,IF((E$3*10^12-$A43)*(E$3*10^12-$A42)*-1&lt;0,0,1)*IF(ABS(E$3*10^12-$A43)&gt;(E$3*10^12-$A42),$A42,$A43))</f>
        <v>0</v>
      </c>
      <c r="F42" s="0" t="n">
        <f aca="false">IF(IF((F$3*10^12-$A43)*(F$3*10^12-$A42)*-1&lt;0,0,1)*IF(ABS(F$3*10^12-$A43)&gt;(F$3*10^12-$A42),$A42,$A43)=F43,0,IF((F$3*10^12-$A43)*(F$3*10^12-$A42)*-1&lt;0,0,1)*IF(ABS(F$3*10^12-$A43)&gt;(F$3*10^12-$A42),$A42,$A43))</f>
        <v>0</v>
      </c>
      <c r="G42" s="0" t="n">
        <f aca="false">IF(IF((G$3*10^12-$A43)*(G$3*10^12-$A42)*-1&lt;0,0,1)*IF(ABS(G$3*10^12-$A43)&gt;(G$3*10^12-$A42),$A42,$A43)=G43,0,IF((G$3*10^12-$A43)*(G$3*10^12-$A42)*-1&lt;0,0,1)*IF(ABS(G$3*10^12-$A43)&gt;(G$3*10^12-$A42),$A42,$A43))</f>
        <v>0</v>
      </c>
      <c r="H42" s="0" t="n">
        <f aca="false">IF(IF((H$3*10^12-$A43)*(H$3*10^12-$A42)*-1&lt;0,0,1)*IF(ABS(H$3*10^12-$A43)&gt;(H$3*10^12-$A42),$A42,$A43)=H43,0,IF((H$3*10^12-$A43)*(H$3*10^12-$A42)*-1&lt;0,0,1)*IF(ABS(H$3*10^12-$A43)&gt;(H$3*10^12-$A42),$A42,$A43))</f>
        <v>0</v>
      </c>
      <c r="I42" s="0" t="n">
        <f aca="false">IF(IF((I$3*10^12-$A43)*(I$3*10^12-$A42)*-1&lt;0,0,1)*IF(ABS(I$3*10^12-$A43)&gt;(I$3*10^12-$A42),$A42,$A43)=I43,0,IF((I$3*10^12-$A43)*(I$3*10^12-$A42)*-1&lt;0,0,1)*IF(ABS(I$3*10^12-$A43)&gt;(I$3*10^12-$A42),$A42,$A43))</f>
        <v>0</v>
      </c>
      <c r="J42" s="0" t="n">
        <f aca="false">IF(IF((J$3*10^12-$A43)*(J$3*10^12-$A42)*-1&lt;0,0,1)*IF(ABS(J$3*10^12-$A43)&gt;(J$3*10^12-$A42),$A42,$A43)=J43,0,IF((J$3*10^12-$A43)*(J$3*10^12-$A42)*-1&lt;0,0,1)*IF(ABS(J$3*10^12-$A43)&gt;(J$3*10^12-$A42),$A42,$A43))</f>
        <v>0</v>
      </c>
      <c r="K42" s="0" t="n">
        <f aca="false">IF(IF((K$3*10^12-$A43)*(K$3*10^12-$A42)*-1&lt;0,0,1)*IF(ABS(K$3*10^12-$A43)&gt;(K$3*10^12-$A42),$A42,$A43)=K43,0,IF((K$3*10^12-$A43)*(K$3*10^12-$A42)*-1&lt;0,0,1)*IF(ABS(K$3*10^12-$A43)&gt;(K$3*10^12-$A42),$A42,$A43))</f>
        <v>0</v>
      </c>
      <c r="L42" s="0" t="n">
        <f aca="false">IF(IF((L$3*10^12-$A43)*(L$3*10^12-$A42)*-1&lt;0,0,1)*IF(ABS(L$3*10^12-$A43)&gt;(L$3*10^12-$A42),$A42,$A43)=L43,0,IF((L$3*10^12-$A43)*(L$3*10^12-$A42)*-1&lt;0,0,1)*IF(ABS(L$3*10^12-$A43)&gt;(L$3*10^12-$A42),$A42,$A43))</f>
        <v>0</v>
      </c>
      <c r="M42" s="0" t="n">
        <f aca="false">IF(IF((M$3*10^12-$A43)*(M$3*10^12-$A42)*-1&lt;0,0,1)*IF(ABS(M$3*10^12-$A43)&gt;(M$3*10^12-$A42),$A42,$A43)=M43,0,IF((M$3*10^12-$A43)*(M$3*10^12-$A42)*-1&lt;0,0,1)*IF(ABS(M$3*10^12-$A43)&gt;(M$3*10^12-$A42),$A42,$A43))</f>
        <v>0</v>
      </c>
      <c r="N42" s="0" t="e">
        <f aca="false">IF(IF((N$3*10^12-$A43)*(N$3*10^12-$A42)*-1&lt;0,0,1)*IF(ABS(N$3*10^12-$A43)&gt;(N$3*10^12-$A42),$A42,$A43)=N43,0,IF((N$3*10^12-$A43)*(N$3*10^12-$A42)*-1&lt;0,0,1)*IF(ABS(N$3*10^12-$A43)&gt;(N$3*10^12-$A42),$A42,$A43))</f>
        <v>#VALUE!</v>
      </c>
    </row>
    <row r="43" customFormat="false" ht="12.75" hidden="false" customHeight="false" outlineLevel="0" collapsed="false">
      <c r="A43" s="0" t="n">
        <f aca="false">A31*10</f>
        <v>560</v>
      </c>
      <c r="B43" s="0" t="n">
        <f aca="false">IF(IF((B$3*10^12-$A44)*(B$3*10^12-$A43)*-1&lt;0,0,1)*IF(ABS(B$3*10^12-$A44)&gt;(B$3*10^12-$A43),$A43,$A44)=B44,0,IF((B$3*10^12-$A44)*(B$3*10^12-$A43)*-1&lt;0,0,1)*IF(ABS(B$3*10^12-$A44)&gt;(B$3*10^12-$A43),$A43,$A44))</f>
        <v>0</v>
      </c>
      <c r="C43" s="0" t="n">
        <f aca="false">IF(IF((C$3*10^12-$A44)*(C$3*10^12-$A43)*-1&lt;0,0,1)*IF(ABS(C$3*10^12-$A44)&gt;(C$3*10^12-$A43),$A43,$A44)=C44,0,IF((C$3*10^12-$A44)*(C$3*10^12-$A43)*-1&lt;0,0,1)*IF(ABS(C$3*10^12-$A44)&gt;(C$3*10^12-$A43),$A43,$A44))</f>
        <v>0</v>
      </c>
      <c r="D43" s="0" t="n">
        <f aca="false">IF(IF((D$3*10^12-$A44)*(D$3*10^12-$A43)*-1&lt;0,0,1)*IF(ABS(D$3*10^12-$A44)&gt;(D$3*10^12-$A43),$A43,$A44)=D44,0,IF((D$3*10^12-$A44)*(D$3*10^12-$A43)*-1&lt;0,0,1)*IF(ABS(D$3*10^12-$A44)&gt;(D$3*10^12-$A43),$A43,$A44))</f>
        <v>0</v>
      </c>
      <c r="E43" s="0" t="n">
        <f aca="false">IF(IF((E$3*10^12-$A44)*(E$3*10^12-$A43)*-1&lt;0,0,1)*IF(ABS(E$3*10^12-$A44)&gt;(E$3*10^12-$A43),$A43,$A44)=E44,0,IF((E$3*10^12-$A44)*(E$3*10^12-$A43)*-1&lt;0,0,1)*IF(ABS(E$3*10^12-$A44)&gt;(E$3*10^12-$A43),$A43,$A44))</f>
        <v>0</v>
      </c>
      <c r="F43" s="0" t="n">
        <f aca="false">IF(IF((F$3*10^12-$A44)*(F$3*10^12-$A43)*-1&lt;0,0,1)*IF(ABS(F$3*10^12-$A44)&gt;(F$3*10^12-$A43),$A43,$A44)=F44,0,IF((F$3*10^12-$A44)*(F$3*10^12-$A43)*-1&lt;0,0,1)*IF(ABS(F$3*10^12-$A44)&gt;(F$3*10^12-$A43),$A43,$A44))</f>
        <v>0</v>
      </c>
      <c r="G43" s="0" t="n">
        <f aca="false">IF(IF((G$3*10^12-$A44)*(G$3*10^12-$A43)*-1&lt;0,0,1)*IF(ABS(G$3*10^12-$A44)&gt;(G$3*10^12-$A43),$A43,$A44)=G44,0,IF((G$3*10^12-$A44)*(G$3*10^12-$A43)*-1&lt;0,0,1)*IF(ABS(G$3*10^12-$A44)&gt;(G$3*10^12-$A43),$A43,$A44))</f>
        <v>0</v>
      </c>
      <c r="H43" s="0" t="n">
        <f aca="false">IF(IF((H$3*10^12-$A44)*(H$3*10^12-$A43)*-1&lt;0,0,1)*IF(ABS(H$3*10^12-$A44)&gt;(H$3*10^12-$A43),$A43,$A44)=H44,0,IF((H$3*10^12-$A44)*(H$3*10^12-$A43)*-1&lt;0,0,1)*IF(ABS(H$3*10^12-$A44)&gt;(H$3*10^12-$A43),$A43,$A44))</f>
        <v>0</v>
      </c>
      <c r="I43" s="0" t="n">
        <f aca="false">IF(IF((I$3*10^12-$A44)*(I$3*10^12-$A43)*-1&lt;0,0,1)*IF(ABS(I$3*10^12-$A44)&gt;(I$3*10^12-$A43),$A43,$A44)=I44,0,IF((I$3*10^12-$A44)*(I$3*10^12-$A43)*-1&lt;0,0,1)*IF(ABS(I$3*10^12-$A44)&gt;(I$3*10^12-$A43),$A43,$A44))</f>
        <v>0</v>
      </c>
      <c r="J43" s="0" t="n">
        <f aca="false">IF(IF((J$3*10^12-$A44)*(J$3*10^12-$A43)*-1&lt;0,0,1)*IF(ABS(J$3*10^12-$A44)&gt;(J$3*10^12-$A43),$A43,$A44)=J44,0,IF((J$3*10^12-$A44)*(J$3*10^12-$A43)*-1&lt;0,0,1)*IF(ABS(J$3*10^12-$A44)&gt;(J$3*10^12-$A43),$A43,$A44))</f>
        <v>0</v>
      </c>
      <c r="K43" s="0" t="n">
        <f aca="false">IF(IF((K$3*10^12-$A44)*(K$3*10^12-$A43)*-1&lt;0,0,1)*IF(ABS(K$3*10^12-$A44)&gt;(K$3*10^12-$A43),$A43,$A44)=K44,0,IF((K$3*10^12-$A44)*(K$3*10^12-$A43)*-1&lt;0,0,1)*IF(ABS(K$3*10^12-$A44)&gt;(K$3*10^12-$A43),$A43,$A44))</f>
        <v>0</v>
      </c>
      <c r="L43" s="0" t="n">
        <f aca="false">IF(IF((L$3*10^12-$A44)*(L$3*10^12-$A43)*-1&lt;0,0,1)*IF(ABS(L$3*10^12-$A44)&gt;(L$3*10^12-$A43),$A43,$A44)=L44,0,IF((L$3*10^12-$A44)*(L$3*10^12-$A43)*-1&lt;0,0,1)*IF(ABS(L$3*10^12-$A44)&gt;(L$3*10^12-$A43),$A43,$A44))</f>
        <v>0</v>
      </c>
      <c r="M43" s="0" t="n">
        <f aca="false">IF(IF((M$3*10^12-$A44)*(M$3*10^12-$A43)*-1&lt;0,0,1)*IF(ABS(M$3*10^12-$A44)&gt;(M$3*10^12-$A43),$A43,$A44)=M44,0,IF((M$3*10^12-$A44)*(M$3*10^12-$A43)*-1&lt;0,0,1)*IF(ABS(M$3*10^12-$A44)&gt;(M$3*10^12-$A43),$A43,$A44))</f>
        <v>0</v>
      </c>
      <c r="N43" s="0" t="e">
        <f aca="false">IF(IF((N$3*10^12-$A44)*(N$3*10^12-$A43)*-1&lt;0,0,1)*IF(ABS(N$3*10^12-$A44)&gt;(N$3*10^12-$A43),$A43,$A44)=N44,0,IF((N$3*10^12-$A44)*(N$3*10^12-$A43)*-1&lt;0,0,1)*IF(ABS(N$3*10^12-$A44)&gt;(N$3*10^12-$A43),$A43,$A44))</f>
        <v>#VALUE!</v>
      </c>
    </row>
    <row r="44" customFormat="false" ht="12.75" hidden="false" customHeight="false" outlineLevel="0" collapsed="false">
      <c r="A44" s="0" t="n">
        <f aca="false">A32*10</f>
        <v>680</v>
      </c>
      <c r="B44" s="0" t="n">
        <f aca="false">IF(IF((B$3*10^12-$A45)*(B$3*10^12-$A44)*-1&lt;0,0,1)*IF(ABS(B$3*10^12-$A45)&gt;(B$3*10^12-$A44),$A44,$A45)=B45,0,IF((B$3*10^12-$A45)*(B$3*10^12-$A44)*-1&lt;0,0,1)*IF(ABS(B$3*10^12-$A45)&gt;(B$3*10^12-$A44),$A44,$A45))</f>
        <v>0</v>
      </c>
      <c r="C44" s="0" t="n">
        <f aca="false">IF(IF((C$3*10^12-$A45)*(C$3*10^12-$A44)*-1&lt;0,0,1)*IF(ABS(C$3*10^12-$A45)&gt;(C$3*10^12-$A44),$A44,$A45)=C45,0,IF((C$3*10^12-$A45)*(C$3*10^12-$A44)*-1&lt;0,0,1)*IF(ABS(C$3*10^12-$A45)&gt;(C$3*10^12-$A44),$A44,$A45))</f>
        <v>0</v>
      </c>
      <c r="D44" s="0" t="n">
        <f aca="false">IF(IF((D$3*10^12-$A45)*(D$3*10^12-$A44)*-1&lt;0,0,1)*IF(ABS(D$3*10^12-$A45)&gt;(D$3*10^12-$A44),$A44,$A45)=D45,0,IF((D$3*10^12-$A45)*(D$3*10^12-$A44)*-1&lt;0,0,1)*IF(ABS(D$3*10^12-$A45)&gt;(D$3*10^12-$A44),$A44,$A45))</f>
        <v>0</v>
      </c>
      <c r="E44" s="0" t="n">
        <f aca="false">IF(IF((E$3*10^12-$A45)*(E$3*10^12-$A44)*-1&lt;0,0,1)*IF(ABS(E$3*10^12-$A45)&gt;(E$3*10^12-$A44),$A44,$A45)=E45,0,IF((E$3*10^12-$A45)*(E$3*10^12-$A44)*-1&lt;0,0,1)*IF(ABS(E$3*10^12-$A45)&gt;(E$3*10^12-$A44),$A44,$A45))</f>
        <v>0</v>
      </c>
      <c r="F44" s="0" t="n">
        <f aca="false">IF(IF((F$3*10^12-$A45)*(F$3*10^12-$A44)*-1&lt;0,0,1)*IF(ABS(F$3*10^12-$A45)&gt;(F$3*10^12-$A44),$A44,$A45)=F45,0,IF((F$3*10^12-$A45)*(F$3*10^12-$A44)*-1&lt;0,0,1)*IF(ABS(F$3*10^12-$A45)&gt;(F$3*10^12-$A44),$A44,$A45))</f>
        <v>0</v>
      </c>
      <c r="G44" s="0" t="n">
        <f aca="false">IF(IF((G$3*10^12-$A45)*(G$3*10^12-$A44)*-1&lt;0,0,1)*IF(ABS(G$3*10^12-$A45)&gt;(G$3*10^12-$A44),$A44,$A45)=G45,0,IF((G$3*10^12-$A45)*(G$3*10^12-$A44)*-1&lt;0,0,1)*IF(ABS(G$3*10^12-$A45)&gt;(G$3*10^12-$A44),$A44,$A45))</f>
        <v>0</v>
      </c>
      <c r="H44" s="0" t="n">
        <f aca="false">IF(IF((H$3*10^12-$A45)*(H$3*10^12-$A44)*-1&lt;0,0,1)*IF(ABS(H$3*10^12-$A45)&gt;(H$3*10^12-$A44),$A44,$A45)=H45,0,IF((H$3*10^12-$A45)*(H$3*10^12-$A44)*-1&lt;0,0,1)*IF(ABS(H$3*10^12-$A45)&gt;(H$3*10^12-$A44),$A44,$A45))</f>
        <v>0</v>
      </c>
      <c r="I44" s="0" t="n">
        <f aca="false">IF(IF((I$3*10^12-$A45)*(I$3*10^12-$A44)*-1&lt;0,0,1)*IF(ABS(I$3*10^12-$A45)&gt;(I$3*10^12-$A44),$A44,$A45)=I45,0,IF((I$3*10^12-$A45)*(I$3*10^12-$A44)*-1&lt;0,0,1)*IF(ABS(I$3*10^12-$A45)&gt;(I$3*10^12-$A44),$A44,$A45))</f>
        <v>0</v>
      </c>
      <c r="J44" s="0" t="n">
        <f aca="false">IF(IF((J$3*10^12-$A45)*(J$3*10^12-$A44)*-1&lt;0,0,1)*IF(ABS(J$3*10^12-$A45)&gt;(J$3*10^12-$A44),$A44,$A45)=J45,0,IF((J$3*10^12-$A45)*(J$3*10^12-$A44)*-1&lt;0,0,1)*IF(ABS(J$3*10^12-$A45)&gt;(J$3*10^12-$A44),$A44,$A45))</f>
        <v>0</v>
      </c>
      <c r="K44" s="0" t="n">
        <f aca="false">IF(IF((K$3*10^12-$A45)*(K$3*10^12-$A44)*-1&lt;0,0,1)*IF(ABS(K$3*10^12-$A45)&gt;(K$3*10^12-$A44),$A44,$A45)=K45,0,IF((K$3*10^12-$A45)*(K$3*10^12-$A44)*-1&lt;0,0,1)*IF(ABS(K$3*10^12-$A45)&gt;(K$3*10^12-$A44),$A44,$A45))</f>
        <v>0</v>
      </c>
      <c r="L44" s="0" t="n">
        <f aca="false">IF(IF((L$3*10^12-$A45)*(L$3*10^12-$A44)*-1&lt;0,0,1)*IF(ABS(L$3*10^12-$A45)&gt;(L$3*10^12-$A44),$A44,$A45)=L45,0,IF((L$3*10^12-$A45)*(L$3*10^12-$A44)*-1&lt;0,0,1)*IF(ABS(L$3*10^12-$A45)&gt;(L$3*10^12-$A44),$A44,$A45))</f>
        <v>0</v>
      </c>
      <c r="M44" s="0" t="n">
        <f aca="false">IF(IF((M$3*10^12-$A45)*(M$3*10^12-$A44)*-1&lt;0,0,1)*IF(ABS(M$3*10^12-$A45)&gt;(M$3*10^12-$A44),$A44,$A45)=M45,0,IF((M$3*10^12-$A45)*(M$3*10^12-$A44)*-1&lt;0,0,1)*IF(ABS(M$3*10^12-$A45)&gt;(M$3*10^12-$A44),$A44,$A45))</f>
        <v>0</v>
      </c>
      <c r="N44" s="0" t="e">
        <f aca="false">IF(IF((N$3*10^12-$A45)*(N$3*10^12-$A44)*-1&lt;0,0,1)*IF(ABS(N$3*10^12-$A45)&gt;(N$3*10^12-$A44),$A44,$A45)=N45,0,IF((N$3*10^12-$A45)*(N$3*10^12-$A44)*-1&lt;0,0,1)*IF(ABS(N$3*10^12-$A45)&gt;(N$3*10^12-$A44),$A44,$A45))</f>
        <v>#VALUE!</v>
      </c>
    </row>
    <row r="45" customFormat="false" ht="12.75" hidden="false" customHeight="false" outlineLevel="0" collapsed="false">
      <c r="A45" s="0" t="n">
        <f aca="false">A33*10</f>
        <v>820</v>
      </c>
      <c r="B45" s="0" t="n">
        <f aca="false">IF(IF((B$3*10^12-$A46)*(B$3*10^12-$A45)*-1&lt;0,0,1)*IF(ABS(B$3*10^12-$A46)&gt;(B$3*10^12-$A45),$A45,$A46)=B46,0,IF((B$3*10^12-$A46)*(B$3*10^12-$A45)*-1&lt;0,0,1)*IF(ABS(B$3*10^12-$A46)&gt;(B$3*10^12-$A45),$A45,$A46))</f>
        <v>0</v>
      </c>
      <c r="C45" s="0" t="n">
        <f aca="false">IF(IF((C$3*10^12-$A46)*(C$3*10^12-$A45)*-1&lt;0,0,1)*IF(ABS(C$3*10^12-$A46)&gt;(C$3*10^12-$A45),$A45,$A46)=C46,0,IF((C$3*10^12-$A46)*(C$3*10^12-$A45)*-1&lt;0,0,1)*IF(ABS(C$3*10^12-$A46)&gt;(C$3*10^12-$A45),$A45,$A46))</f>
        <v>1000</v>
      </c>
      <c r="D45" s="0" t="n">
        <f aca="false">IF(IF((D$3*10^12-$A46)*(D$3*10^12-$A45)*-1&lt;0,0,1)*IF(ABS(D$3*10^12-$A46)&gt;(D$3*10^12-$A45),$A45,$A46)=D46,0,IF((D$3*10^12-$A46)*(D$3*10^12-$A45)*-1&lt;0,0,1)*IF(ABS(D$3*10^12-$A46)&gt;(D$3*10^12-$A45),$A45,$A46))</f>
        <v>0</v>
      </c>
      <c r="E45" s="0" t="n">
        <f aca="false">IF(IF((E$3*10^12-$A46)*(E$3*10^12-$A45)*-1&lt;0,0,1)*IF(ABS(E$3*10^12-$A46)&gt;(E$3*10^12-$A45),$A45,$A46)=E46,0,IF((E$3*10^12-$A46)*(E$3*10^12-$A45)*-1&lt;0,0,1)*IF(ABS(E$3*10^12-$A46)&gt;(E$3*10^12-$A45),$A45,$A46))</f>
        <v>0</v>
      </c>
      <c r="F45" s="0" t="n">
        <f aca="false">IF(IF((F$3*10^12-$A46)*(F$3*10^12-$A45)*-1&lt;0,0,1)*IF(ABS(F$3*10^12-$A46)&gt;(F$3*10^12-$A45),$A45,$A46)=F46,0,IF((F$3*10^12-$A46)*(F$3*10^12-$A45)*-1&lt;0,0,1)*IF(ABS(F$3*10^12-$A46)&gt;(F$3*10^12-$A45),$A45,$A46))</f>
        <v>0</v>
      </c>
      <c r="G45" s="0" t="n">
        <f aca="false">IF(IF((G$3*10^12-$A46)*(G$3*10^12-$A45)*-1&lt;0,0,1)*IF(ABS(G$3*10^12-$A46)&gt;(G$3*10^12-$A45),$A45,$A46)=G46,0,IF((G$3*10^12-$A46)*(G$3*10^12-$A45)*-1&lt;0,0,1)*IF(ABS(G$3*10^12-$A46)&gt;(G$3*10^12-$A45),$A45,$A46))</f>
        <v>0</v>
      </c>
      <c r="H45" s="0" t="n">
        <f aca="false">IF(IF((H$3*10^12-$A46)*(H$3*10^12-$A45)*-1&lt;0,0,1)*IF(ABS(H$3*10^12-$A46)&gt;(H$3*10^12-$A45),$A45,$A46)=H46,0,IF((H$3*10^12-$A46)*(H$3*10^12-$A45)*-1&lt;0,0,1)*IF(ABS(H$3*10^12-$A46)&gt;(H$3*10^12-$A45),$A45,$A46))</f>
        <v>0</v>
      </c>
      <c r="I45" s="0" t="n">
        <f aca="false">IF(IF((I$3*10^12-$A46)*(I$3*10^12-$A45)*-1&lt;0,0,1)*IF(ABS(I$3*10^12-$A46)&gt;(I$3*10^12-$A45),$A45,$A46)=I46,0,IF((I$3*10^12-$A46)*(I$3*10^12-$A45)*-1&lt;0,0,1)*IF(ABS(I$3*10^12-$A46)&gt;(I$3*10^12-$A45),$A45,$A46))</f>
        <v>0</v>
      </c>
      <c r="J45" s="0" t="n">
        <f aca="false">IF(IF((J$3*10^12-$A46)*(J$3*10^12-$A45)*-1&lt;0,0,1)*IF(ABS(J$3*10^12-$A46)&gt;(J$3*10^12-$A45),$A45,$A46)=J46,0,IF((J$3*10^12-$A46)*(J$3*10^12-$A45)*-1&lt;0,0,1)*IF(ABS(J$3*10^12-$A46)&gt;(J$3*10^12-$A45),$A45,$A46))</f>
        <v>0</v>
      </c>
      <c r="K45" s="0" t="n">
        <f aca="false">IF(IF((K$3*10^12-$A46)*(K$3*10^12-$A45)*-1&lt;0,0,1)*IF(ABS(K$3*10^12-$A46)&gt;(K$3*10^12-$A45),$A45,$A46)=K46,0,IF((K$3*10^12-$A46)*(K$3*10^12-$A45)*-1&lt;0,0,1)*IF(ABS(K$3*10^12-$A46)&gt;(K$3*10^12-$A45),$A45,$A46))</f>
        <v>0</v>
      </c>
      <c r="L45" s="0" t="n">
        <f aca="false">IF(IF((L$3*10^12-$A46)*(L$3*10^12-$A45)*-1&lt;0,0,1)*IF(ABS(L$3*10^12-$A46)&gt;(L$3*10^12-$A45),$A45,$A46)=L46,0,IF((L$3*10^12-$A46)*(L$3*10^12-$A45)*-1&lt;0,0,1)*IF(ABS(L$3*10^12-$A46)&gt;(L$3*10^12-$A45),$A45,$A46))</f>
        <v>0</v>
      </c>
      <c r="M45" s="0" t="n">
        <f aca="false">IF(IF((M$3*10^12-$A46)*(M$3*10^12-$A45)*-1&lt;0,0,1)*IF(ABS(M$3*10^12-$A46)&gt;(M$3*10^12-$A45),$A45,$A46)=M46,0,IF((M$3*10^12-$A46)*(M$3*10^12-$A45)*-1&lt;0,0,1)*IF(ABS(M$3*10^12-$A46)&gt;(M$3*10^12-$A45),$A45,$A46))</f>
        <v>0</v>
      </c>
      <c r="N45" s="0" t="e">
        <f aca="false">IF(IF((N$3*10^12-$A46)*(N$3*10^12-$A45)*-1&lt;0,0,1)*IF(ABS(N$3*10^12-$A46)&gt;(N$3*10^12-$A45),$A45,$A46)=N46,0,IF((N$3*10^12-$A46)*(N$3*10^12-$A45)*-1&lt;0,0,1)*IF(ABS(N$3*10^12-$A46)&gt;(N$3*10^12-$A45),$A45,$A46))</f>
        <v>#VALUE!</v>
      </c>
    </row>
    <row r="46" customFormat="false" ht="12.75" hidden="false" customHeight="false" outlineLevel="0" collapsed="false">
      <c r="A46" s="0" t="n">
        <f aca="false">A34*10</f>
        <v>1000</v>
      </c>
      <c r="B46" s="0" t="n">
        <f aca="false">IF(IF((B$3*10^12-$A47)*(B$3*10^12-$A46)*-1&lt;0,0,1)*IF(ABS(B$3*10^12-$A47)&gt;(B$3*10^12-$A46),$A46,$A47)=B47,0,IF((B$3*10^12-$A47)*(B$3*10^12-$A46)*-1&lt;0,0,1)*IF(ABS(B$3*10^12-$A47)&gt;(B$3*10^12-$A46),$A46,$A47))</f>
        <v>0</v>
      </c>
      <c r="C46" s="0" t="n">
        <f aca="false">IF(IF((C$3*10^12-$A47)*(C$3*10^12-$A46)*-1&lt;0,0,1)*IF(ABS(C$3*10^12-$A47)&gt;(C$3*10^12-$A46),$A46,$A47)=C47,0,IF((C$3*10^12-$A47)*(C$3*10^12-$A46)*-1&lt;0,0,1)*IF(ABS(C$3*10^12-$A47)&gt;(C$3*10^12-$A46),$A46,$A47))</f>
        <v>0</v>
      </c>
      <c r="D46" s="0" t="n">
        <f aca="false">IF(IF((D$3*10^12-$A47)*(D$3*10^12-$A46)*-1&lt;0,0,1)*IF(ABS(D$3*10^12-$A47)&gt;(D$3*10^12-$A46),$A46,$A47)=D47,0,IF((D$3*10^12-$A47)*(D$3*10^12-$A46)*-1&lt;0,0,1)*IF(ABS(D$3*10^12-$A47)&gt;(D$3*10^12-$A46),$A46,$A47))</f>
        <v>0</v>
      </c>
      <c r="E46" s="0" t="n">
        <f aca="false">IF(IF((E$3*10^12-$A47)*(E$3*10^12-$A46)*-1&lt;0,0,1)*IF(ABS(E$3*10^12-$A47)&gt;(E$3*10^12-$A46),$A46,$A47)=E47,0,IF((E$3*10^12-$A47)*(E$3*10^12-$A46)*-1&lt;0,0,1)*IF(ABS(E$3*10^12-$A47)&gt;(E$3*10^12-$A46),$A46,$A47))</f>
        <v>0</v>
      </c>
      <c r="F46" s="0" t="n">
        <f aca="false">IF(IF((F$3*10^12-$A47)*(F$3*10^12-$A46)*-1&lt;0,0,1)*IF(ABS(F$3*10^12-$A47)&gt;(F$3*10^12-$A46),$A46,$A47)=F47,0,IF((F$3*10^12-$A47)*(F$3*10^12-$A46)*-1&lt;0,0,1)*IF(ABS(F$3*10^12-$A47)&gt;(F$3*10^12-$A46),$A46,$A47))</f>
        <v>0</v>
      </c>
      <c r="G46" s="0" t="n">
        <f aca="false">IF(IF((G$3*10^12-$A47)*(G$3*10^12-$A46)*-1&lt;0,0,1)*IF(ABS(G$3*10^12-$A47)&gt;(G$3*10^12-$A46),$A46,$A47)=G47,0,IF((G$3*10^12-$A47)*(G$3*10^12-$A46)*-1&lt;0,0,1)*IF(ABS(G$3*10^12-$A47)&gt;(G$3*10^12-$A46),$A46,$A47))</f>
        <v>0</v>
      </c>
      <c r="H46" s="0" t="n">
        <f aca="false">IF(IF((H$3*10^12-$A47)*(H$3*10^12-$A46)*-1&lt;0,0,1)*IF(ABS(H$3*10^12-$A47)&gt;(H$3*10^12-$A46),$A46,$A47)=H47,0,IF((H$3*10^12-$A47)*(H$3*10^12-$A46)*-1&lt;0,0,1)*IF(ABS(H$3*10^12-$A47)&gt;(H$3*10^12-$A46),$A46,$A47))</f>
        <v>0</v>
      </c>
      <c r="I46" s="0" t="n">
        <f aca="false">IF(IF((I$3*10^12-$A47)*(I$3*10^12-$A46)*-1&lt;0,0,1)*IF(ABS(I$3*10^12-$A47)&gt;(I$3*10^12-$A46),$A46,$A47)=I47,0,IF((I$3*10^12-$A47)*(I$3*10^12-$A46)*-1&lt;0,0,1)*IF(ABS(I$3*10^12-$A47)&gt;(I$3*10^12-$A46),$A46,$A47))</f>
        <v>0</v>
      </c>
      <c r="J46" s="0" t="n">
        <f aca="false">IF(IF((J$3*10^12-$A47)*(J$3*10^12-$A46)*-1&lt;0,0,1)*IF(ABS(J$3*10^12-$A47)&gt;(J$3*10^12-$A46),$A46,$A47)=J47,0,IF((J$3*10^12-$A47)*(J$3*10^12-$A46)*-1&lt;0,0,1)*IF(ABS(J$3*10^12-$A47)&gt;(J$3*10^12-$A46),$A46,$A47))</f>
        <v>0</v>
      </c>
      <c r="K46" s="0" t="n">
        <f aca="false">IF(IF((K$3*10^12-$A47)*(K$3*10^12-$A46)*-1&lt;0,0,1)*IF(ABS(K$3*10^12-$A47)&gt;(K$3*10^12-$A46),$A46,$A47)=K47,0,IF((K$3*10^12-$A47)*(K$3*10^12-$A46)*-1&lt;0,0,1)*IF(ABS(K$3*10^12-$A47)&gt;(K$3*10^12-$A46),$A46,$A47))</f>
        <v>0</v>
      </c>
      <c r="L46" s="0" t="n">
        <f aca="false">IF(IF((L$3*10^12-$A47)*(L$3*10^12-$A46)*-1&lt;0,0,1)*IF(ABS(L$3*10^12-$A47)&gt;(L$3*10^12-$A46),$A46,$A47)=L47,0,IF((L$3*10^12-$A47)*(L$3*10^12-$A46)*-1&lt;0,0,1)*IF(ABS(L$3*10^12-$A47)&gt;(L$3*10^12-$A46),$A46,$A47))</f>
        <v>0</v>
      </c>
      <c r="M46" s="0" t="n">
        <f aca="false">IF(IF((M$3*10^12-$A47)*(M$3*10^12-$A46)*-1&lt;0,0,1)*IF(ABS(M$3*10^12-$A47)&gt;(M$3*10^12-$A46),$A46,$A47)=M47,0,IF((M$3*10^12-$A47)*(M$3*10^12-$A46)*-1&lt;0,0,1)*IF(ABS(M$3*10^12-$A47)&gt;(M$3*10^12-$A46),$A46,$A47))</f>
        <v>0</v>
      </c>
      <c r="N46" s="0" t="e">
        <f aca="false">IF(IF((N$3*10^12-$A47)*(N$3*10^12-$A46)*-1&lt;0,0,1)*IF(ABS(N$3*10^12-$A47)&gt;(N$3*10^12-$A46),$A46,$A47)=N47,0,IF((N$3*10^12-$A47)*(N$3*10^12-$A46)*-1&lt;0,0,1)*IF(ABS(N$3*10^12-$A47)&gt;(N$3*10^12-$A46),$A46,$A47))</f>
        <v>#VALUE!</v>
      </c>
    </row>
    <row r="47" customFormat="false" ht="12.75" hidden="false" customHeight="false" outlineLevel="0" collapsed="false">
      <c r="A47" s="0" t="n">
        <f aca="false">A35*10</f>
        <v>1200</v>
      </c>
      <c r="B47" s="0" t="n">
        <f aca="false">IF(IF((B$3*10^12-$A48)*(B$3*10^12-$A47)*-1&lt;0,0,1)*IF(ABS(B$3*10^12-$A48)&gt;(B$3*10^12-$A47),$A47,$A48)=B48,0,IF((B$3*10^12-$A48)*(B$3*10^12-$A47)*-1&lt;0,0,1)*IF(ABS(B$3*10^12-$A48)&gt;(B$3*10^12-$A47),$A47,$A48))</f>
        <v>0</v>
      </c>
      <c r="C47" s="0" t="n">
        <f aca="false">IF(IF((C$3*10^12-$A48)*(C$3*10^12-$A47)*-1&lt;0,0,1)*IF(ABS(C$3*10^12-$A48)&gt;(C$3*10^12-$A47),$A47,$A48)=C48,0,IF((C$3*10^12-$A48)*(C$3*10^12-$A47)*-1&lt;0,0,1)*IF(ABS(C$3*10^12-$A48)&gt;(C$3*10^12-$A47),$A47,$A48))</f>
        <v>0</v>
      </c>
      <c r="D47" s="0" t="n">
        <f aca="false">IF(IF((D$3*10^12-$A48)*(D$3*10^12-$A47)*-1&lt;0,0,1)*IF(ABS(D$3*10^12-$A48)&gt;(D$3*10^12-$A47),$A47,$A48)=D48,0,IF((D$3*10^12-$A48)*(D$3*10^12-$A47)*-1&lt;0,0,1)*IF(ABS(D$3*10^12-$A48)&gt;(D$3*10^12-$A47),$A47,$A48))</f>
        <v>0</v>
      </c>
      <c r="E47" s="0" t="n">
        <f aca="false">IF(IF((E$3*10^12-$A48)*(E$3*10^12-$A47)*-1&lt;0,0,1)*IF(ABS(E$3*10^12-$A48)&gt;(E$3*10^12-$A47),$A47,$A48)=E48,0,IF((E$3*10^12-$A48)*(E$3*10^12-$A47)*-1&lt;0,0,1)*IF(ABS(E$3*10^12-$A48)&gt;(E$3*10^12-$A47),$A47,$A48))</f>
        <v>0</v>
      </c>
      <c r="F47" s="0" t="n">
        <f aca="false">IF(IF((F$3*10^12-$A48)*(F$3*10^12-$A47)*-1&lt;0,0,1)*IF(ABS(F$3*10^12-$A48)&gt;(F$3*10^12-$A47),$A47,$A48)=F48,0,IF((F$3*10^12-$A48)*(F$3*10^12-$A47)*-1&lt;0,0,1)*IF(ABS(F$3*10^12-$A48)&gt;(F$3*10^12-$A47),$A47,$A48))</f>
        <v>0</v>
      </c>
      <c r="G47" s="0" t="n">
        <f aca="false">IF(IF((G$3*10^12-$A48)*(G$3*10^12-$A47)*-1&lt;0,0,1)*IF(ABS(G$3*10^12-$A48)&gt;(G$3*10^12-$A47),$A47,$A48)=G48,0,IF((G$3*10^12-$A48)*(G$3*10^12-$A47)*-1&lt;0,0,1)*IF(ABS(G$3*10^12-$A48)&gt;(G$3*10^12-$A47),$A47,$A48))</f>
        <v>0</v>
      </c>
      <c r="H47" s="0" t="n">
        <f aca="false">IF(IF((H$3*10^12-$A48)*(H$3*10^12-$A47)*-1&lt;0,0,1)*IF(ABS(H$3*10^12-$A48)&gt;(H$3*10^12-$A47),$A47,$A48)=H48,0,IF((H$3*10^12-$A48)*(H$3*10^12-$A47)*-1&lt;0,0,1)*IF(ABS(H$3*10^12-$A48)&gt;(H$3*10^12-$A47),$A47,$A48))</f>
        <v>0</v>
      </c>
      <c r="I47" s="0" t="n">
        <f aca="false">IF(IF((I$3*10^12-$A48)*(I$3*10^12-$A47)*-1&lt;0,0,1)*IF(ABS(I$3*10^12-$A48)&gt;(I$3*10^12-$A47),$A47,$A48)=I48,0,IF((I$3*10^12-$A48)*(I$3*10^12-$A47)*-1&lt;0,0,1)*IF(ABS(I$3*10^12-$A48)&gt;(I$3*10^12-$A47),$A47,$A48))</f>
        <v>0</v>
      </c>
      <c r="J47" s="0" t="n">
        <f aca="false">IF(IF((J$3*10^12-$A48)*(J$3*10^12-$A47)*-1&lt;0,0,1)*IF(ABS(J$3*10^12-$A48)&gt;(J$3*10^12-$A47),$A47,$A48)=J48,0,IF((J$3*10^12-$A48)*(J$3*10^12-$A47)*-1&lt;0,0,1)*IF(ABS(J$3*10^12-$A48)&gt;(J$3*10^12-$A47),$A47,$A48))</f>
        <v>0</v>
      </c>
      <c r="K47" s="0" t="n">
        <f aca="false">IF(IF((K$3*10^12-$A48)*(K$3*10^12-$A47)*-1&lt;0,0,1)*IF(ABS(K$3*10^12-$A48)&gt;(K$3*10^12-$A47),$A47,$A48)=K48,0,IF((K$3*10^12-$A48)*(K$3*10^12-$A47)*-1&lt;0,0,1)*IF(ABS(K$3*10^12-$A48)&gt;(K$3*10^12-$A47),$A47,$A48))</f>
        <v>0</v>
      </c>
      <c r="L47" s="0" t="n">
        <f aca="false">IF(IF((L$3*10^12-$A48)*(L$3*10^12-$A47)*-1&lt;0,0,1)*IF(ABS(L$3*10^12-$A48)&gt;(L$3*10^12-$A47),$A47,$A48)=L48,0,IF((L$3*10^12-$A48)*(L$3*10^12-$A47)*-1&lt;0,0,1)*IF(ABS(L$3*10^12-$A48)&gt;(L$3*10^12-$A47),$A47,$A48))</f>
        <v>0</v>
      </c>
      <c r="M47" s="0" t="n">
        <f aca="false">IF(IF((M$3*10^12-$A48)*(M$3*10^12-$A47)*-1&lt;0,0,1)*IF(ABS(M$3*10^12-$A48)&gt;(M$3*10^12-$A47),$A47,$A48)=M48,0,IF((M$3*10^12-$A48)*(M$3*10^12-$A47)*-1&lt;0,0,1)*IF(ABS(M$3*10^12-$A48)&gt;(M$3*10^12-$A47),$A47,$A48))</f>
        <v>0</v>
      </c>
      <c r="N47" s="0" t="e">
        <f aca="false">IF(IF((N$3*10^12-$A48)*(N$3*10^12-$A47)*-1&lt;0,0,1)*IF(ABS(N$3*10^12-$A48)&gt;(N$3*10^12-$A47),$A47,$A48)=N48,0,IF((N$3*10^12-$A48)*(N$3*10^12-$A47)*-1&lt;0,0,1)*IF(ABS(N$3*10^12-$A48)&gt;(N$3*10^12-$A47),$A47,$A48))</f>
        <v>#VALUE!</v>
      </c>
    </row>
    <row r="48" customFormat="false" ht="12.75" hidden="false" customHeight="false" outlineLevel="0" collapsed="false">
      <c r="A48" s="0" t="n">
        <f aca="false">A36*10</f>
        <v>1500</v>
      </c>
      <c r="B48" s="0" t="n">
        <f aca="false">IF(IF((B$3*10^12-$A49)*(B$3*10^12-$A48)*-1&lt;0,0,1)*IF(ABS(B$3*10^12-$A49)&gt;(B$3*10^12-$A48),$A48,$A49)=B49,0,IF((B$3*10^12-$A49)*(B$3*10^12-$A48)*-1&lt;0,0,1)*IF(ABS(B$3*10^12-$A49)&gt;(B$3*10^12-$A48),$A48,$A49))</f>
        <v>0</v>
      </c>
      <c r="C48" s="0" t="n">
        <f aca="false">IF(IF((C$3*10^12-$A49)*(C$3*10^12-$A48)*-1&lt;0,0,1)*IF(ABS(C$3*10^12-$A49)&gt;(C$3*10^12-$A48),$A48,$A49)=C49,0,IF((C$3*10^12-$A49)*(C$3*10^12-$A48)*-1&lt;0,0,1)*IF(ABS(C$3*10^12-$A49)&gt;(C$3*10^12-$A48),$A48,$A49))</f>
        <v>0</v>
      </c>
      <c r="D48" s="0" t="n">
        <f aca="false">IF(IF((D$3*10^12-$A49)*(D$3*10^12-$A48)*-1&lt;0,0,1)*IF(ABS(D$3*10^12-$A49)&gt;(D$3*10^12-$A48),$A48,$A49)=D49,0,IF((D$3*10^12-$A49)*(D$3*10^12-$A48)*-1&lt;0,0,1)*IF(ABS(D$3*10^12-$A49)&gt;(D$3*10^12-$A48),$A48,$A49))</f>
        <v>0</v>
      </c>
      <c r="E48" s="0" t="n">
        <f aca="false">IF(IF((E$3*10^12-$A49)*(E$3*10^12-$A48)*-1&lt;0,0,1)*IF(ABS(E$3*10^12-$A49)&gt;(E$3*10^12-$A48),$A48,$A49)=E49,0,IF((E$3*10^12-$A49)*(E$3*10^12-$A48)*-1&lt;0,0,1)*IF(ABS(E$3*10^12-$A49)&gt;(E$3*10^12-$A48),$A48,$A49))</f>
        <v>0</v>
      </c>
      <c r="F48" s="0" t="n">
        <f aca="false">IF(IF((F$3*10^12-$A49)*(F$3*10^12-$A48)*-1&lt;0,0,1)*IF(ABS(F$3*10^12-$A49)&gt;(F$3*10^12-$A48),$A48,$A49)=F49,0,IF((F$3*10^12-$A49)*(F$3*10^12-$A48)*-1&lt;0,0,1)*IF(ABS(F$3*10^12-$A49)&gt;(F$3*10^12-$A48),$A48,$A49))</f>
        <v>0</v>
      </c>
      <c r="G48" s="0" t="n">
        <f aca="false">IF(IF((G$3*10^12-$A49)*(G$3*10^12-$A48)*-1&lt;0,0,1)*IF(ABS(G$3*10^12-$A49)&gt;(G$3*10^12-$A48),$A48,$A49)=G49,0,IF((G$3*10^12-$A49)*(G$3*10^12-$A48)*-1&lt;0,0,1)*IF(ABS(G$3*10^12-$A49)&gt;(G$3*10^12-$A48),$A48,$A49))</f>
        <v>0</v>
      </c>
      <c r="H48" s="0" t="n">
        <f aca="false">IF(IF((H$3*10^12-$A49)*(H$3*10^12-$A48)*-1&lt;0,0,1)*IF(ABS(H$3*10^12-$A49)&gt;(H$3*10^12-$A48),$A48,$A49)=H49,0,IF((H$3*10^12-$A49)*(H$3*10^12-$A48)*-1&lt;0,0,1)*IF(ABS(H$3*10^12-$A49)&gt;(H$3*10^12-$A48),$A48,$A49))</f>
        <v>0</v>
      </c>
      <c r="I48" s="0" t="n">
        <f aca="false">IF(IF((I$3*10^12-$A49)*(I$3*10^12-$A48)*-1&lt;0,0,1)*IF(ABS(I$3*10^12-$A49)&gt;(I$3*10^12-$A48),$A48,$A49)=I49,0,IF((I$3*10^12-$A49)*(I$3*10^12-$A48)*-1&lt;0,0,1)*IF(ABS(I$3*10^12-$A49)&gt;(I$3*10^12-$A48),$A48,$A49))</f>
        <v>0</v>
      </c>
      <c r="J48" s="0" t="n">
        <f aca="false">IF(IF((J$3*10^12-$A49)*(J$3*10^12-$A48)*-1&lt;0,0,1)*IF(ABS(J$3*10^12-$A49)&gt;(J$3*10^12-$A48),$A48,$A49)=J49,0,IF((J$3*10^12-$A49)*(J$3*10^12-$A48)*-1&lt;0,0,1)*IF(ABS(J$3*10^12-$A49)&gt;(J$3*10^12-$A48),$A48,$A49))</f>
        <v>0</v>
      </c>
      <c r="K48" s="0" t="n">
        <f aca="false">IF(IF((K$3*10^12-$A49)*(K$3*10^12-$A48)*-1&lt;0,0,1)*IF(ABS(K$3*10^12-$A49)&gt;(K$3*10^12-$A48),$A48,$A49)=K49,0,IF((K$3*10^12-$A49)*(K$3*10^12-$A48)*-1&lt;0,0,1)*IF(ABS(K$3*10^12-$A49)&gt;(K$3*10^12-$A48),$A48,$A49))</f>
        <v>0</v>
      </c>
      <c r="L48" s="0" t="n">
        <f aca="false">IF(IF((L$3*10^12-$A49)*(L$3*10^12-$A48)*-1&lt;0,0,1)*IF(ABS(L$3*10^12-$A49)&gt;(L$3*10^12-$A48),$A48,$A49)=L49,0,IF((L$3*10^12-$A49)*(L$3*10^12-$A48)*-1&lt;0,0,1)*IF(ABS(L$3*10^12-$A49)&gt;(L$3*10^12-$A48),$A48,$A49))</f>
        <v>0</v>
      </c>
      <c r="M48" s="0" t="n">
        <f aca="false">IF(IF((M$3*10^12-$A49)*(M$3*10^12-$A48)*-1&lt;0,0,1)*IF(ABS(M$3*10^12-$A49)&gt;(M$3*10^12-$A48),$A48,$A49)=M49,0,IF((M$3*10^12-$A49)*(M$3*10^12-$A48)*-1&lt;0,0,1)*IF(ABS(M$3*10^12-$A49)&gt;(M$3*10^12-$A48),$A48,$A49))</f>
        <v>0</v>
      </c>
      <c r="N48" s="0" t="e">
        <f aca="false">IF(IF((N$3*10^12-$A49)*(N$3*10^12-$A48)*-1&lt;0,0,1)*IF(ABS(N$3*10^12-$A49)&gt;(N$3*10^12-$A48),$A48,$A49)=N49,0,IF((N$3*10^12-$A49)*(N$3*10^12-$A48)*-1&lt;0,0,1)*IF(ABS(N$3*10^12-$A49)&gt;(N$3*10^12-$A48),$A48,$A49))</f>
        <v>#VALUE!</v>
      </c>
    </row>
    <row r="49" customFormat="false" ht="12.75" hidden="false" customHeight="false" outlineLevel="0" collapsed="false">
      <c r="A49" s="0" t="n">
        <f aca="false">A37*10</f>
        <v>1800</v>
      </c>
      <c r="B49" s="0" t="n">
        <f aca="false">IF(IF((B$3*10^12-$A50)*(B$3*10^12-$A49)*-1&lt;0,0,1)*IF(ABS(B$3*10^12-$A50)&gt;(B$3*10^12-$A49),$A49,$A50)=B50,0,IF((B$3*10^12-$A50)*(B$3*10^12-$A49)*-1&lt;0,0,1)*IF(ABS(B$3*10^12-$A50)&gt;(B$3*10^12-$A49),$A49,$A50))</f>
        <v>0</v>
      </c>
      <c r="C49" s="0" t="n">
        <f aca="false">IF(IF((C$3*10^12-$A50)*(C$3*10^12-$A49)*-1&lt;0,0,1)*IF(ABS(C$3*10^12-$A50)&gt;(C$3*10^12-$A49),$A49,$A50)=C50,0,IF((C$3*10^12-$A50)*(C$3*10^12-$A49)*-1&lt;0,0,1)*IF(ABS(C$3*10^12-$A50)&gt;(C$3*10^12-$A49),$A49,$A50))</f>
        <v>0</v>
      </c>
      <c r="D49" s="0" t="n">
        <f aca="false">IF(IF((D$3*10^12-$A50)*(D$3*10^12-$A49)*-1&lt;0,0,1)*IF(ABS(D$3*10^12-$A50)&gt;(D$3*10^12-$A49),$A49,$A50)=D50,0,IF((D$3*10^12-$A50)*(D$3*10^12-$A49)*-1&lt;0,0,1)*IF(ABS(D$3*10^12-$A50)&gt;(D$3*10^12-$A49),$A49,$A50))</f>
        <v>0</v>
      </c>
      <c r="E49" s="0" t="n">
        <f aca="false">IF(IF((E$3*10^12-$A50)*(E$3*10^12-$A49)*-1&lt;0,0,1)*IF(ABS(E$3*10^12-$A50)&gt;(E$3*10^12-$A49),$A49,$A50)=E50,0,IF((E$3*10^12-$A50)*(E$3*10^12-$A49)*-1&lt;0,0,1)*IF(ABS(E$3*10^12-$A50)&gt;(E$3*10^12-$A49),$A49,$A50))</f>
        <v>0</v>
      </c>
      <c r="F49" s="0" t="n">
        <f aca="false">IF(IF((F$3*10^12-$A50)*(F$3*10^12-$A49)*-1&lt;0,0,1)*IF(ABS(F$3*10^12-$A50)&gt;(F$3*10^12-$A49),$A49,$A50)=F50,0,IF((F$3*10^12-$A50)*(F$3*10^12-$A49)*-1&lt;0,0,1)*IF(ABS(F$3*10^12-$A50)&gt;(F$3*10^12-$A49),$A49,$A50))</f>
        <v>0</v>
      </c>
      <c r="G49" s="0" t="n">
        <f aca="false">IF(IF((G$3*10^12-$A50)*(G$3*10^12-$A49)*-1&lt;0,0,1)*IF(ABS(G$3*10^12-$A50)&gt;(G$3*10^12-$A49),$A49,$A50)=G50,0,IF((G$3*10^12-$A50)*(G$3*10^12-$A49)*-1&lt;0,0,1)*IF(ABS(G$3*10^12-$A50)&gt;(G$3*10^12-$A49),$A49,$A50))</f>
        <v>0</v>
      </c>
      <c r="H49" s="0" t="n">
        <f aca="false">IF(IF((H$3*10^12-$A50)*(H$3*10^12-$A49)*-1&lt;0,0,1)*IF(ABS(H$3*10^12-$A50)&gt;(H$3*10^12-$A49),$A49,$A50)=H50,0,IF((H$3*10^12-$A50)*(H$3*10^12-$A49)*-1&lt;0,0,1)*IF(ABS(H$3*10^12-$A50)&gt;(H$3*10^12-$A49),$A49,$A50))</f>
        <v>0</v>
      </c>
      <c r="I49" s="0" t="n">
        <f aca="false">IF(IF((I$3*10^12-$A50)*(I$3*10^12-$A49)*-1&lt;0,0,1)*IF(ABS(I$3*10^12-$A50)&gt;(I$3*10^12-$A49),$A49,$A50)=I50,0,IF((I$3*10^12-$A50)*(I$3*10^12-$A49)*-1&lt;0,0,1)*IF(ABS(I$3*10^12-$A50)&gt;(I$3*10^12-$A49),$A49,$A50))</f>
        <v>0</v>
      </c>
      <c r="J49" s="0" t="n">
        <f aca="false">IF(IF((J$3*10^12-$A50)*(J$3*10^12-$A49)*-1&lt;0,0,1)*IF(ABS(J$3*10^12-$A50)&gt;(J$3*10^12-$A49),$A49,$A50)=J50,0,IF((J$3*10^12-$A50)*(J$3*10^12-$A49)*-1&lt;0,0,1)*IF(ABS(J$3*10^12-$A50)&gt;(J$3*10^12-$A49),$A49,$A50))</f>
        <v>0</v>
      </c>
      <c r="K49" s="0" t="n">
        <f aca="false">IF(IF((K$3*10^12-$A50)*(K$3*10^12-$A49)*-1&lt;0,0,1)*IF(ABS(K$3*10^12-$A50)&gt;(K$3*10^12-$A49),$A49,$A50)=K50,0,IF((K$3*10^12-$A50)*(K$3*10^12-$A49)*-1&lt;0,0,1)*IF(ABS(K$3*10^12-$A50)&gt;(K$3*10^12-$A49),$A49,$A50))</f>
        <v>0</v>
      </c>
      <c r="L49" s="0" t="n">
        <f aca="false">IF(IF((L$3*10^12-$A50)*(L$3*10^12-$A49)*-1&lt;0,0,1)*IF(ABS(L$3*10^12-$A50)&gt;(L$3*10^12-$A49),$A49,$A50)=L50,0,IF((L$3*10^12-$A50)*(L$3*10^12-$A49)*-1&lt;0,0,1)*IF(ABS(L$3*10^12-$A50)&gt;(L$3*10^12-$A49),$A49,$A50))</f>
        <v>0</v>
      </c>
      <c r="M49" s="0" t="n">
        <f aca="false">IF(IF((M$3*10^12-$A50)*(M$3*10^12-$A49)*-1&lt;0,0,1)*IF(ABS(M$3*10^12-$A50)&gt;(M$3*10^12-$A49),$A49,$A50)=M50,0,IF((M$3*10^12-$A50)*(M$3*10^12-$A49)*-1&lt;0,0,1)*IF(ABS(M$3*10^12-$A50)&gt;(M$3*10^12-$A49),$A49,$A50))</f>
        <v>0</v>
      </c>
      <c r="N49" s="0" t="e">
        <f aca="false">IF(IF((N$3*10^12-$A50)*(N$3*10^12-$A49)*-1&lt;0,0,1)*IF(ABS(N$3*10^12-$A50)&gt;(N$3*10^12-$A49),$A49,$A50)=N50,0,IF((N$3*10^12-$A50)*(N$3*10^12-$A49)*-1&lt;0,0,1)*IF(ABS(N$3*10^12-$A50)&gt;(N$3*10^12-$A49),$A49,$A50))</f>
        <v>#VALUE!</v>
      </c>
    </row>
    <row r="50" customFormat="false" ht="12.75" hidden="false" customHeight="false" outlineLevel="0" collapsed="false">
      <c r="A50" s="0" t="n">
        <f aca="false">A38*10</f>
        <v>2200</v>
      </c>
      <c r="B50" s="0" t="n">
        <f aca="false">IF(IF((B$3*10^12-$A51)*(B$3*10^12-$A50)*-1&lt;0,0,1)*IF(ABS(B$3*10^12-$A51)&gt;(B$3*10^12-$A50),$A50,$A51)=B51,0,IF((B$3*10^12-$A51)*(B$3*10^12-$A50)*-1&lt;0,0,1)*IF(ABS(B$3*10^12-$A51)&gt;(B$3*10^12-$A50),$A50,$A51))</f>
        <v>0</v>
      </c>
      <c r="C50" s="0" t="n">
        <f aca="false">IF(IF((C$3*10^12-$A51)*(C$3*10^12-$A50)*-1&lt;0,0,1)*IF(ABS(C$3*10^12-$A51)&gt;(C$3*10^12-$A50),$A50,$A51)=C51,0,IF((C$3*10^12-$A51)*(C$3*10^12-$A50)*-1&lt;0,0,1)*IF(ABS(C$3*10^12-$A51)&gt;(C$3*10^12-$A50),$A50,$A51))</f>
        <v>0</v>
      </c>
      <c r="D50" s="0" t="n">
        <f aca="false">IF(IF((D$3*10^12-$A51)*(D$3*10^12-$A50)*-1&lt;0,0,1)*IF(ABS(D$3*10^12-$A51)&gt;(D$3*10^12-$A50),$A50,$A51)=D51,0,IF((D$3*10^12-$A51)*(D$3*10^12-$A50)*-1&lt;0,0,1)*IF(ABS(D$3*10^12-$A51)&gt;(D$3*10^12-$A50),$A50,$A51))</f>
        <v>0</v>
      </c>
      <c r="E50" s="0" t="n">
        <f aca="false">IF(IF((E$3*10^12-$A51)*(E$3*10^12-$A50)*-1&lt;0,0,1)*IF(ABS(E$3*10^12-$A51)&gt;(E$3*10^12-$A50),$A50,$A51)=E51,0,IF((E$3*10^12-$A51)*(E$3*10^12-$A50)*-1&lt;0,0,1)*IF(ABS(E$3*10^12-$A51)&gt;(E$3*10^12-$A50),$A50,$A51))</f>
        <v>0</v>
      </c>
      <c r="F50" s="0" t="n">
        <f aca="false">IF(IF((F$3*10^12-$A51)*(F$3*10^12-$A50)*-1&lt;0,0,1)*IF(ABS(F$3*10^12-$A51)&gt;(F$3*10^12-$A50),$A50,$A51)=F51,0,IF((F$3*10^12-$A51)*(F$3*10^12-$A50)*-1&lt;0,0,1)*IF(ABS(F$3*10^12-$A51)&gt;(F$3*10^12-$A50),$A50,$A51))</f>
        <v>0</v>
      </c>
      <c r="G50" s="0" t="n">
        <f aca="false">IF(IF((G$3*10^12-$A51)*(G$3*10^12-$A50)*-1&lt;0,0,1)*IF(ABS(G$3*10^12-$A51)&gt;(G$3*10^12-$A50),$A50,$A51)=G51,0,IF((G$3*10^12-$A51)*(G$3*10^12-$A50)*-1&lt;0,0,1)*IF(ABS(G$3*10^12-$A51)&gt;(G$3*10^12-$A50),$A50,$A51))</f>
        <v>0</v>
      </c>
      <c r="H50" s="0" t="n">
        <f aca="false">IF(IF((H$3*10^12-$A51)*(H$3*10^12-$A50)*-1&lt;0,0,1)*IF(ABS(H$3*10^12-$A51)&gt;(H$3*10^12-$A50),$A50,$A51)=H51,0,IF((H$3*10^12-$A51)*(H$3*10^12-$A50)*-1&lt;0,0,1)*IF(ABS(H$3*10^12-$A51)&gt;(H$3*10^12-$A50),$A50,$A51))</f>
        <v>0</v>
      </c>
      <c r="I50" s="0" t="n">
        <f aca="false">IF(IF((I$3*10^12-$A51)*(I$3*10^12-$A50)*-1&lt;0,0,1)*IF(ABS(I$3*10^12-$A51)&gt;(I$3*10^12-$A50),$A50,$A51)=I51,0,IF((I$3*10^12-$A51)*(I$3*10^12-$A50)*-1&lt;0,0,1)*IF(ABS(I$3*10^12-$A51)&gt;(I$3*10^12-$A50),$A50,$A51))</f>
        <v>0</v>
      </c>
      <c r="J50" s="0" t="n">
        <f aca="false">IF(IF((J$3*10^12-$A51)*(J$3*10^12-$A50)*-1&lt;0,0,1)*IF(ABS(J$3*10^12-$A51)&gt;(J$3*10^12-$A50),$A50,$A51)=J51,0,IF((J$3*10^12-$A51)*(J$3*10^12-$A50)*-1&lt;0,0,1)*IF(ABS(J$3*10^12-$A51)&gt;(J$3*10^12-$A50),$A50,$A51))</f>
        <v>0</v>
      </c>
      <c r="K50" s="0" t="n">
        <f aca="false">IF(IF((K$3*10^12-$A51)*(K$3*10^12-$A50)*-1&lt;0,0,1)*IF(ABS(K$3*10^12-$A51)&gt;(K$3*10^12-$A50),$A50,$A51)=K51,0,IF((K$3*10^12-$A51)*(K$3*10^12-$A50)*-1&lt;0,0,1)*IF(ABS(K$3*10^12-$A51)&gt;(K$3*10^12-$A50),$A50,$A51))</f>
        <v>0</v>
      </c>
      <c r="L50" s="0" t="n">
        <f aca="false">IF(IF((L$3*10^12-$A51)*(L$3*10^12-$A50)*-1&lt;0,0,1)*IF(ABS(L$3*10^12-$A51)&gt;(L$3*10^12-$A50),$A50,$A51)=L51,0,IF((L$3*10^12-$A51)*(L$3*10^12-$A50)*-1&lt;0,0,1)*IF(ABS(L$3*10^12-$A51)&gt;(L$3*10^12-$A50),$A50,$A51))</f>
        <v>0</v>
      </c>
      <c r="M50" s="0" t="n">
        <f aca="false">IF(IF((M$3*10^12-$A51)*(M$3*10^12-$A50)*-1&lt;0,0,1)*IF(ABS(M$3*10^12-$A51)&gt;(M$3*10^12-$A50),$A50,$A51)=M51,0,IF((M$3*10^12-$A51)*(M$3*10^12-$A50)*-1&lt;0,0,1)*IF(ABS(M$3*10^12-$A51)&gt;(M$3*10^12-$A50),$A50,$A51))</f>
        <v>0</v>
      </c>
      <c r="N50" s="0" t="e">
        <f aca="false">IF(IF((N$3*10^12-$A51)*(N$3*10^12-$A50)*-1&lt;0,0,1)*IF(ABS(N$3*10^12-$A51)&gt;(N$3*10^12-$A50),$A50,$A51)=N51,0,IF((N$3*10^12-$A51)*(N$3*10^12-$A50)*-1&lt;0,0,1)*IF(ABS(N$3*10^12-$A51)&gt;(N$3*10^12-$A50),$A50,$A51))</f>
        <v>#VALUE!</v>
      </c>
    </row>
    <row r="51" customFormat="false" ht="12.75" hidden="false" customHeight="false" outlineLevel="0" collapsed="false">
      <c r="A51" s="0" t="n">
        <f aca="false">A39*10</f>
        <v>2700</v>
      </c>
      <c r="B51" s="0" t="n">
        <f aca="false">IF(IF((B$3*10^12-$A52)*(B$3*10^12-$A51)*-1&lt;0,0,1)*IF(ABS(B$3*10^12-$A52)&gt;(B$3*10^12-$A51),$A51,$A52)=B52,0,IF((B$3*10^12-$A52)*(B$3*10^12-$A51)*-1&lt;0,0,1)*IF(ABS(B$3*10^12-$A52)&gt;(B$3*10^12-$A51),$A51,$A52))</f>
        <v>0</v>
      </c>
      <c r="C51" s="0" t="n">
        <f aca="false">IF(IF((C$3*10^12-$A52)*(C$3*10^12-$A51)*-1&lt;0,0,1)*IF(ABS(C$3*10^12-$A52)&gt;(C$3*10^12-$A51),$A51,$A52)=C52,0,IF((C$3*10^12-$A52)*(C$3*10^12-$A51)*-1&lt;0,0,1)*IF(ABS(C$3*10^12-$A52)&gt;(C$3*10^12-$A51),$A51,$A52))</f>
        <v>0</v>
      </c>
      <c r="D51" s="0" t="n">
        <f aca="false">IF(IF((D$3*10^12-$A52)*(D$3*10^12-$A51)*-1&lt;0,0,1)*IF(ABS(D$3*10^12-$A52)&gt;(D$3*10^12-$A51),$A51,$A52)=D52,0,IF((D$3*10^12-$A52)*(D$3*10^12-$A51)*-1&lt;0,0,1)*IF(ABS(D$3*10^12-$A52)&gt;(D$3*10^12-$A51),$A51,$A52))</f>
        <v>0</v>
      </c>
      <c r="E51" s="0" t="n">
        <f aca="false">IF(IF((E$3*10^12-$A52)*(E$3*10^12-$A51)*-1&lt;0,0,1)*IF(ABS(E$3*10^12-$A52)&gt;(E$3*10^12-$A51),$A51,$A52)=E52,0,IF((E$3*10^12-$A52)*(E$3*10^12-$A51)*-1&lt;0,0,1)*IF(ABS(E$3*10^12-$A52)&gt;(E$3*10^12-$A51),$A51,$A52))</f>
        <v>0</v>
      </c>
      <c r="F51" s="0" t="n">
        <f aca="false">IF(IF((F$3*10^12-$A52)*(F$3*10^12-$A51)*-1&lt;0,0,1)*IF(ABS(F$3*10^12-$A52)&gt;(F$3*10^12-$A51),$A51,$A52)=F52,0,IF((F$3*10^12-$A52)*(F$3*10^12-$A51)*-1&lt;0,0,1)*IF(ABS(F$3*10^12-$A52)&gt;(F$3*10^12-$A51),$A51,$A52))</f>
        <v>0</v>
      </c>
      <c r="G51" s="0" t="n">
        <f aca="false">IF(IF((G$3*10^12-$A52)*(G$3*10^12-$A51)*-1&lt;0,0,1)*IF(ABS(G$3*10^12-$A52)&gt;(G$3*10^12-$A51),$A51,$A52)=G52,0,IF((G$3*10^12-$A52)*(G$3*10^12-$A51)*-1&lt;0,0,1)*IF(ABS(G$3*10^12-$A52)&gt;(G$3*10^12-$A51),$A51,$A52))</f>
        <v>0</v>
      </c>
      <c r="H51" s="0" t="n">
        <f aca="false">IF(IF((H$3*10^12-$A52)*(H$3*10^12-$A51)*-1&lt;0,0,1)*IF(ABS(H$3*10^12-$A52)&gt;(H$3*10^12-$A51),$A51,$A52)=H52,0,IF((H$3*10^12-$A52)*(H$3*10^12-$A51)*-1&lt;0,0,1)*IF(ABS(H$3*10^12-$A52)&gt;(H$3*10^12-$A51),$A51,$A52))</f>
        <v>0</v>
      </c>
      <c r="I51" s="0" t="n">
        <f aca="false">IF(IF((I$3*10^12-$A52)*(I$3*10^12-$A51)*-1&lt;0,0,1)*IF(ABS(I$3*10^12-$A52)&gt;(I$3*10^12-$A51),$A51,$A52)=I52,0,IF((I$3*10^12-$A52)*(I$3*10^12-$A51)*-1&lt;0,0,1)*IF(ABS(I$3*10^12-$A52)&gt;(I$3*10^12-$A51),$A51,$A52))</f>
        <v>0</v>
      </c>
      <c r="J51" s="0" t="n">
        <f aca="false">IF(IF((J$3*10^12-$A52)*(J$3*10^12-$A51)*-1&lt;0,0,1)*IF(ABS(J$3*10^12-$A52)&gt;(J$3*10^12-$A51),$A51,$A52)=J52,0,IF((J$3*10^12-$A52)*(J$3*10^12-$A51)*-1&lt;0,0,1)*IF(ABS(J$3*10^12-$A52)&gt;(J$3*10^12-$A51),$A51,$A52))</f>
        <v>0</v>
      </c>
      <c r="K51" s="0" t="n">
        <f aca="false">IF(IF((K$3*10^12-$A52)*(K$3*10^12-$A51)*-1&lt;0,0,1)*IF(ABS(K$3*10^12-$A52)&gt;(K$3*10^12-$A51),$A51,$A52)=K52,0,IF((K$3*10^12-$A52)*(K$3*10^12-$A51)*-1&lt;0,0,1)*IF(ABS(K$3*10^12-$A52)&gt;(K$3*10^12-$A51),$A51,$A52))</f>
        <v>0</v>
      </c>
      <c r="L51" s="0" t="n">
        <f aca="false">IF(IF((L$3*10^12-$A52)*(L$3*10^12-$A51)*-1&lt;0,0,1)*IF(ABS(L$3*10^12-$A52)&gt;(L$3*10^12-$A51),$A51,$A52)=L52,0,IF((L$3*10^12-$A52)*(L$3*10^12-$A51)*-1&lt;0,0,1)*IF(ABS(L$3*10^12-$A52)&gt;(L$3*10^12-$A51),$A51,$A52))</f>
        <v>0</v>
      </c>
      <c r="M51" s="0" t="n">
        <f aca="false">IF(IF((M$3*10^12-$A52)*(M$3*10^12-$A51)*-1&lt;0,0,1)*IF(ABS(M$3*10^12-$A52)&gt;(M$3*10^12-$A51),$A51,$A52)=M52,0,IF((M$3*10^12-$A52)*(M$3*10^12-$A51)*-1&lt;0,0,1)*IF(ABS(M$3*10^12-$A52)&gt;(M$3*10^12-$A51),$A51,$A52))</f>
        <v>0</v>
      </c>
      <c r="N51" s="0" t="e">
        <f aca="false">IF(IF((N$3*10^12-$A52)*(N$3*10^12-$A51)*-1&lt;0,0,1)*IF(ABS(N$3*10^12-$A52)&gt;(N$3*10^12-$A51),$A51,$A52)=N52,0,IF((N$3*10^12-$A52)*(N$3*10^12-$A51)*-1&lt;0,0,1)*IF(ABS(N$3*10^12-$A52)&gt;(N$3*10^12-$A51),$A51,$A52))</f>
        <v>#VALUE!</v>
      </c>
    </row>
    <row r="52" customFormat="false" ht="12.75" hidden="false" customHeight="false" outlineLevel="0" collapsed="false">
      <c r="A52" s="0" t="n">
        <f aca="false">A40*10</f>
        <v>3300</v>
      </c>
      <c r="B52" s="0" t="n">
        <f aca="false">IF(IF((B$3*10^12-$A53)*(B$3*10^12-$A52)*-1&lt;0,0,1)*IF(ABS(B$3*10^12-$A53)&gt;(B$3*10^12-$A52),$A52,$A53)=B53,0,IF((B$3*10^12-$A53)*(B$3*10^12-$A52)*-1&lt;0,0,1)*IF(ABS(B$3*10^12-$A53)&gt;(B$3*10^12-$A52),$A52,$A53))</f>
        <v>0</v>
      </c>
      <c r="C52" s="0" t="n">
        <f aca="false">IF(IF((C$3*10^12-$A53)*(C$3*10^12-$A52)*-1&lt;0,0,1)*IF(ABS(C$3*10^12-$A53)&gt;(C$3*10^12-$A52),$A52,$A53)=C53,0,IF((C$3*10^12-$A53)*(C$3*10^12-$A52)*-1&lt;0,0,1)*IF(ABS(C$3*10^12-$A53)&gt;(C$3*10^12-$A52),$A52,$A53))</f>
        <v>0</v>
      </c>
      <c r="D52" s="0" t="n">
        <f aca="false">IF(IF((D$3*10^12-$A53)*(D$3*10^12-$A52)*-1&lt;0,0,1)*IF(ABS(D$3*10^12-$A53)&gt;(D$3*10^12-$A52),$A52,$A53)=D53,0,IF((D$3*10^12-$A53)*(D$3*10^12-$A52)*-1&lt;0,0,1)*IF(ABS(D$3*10^12-$A53)&gt;(D$3*10^12-$A52),$A52,$A53))</f>
        <v>0</v>
      </c>
      <c r="E52" s="0" t="n">
        <f aca="false">IF(IF((E$3*10^12-$A53)*(E$3*10^12-$A52)*-1&lt;0,0,1)*IF(ABS(E$3*10^12-$A53)&gt;(E$3*10^12-$A52),$A52,$A53)=E53,0,IF((E$3*10^12-$A53)*(E$3*10^12-$A52)*-1&lt;0,0,1)*IF(ABS(E$3*10^12-$A53)&gt;(E$3*10^12-$A52),$A52,$A53))</f>
        <v>0</v>
      </c>
      <c r="F52" s="0" t="n">
        <f aca="false">IF(IF((F$3*10^12-$A53)*(F$3*10^12-$A52)*-1&lt;0,0,1)*IF(ABS(F$3*10^12-$A53)&gt;(F$3*10^12-$A52),$A52,$A53)=F53,0,IF((F$3*10^12-$A53)*(F$3*10^12-$A52)*-1&lt;0,0,1)*IF(ABS(F$3*10^12-$A53)&gt;(F$3*10^12-$A52),$A52,$A53))</f>
        <v>0</v>
      </c>
      <c r="G52" s="0" t="n">
        <f aca="false">IF(IF((G$3*10^12-$A53)*(G$3*10^12-$A52)*-1&lt;0,0,1)*IF(ABS(G$3*10^12-$A53)&gt;(G$3*10^12-$A52),$A52,$A53)=G53,0,IF((G$3*10^12-$A53)*(G$3*10^12-$A52)*-1&lt;0,0,1)*IF(ABS(G$3*10^12-$A53)&gt;(G$3*10^12-$A52),$A52,$A53))</f>
        <v>0</v>
      </c>
      <c r="H52" s="0" t="n">
        <f aca="false">IF(IF((H$3*10^12-$A53)*(H$3*10^12-$A52)*-1&lt;0,0,1)*IF(ABS(H$3*10^12-$A53)&gt;(H$3*10^12-$A52),$A52,$A53)=H53,0,IF((H$3*10^12-$A53)*(H$3*10^12-$A52)*-1&lt;0,0,1)*IF(ABS(H$3*10^12-$A53)&gt;(H$3*10^12-$A52),$A52,$A53))</f>
        <v>0</v>
      </c>
      <c r="I52" s="0" t="n">
        <f aca="false">IF(IF((I$3*10^12-$A53)*(I$3*10^12-$A52)*-1&lt;0,0,1)*IF(ABS(I$3*10^12-$A53)&gt;(I$3*10^12-$A52),$A52,$A53)=I53,0,IF((I$3*10^12-$A53)*(I$3*10^12-$A52)*-1&lt;0,0,1)*IF(ABS(I$3*10^12-$A53)&gt;(I$3*10^12-$A52),$A52,$A53))</f>
        <v>0</v>
      </c>
      <c r="J52" s="0" t="n">
        <f aca="false">IF(IF((J$3*10^12-$A53)*(J$3*10^12-$A52)*-1&lt;0,0,1)*IF(ABS(J$3*10^12-$A53)&gt;(J$3*10^12-$A52),$A52,$A53)=J53,0,IF((J$3*10^12-$A53)*(J$3*10^12-$A52)*-1&lt;0,0,1)*IF(ABS(J$3*10^12-$A53)&gt;(J$3*10^12-$A52),$A52,$A53))</f>
        <v>0</v>
      </c>
      <c r="K52" s="0" t="n">
        <f aca="false">IF(IF((K$3*10^12-$A53)*(K$3*10^12-$A52)*-1&lt;0,0,1)*IF(ABS(K$3*10^12-$A53)&gt;(K$3*10^12-$A52),$A52,$A53)=K53,0,IF((K$3*10^12-$A53)*(K$3*10^12-$A52)*-1&lt;0,0,1)*IF(ABS(K$3*10^12-$A53)&gt;(K$3*10^12-$A52),$A52,$A53))</f>
        <v>0</v>
      </c>
      <c r="L52" s="0" t="n">
        <f aca="false">IF(IF((L$3*10^12-$A53)*(L$3*10^12-$A52)*-1&lt;0,0,1)*IF(ABS(L$3*10^12-$A53)&gt;(L$3*10^12-$A52),$A52,$A53)=L53,0,IF((L$3*10^12-$A53)*(L$3*10^12-$A52)*-1&lt;0,0,1)*IF(ABS(L$3*10^12-$A53)&gt;(L$3*10^12-$A52),$A52,$A53))</f>
        <v>0</v>
      </c>
      <c r="M52" s="0" t="n">
        <f aca="false">IF(IF((M$3*10^12-$A53)*(M$3*10^12-$A52)*-1&lt;0,0,1)*IF(ABS(M$3*10^12-$A53)&gt;(M$3*10^12-$A52),$A52,$A53)=M53,0,IF((M$3*10^12-$A53)*(M$3*10^12-$A52)*-1&lt;0,0,1)*IF(ABS(M$3*10^12-$A53)&gt;(M$3*10^12-$A52),$A52,$A53))</f>
        <v>0</v>
      </c>
      <c r="N52" s="0" t="e">
        <f aca="false">IF(IF((N$3*10^12-$A53)*(N$3*10^12-$A52)*-1&lt;0,0,1)*IF(ABS(N$3*10^12-$A53)&gt;(N$3*10^12-$A52),$A52,$A53)=N53,0,IF((N$3*10^12-$A53)*(N$3*10^12-$A52)*-1&lt;0,0,1)*IF(ABS(N$3*10^12-$A53)&gt;(N$3*10^12-$A52),$A52,$A53))</f>
        <v>#VALUE!</v>
      </c>
    </row>
    <row r="53" customFormat="false" ht="12.75" hidden="false" customHeight="false" outlineLevel="0" collapsed="false">
      <c r="A53" s="0" t="n">
        <f aca="false">A41*10</f>
        <v>3900</v>
      </c>
      <c r="B53" s="0" t="n">
        <f aca="false">IF(IF((B$3*10^12-$A54)*(B$3*10^12-$A53)*-1&lt;0,0,1)*IF(ABS(B$3*10^12-$A54)&gt;(B$3*10^12-$A53),$A53,$A54)=B54,0,IF((B$3*10^12-$A54)*(B$3*10^12-$A53)*-1&lt;0,0,1)*IF(ABS(B$3*10^12-$A54)&gt;(B$3*10^12-$A53),$A53,$A54))</f>
        <v>0</v>
      </c>
      <c r="C53" s="0" t="n">
        <f aca="false">IF(IF((C$3*10^12-$A54)*(C$3*10^12-$A53)*-1&lt;0,0,1)*IF(ABS(C$3*10^12-$A54)&gt;(C$3*10^12-$A53),$A53,$A54)=C54,0,IF((C$3*10^12-$A54)*(C$3*10^12-$A53)*-1&lt;0,0,1)*IF(ABS(C$3*10^12-$A54)&gt;(C$3*10^12-$A53),$A53,$A54))</f>
        <v>0</v>
      </c>
      <c r="D53" s="0" t="n">
        <f aca="false">IF(IF((D$3*10^12-$A54)*(D$3*10^12-$A53)*-1&lt;0,0,1)*IF(ABS(D$3*10^12-$A54)&gt;(D$3*10^12-$A53),$A53,$A54)=D54,0,IF((D$3*10^12-$A54)*(D$3*10^12-$A53)*-1&lt;0,0,1)*IF(ABS(D$3*10^12-$A54)&gt;(D$3*10^12-$A53),$A53,$A54))</f>
        <v>0</v>
      </c>
      <c r="E53" s="0" t="n">
        <f aca="false">IF(IF((E$3*10^12-$A54)*(E$3*10^12-$A53)*-1&lt;0,0,1)*IF(ABS(E$3*10^12-$A54)&gt;(E$3*10^12-$A53),$A53,$A54)=E54,0,IF((E$3*10^12-$A54)*(E$3*10^12-$A53)*-1&lt;0,0,1)*IF(ABS(E$3*10^12-$A54)&gt;(E$3*10^12-$A53),$A53,$A54))</f>
        <v>0</v>
      </c>
      <c r="F53" s="0" t="n">
        <f aca="false">IF(IF((F$3*10^12-$A54)*(F$3*10^12-$A53)*-1&lt;0,0,1)*IF(ABS(F$3*10^12-$A54)&gt;(F$3*10^12-$A53),$A53,$A54)=F54,0,IF((F$3*10^12-$A54)*(F$3*10^12-$A53)*-1&lt;0,0,1)*IF(ABS(F$3*10^12-$A54)&gt;(F$3*10^12-$A53),$A53,$A54))</f>
        <v>0</v>
      </c>
      <c r="G53" s="0" t="n">
        <f aca="false">IF(IF((G$3*10^12-$A54)*(G$3*10^12-$A53)*-1&lt;0,0,1)*IF(ABS(G$3*10^12-$A54)&gt;(G$3*10^12-$A53),$A53,$A54)=G54,0,IF((G$3*10^12-$A54)*(G$3*10^12-$A53)*-1&lt;0,0,1)*IF(ABS(G$3*10^12-$A54)&gt;(G$3*10^12-$A53),$A53,$A54))</f>
        <v>0</v>
      </c>
      <c r="H53" s="0" t="n">
        <f aca="false">IF(IF((H$3*10^12-$A54)*(H$3*10^12-$A53)*-1&lt;0,0,1)*IF(ABS(H$3*10^12-$A54)&gt;(H$3*10^12-$A53),$A53,$A54)=H54,0,IF((H$3*10^12-$A54)*(H$3*10^12-$A53)*-1&lt;0,0,1)*IF(ABS(H$3*10^12-$A54)&gt;(H$3*10^12-$A53),$A53,$A54))</f>
        <v>0</v>
      </c>
      <c r="I53" s="0" t="n">
        <f aca="false">IF(IF((I$3*10^12-$A54)*(I$3*10^12-$A53)*-1&lt;0,0,1)*IF(ABS(I$3*10^12-$A54)&gt;(I$3*10^12-$A53),$A53,$A54)=I54,0,IF((I$3*10^12-$A54)*(I$3*10^12-$A53)*-1&lt;0,0,1)*IF(ABS(I$3*10^12-$A54)&gt;(I$3*10^12-$A53),$A53,$A54))</f>
        <v>0</v>
      </c>
      <c r="J53" s="0" t="n">
        <f aca="false">IF(IF((J$3*10^12-$A54)*(J$3*10^12-$A53)*-1&lt;0,0,1)*IF(ABS(J$3*10^12-$A54)&gt;(J$3*10^12-$A53),$A53,$A54)=J54,0,IF((J$3*10^12-$A54)*(J$3*10^12-$A53)*-1&lt;0,0,1)*IF(ABS(J$3*10^12-$A54)&gt;(J$3*10^12-$A53),$A53,$A54))</f>
        <v>0</v>
      </c>
      <c r="K53" s="0" t="n">
        <f aca="false">IF(IF((K$3*10^12-$A54)*(K$3*10^12-$A53)*-1&lt;0,0,1)*IF(ABS(K$3*10^12-$A54)&gt;(K$3*10^12-$A53),$A53,$A54)=K54,0,IF((K$3*10^12-$A54)*(K$3*10^12-$A53)*-1&lt;0,0,1)*IF(ABS(K$3*10^12-$A54)&gt;(K$3*10^12-$A53),$A53,$A54))</f>
        <v>0</v>
      </c>
      <c r="L53" s="0" t="n">
        <f aca="false">IF(IF((L$3*10^12-$A54)*(L$3*10^12-$A53)*-1&lt;0,0,1)*IF(ABS(L$3*10^12-$A54)&gt;(L$3*10^12-$A53),$A53,$A54)=L54,0,IF((L$3*10^12-$A54)*(L$3*10^12-$A53)*-1&lt;0,0,1)*IF(ABS(L$3*10^12-$A54)&gt;(L$3*10^12-$A53),$A53,$A54))</f>
        <v>0</v>
      </c>
      <c r="M53" s="0" t="n">
        <f aca="false">IF(IF((M$3*10^12-$A54)*(M$3*10^12-$A53)*-1&lt;0,0,1)*IF(ABS(M$3*10^12-$A54)&gt;(M$3*10^12-$A53),$A53,$A54)=M54,0,IF((M$3*10^12-$A54)*(M$3*10^12-$A53)*-1&lt;0,0,1)*IF(ABS(M$3*10^12-$A54)&gt;(M$3*10^12-$A53),$A53,$A54))</f>
        <v>0</v>
      </c>
      <c r="N53" s="0" t="e">
        <f aca="false">IF(IF((N$3*10^12-$A54)*(N$3*10^12-$A53)*-1&lt;0,0,1)*IF(ABS(N$3*10^12-$A54)&gt;(N$3*10^12-$A53),$A53,$A54)=N54,0,IF((N$3*10^12-$A54)*(N$3*10^12-$A53)*-1&lt;0,0,1)*IF(ABS(N$3*10^12-$A54)&gt;(N$3*10^12-$A53),$A53,$A54))</f>
        <v>#VALUE!</v>
      </c>
    </row>
    <row r="54" customFormat="false" ht="12.75" hidden="false" customHeight="false" outlineLevel="0" collapsed="false">
      <c r="A54" s="0" t="n">
        <f aca="false">A42*10</f>
        <v>4700</v>
      </c>
      <c r="B54" s="0" t="n">
        <f aca="false">IF(IF((B$3*10^12-$A55)*(B$3*10^12-$A54)*-1&lt;0,0,1)*IF(ABS(B$3*10^12-$A55)&gt;(B$3*10^12-$A54),$A54,$A55)=B55,0,IF((B$3*10^12-$A55)*(B$3*10^12-$A54)*-1&lt;0,0,1)*IF(ABS(B$3*10^12-$A55)&gt;(B$3*10^12-$A54),$A54,$A55))</f>
        <v>0</v>
      </c>
      <c r="C54" s="0" t="n">
        <f aca="false">IF(IF((C$3*10^12-$A55)*(C$3*10^12-$A54)*-1&lt;0,0,1)*IF(ABS(C$3*10^12-$A55)&gt;(C$3*10^12-$A54),$A54,$A55)=C55,0,IF((C$3*10^12-$A55)*(C$3*10^12-$A54)*-1&lt;0,0,1)*IF(ABS(C$3*10^12-$A55)&gt;(C$3*10^12-$A54),$A54,$A55))</f>
        <v>0</v>
      </c>
      <c r="D54" s="0" t="n">
        <f aca="false">IF(IF((D$3*10^12-$A55)*(D$3*10^12-$A54)*-1&lt;0,0,1)*IF(ABS(D$3*10^12-$A55)&gt;(D$3*10^12-$A54),$A54,$A55)=D55,0,IF((D$3*10^12-$A55)*(D$3*10^12-$A54)*-1&lt;0,0,1)*IF(ABS(D$3*10^12-$A55)&gt;(D$3*10^12-$A54),$A54,$A55))</f>
        <v>0</v>
      </c>
      <c r="E54" s="0" t="n">
        <f aca="false">IF(IF((E$3*10^12-$A55)*(E$3*10^12-$A54)*-1&lt;0,0,1)*IF(ABS(E$3*10^12-$A55)&gt;(E$3*10^12-$A54),$A54,$A55)=E55,0,IF((E$3*10^12-$A55)*(E$3*10^12-$A54)*-1&lt;0,0,1)*IF(ABS(E$3*10^12-$A55)&gt;(E$3*10^12-$A54),$A54,$A55))</f>
        <v>0</v>
      </c>
      <c r="F54" s="0" t="n">
        <f aca="false">IF(IF((F$3*10^12-$A55)*(F$3*10^12-$A54)*-1&lt;0,0,1)*IF(ABS(F$3*10^12-$A55)&gt;(F$3*10^12-$A54),$A54,$A55)=F55,0,IF((F$3*10^12-$A55)*(F$3*10^12-$A54)*-1&lt;0,0,1)*IF(ABS(F$3*10^12-$A55)&gt;(F$3*10^12-$A54),$A54,$A55))</f>
        <v>0</v>
      </c>
      <c r="G54" s="0" t="n">
        <f aca="false">IF(IF((G$3*10^12-$A55)*(G$3*10^12-$A54)*-1&lt;0,0,1)*IF(ABS(G$3*10^12-$A55)&gt;(G$3*10^12-$A54),$A54,$A55)=G55,0,IF((G$3*10^12-$A55)*(G$3*10^12-$A54)*-1&lt;0,0,1)*IF(ABS(G$3*10^12-$A55)&gt;(G$3*10^12-$A54),$A54,$A55))</f>
        <v>0</v>
      </c>
      <c r="H54" s="0" t="n">
        <f aca="false">IF(IF((H$3*10^12-$A55)*(H$3*10^12-$A54)*-1&lt;0,0,1)*IF(ABS(H$3*10^12-$A55)&gt;(H$3*10^12-$A54),$A54,$A55)=H55,0,IF((H$3*10^12-$A55)*(H$3*10^12-$A54)*-1&lt;0,0,1)*IF(ABS(H$3*10^12-$A55)&gt;(H$3*10^12-$A54),$A54,$A55))</f>
        <v>0</v>
      </c>
      <c r="I54" s="0" t="n">
        <f aca="false">IF(IF((I$3*10^12-$A55)*(I$3*10^12-$A54)*-1&lt;0,0,1)*IF(ABS(I$3*10^12-$A55)&gt;(I$3*10^12-$A54),$A54,$A55)=I55,0,IF((I$3*10^12-$A55)*(I$3*10^12-$A54)*-1&lt;0,0,1)*IF(ABS(I$3*10^12-$A55)&gt;(I$3*10^12-$A54),$A54,$A55))</f>
        <v>0</v>
      </c>
      <c r="J54" s="0" t="n">
        <f aca="false">IF(IF((J$3*10^12-$A55)*(J$3*10^12-$A54)*-1&lt;0,0,1)*IF(ABS(J$3*10^12-$A55)&gt;(J$3*10^12-$A54),$A54,$A55)=J55,0,IF((J$3*10^12-$A55)*(J$3*10^12-$A54)*-1&lt;0,0,1)*IF(ABS(J$3*10^12-$A55)&gt;(J$3*10^12-$A54),$A54,$A55))</f>
        <v>0</v>
      </c>
      <c r="K54" s="0" t="n">
        <f aca="false">IF(IF((K$3*10^12-$A55)*(K$3*10^12-$A54)*-1&lt;0,0,1)*IF(ABS(K$3*10^12-$A55)&gt;(K$3*10^12-$A54),$A54,$A55)=K55,0,IF((K$3*10^12-$A55)*(K$3*10^12-$A54)*-1&lt;0,0,1)*IF(ABS(K$3*10^12-$A55)&gt;(K$3*10^12-$A54),$A54,$A55))</f>
        <v>0</v>
      </c>
      <c r="L54" s="0" t="n">
        <f aca="false">IF(IF((L$3*10^12-$A55)*(L$3*10^12-$A54)*-1&lt;0,0,1)*IF(ABS(L$3*10^12-$A55)&gt;(L$3*10^12-$A54),$A54,$A55)=L55,0,IF((L$3*10^12-$A55)*(L$3*10^12-$A54)*-1&lt;0,0,1)*IF(ABS(L$3*10^12-$A55)&gt;(L$3*10^12-$A54),$A54,$A55))</f>
        <v>0</v>
      </c>
      <c r="M54" s="0" t="n">
        <f aca="false">IF(IF((M$3*10^12-$A55)*(M$3*10^12-$A54)*-1&lt;0,0,1)*IF(ABS(M$3*10^12-$A55)&gt;(M$3*10^12-$A54),$A54,$A55)=M55,0,IF((M$3*10^12-$A55)*(M$3*10^12-$A54)*-1&lt;0,0,1)*IF(ABS(M$3*10^12-$A55)&gt;(M$3*10^12-$A54),$A54,$A55))</f>
        <v>0</v>
      </c>
      <c r="N54" s="0" t="e">
        <f aca="false">IF(IF((N$3*10^12-$A55)*(N$3*10^12-$A54)*-1&lt;0,0,1)*IF(ABS(N$3*10^12-$A55)&gt;(N$3*10^12-$A54),$A54,$A55)=N55,0,IF((N$3*10^12-$A55)*(N$3*10^12-$A54)*-1&lt;0,0,1)*IF(ABS(N$3*10^12-$A55)&gt;(N$3*10^12-$A54),$A54,$A55))</f>
        <v>#VALUE!</v>
      </c>
    </row>
    <row r="55" customFormat="false" ht="12.75" hidden="false" customHeight="false" outlineLevel="0" collapsed="false">
      <c r="A55" s="0" t="n">
        <f aca="false">A43*10</f>
        <v>5600</v>
      </c>
      <c r="B55" s="0" t="n">
        <f aca="false">IF(IF((B$3*10^12-$A56)*(B$3*10^12-$A55)*-1&lt;0,0,1)*IF(ABS(B$3*10^12-$A56)&gt;(B$3*10^12-$A55),$A55,$A56)=B56,0,IF((B$3*10^12-$A56)*(B$3*10^12-$A55)*-1&lt;0,0,1)*IF(ABS(B$3*10^12-$A56)&gt;(B$3*10^12-$A55),$A55,$A56))</f>
        <v>0</v>
      </c>
      <c r="C55" s="0" t="n">
        <f aca="false">IF(IF((C$3*10^12-$A56)*(C$3*10^12-$A55)*-1&lt;0,0,1)*IF(ABS(C$3*10^12-$A56)&gt;(C$3*10^12-$A55),$A55,$A56)=C56,0,IF((C$3*10^12-$A56)*(C$3*10^12-$A55)*-1&lt;0,0,1)*IF(ABS(C$3*10^12-$A56)&gt;(C$3*10^12-$A55),$A55,$A56))</f>
        <v>0</v>
      </c>
      <c r="D55" s="0" t="n">
        <f aca="false">IF(IF((D$3*10^12-$A56)*(D$3*10^12-$A55)*-1&lt;0,0,1)*IF(ABS(D$3*10^12-$A56)&gt;(D$3*10^12-$A55),$A55,$A56)=D56,0,IF((D$3*10^12-$A56)*(D$3*10^12-$A55)*-1&lt;0,0,1)*IF(ABS(D$3*10^12-$A56)&gt;(D$3*10^12-$A55),$A55,$A56))</f>
        <v>0</v>
      </c>
      <c r="E55" s="0" t="n">
        <f aca="false">IF(IF((E$3*10^12-$A56)*(E$3*10^12-$A55)*-1&lt;0,0,1)*IF(ABS(E$3*10^12-$A56)&gt;(E$3*10^12-$A55),$A55,$A56)=E56,0,IF((E$3*10^12-$A56)*(E$3*10^12-$A55)*-1&lt;0,0,1)*IF(ABS(E$3*10^12-$A56)&gt;(E$3*10^12-$A55),$A55,$A56))</f>
        <v>0</v>
      </c>
      <c r="F55" s="0" t="n">
        <f aca="false">IF(IF((F$3*10^12-$A56)*(F$3*10^12-$A55)*-1&lt;0,0,1)*IF(ABS(F$3*10^12-$A56)&gt;(F$3*10^12-$A55),$A55,$A56)=F56,0,IF((F$3*10^12-$A56)*(F$3*10^12-$A55)*-1&lt;0,0,1)*IF(ABS(F$3*10^12-$A56)&gt;(F$3*10^12-$A55),$A55,$A56))</f>
        <v>0</v>
      </c>
      <c r="G55" s="0" t="n">
        <f aca="false">IF(IF((G$3*10^12-$A56)*(G$3*10^12-$A55)*-1&lt;0,0,1)*IF(ABS(G$3*10^12-$A56)&gt;(G$3*10^12-$A55),$A55,$A56)=G56,0,IF((G$3*10^12-$A56)*(G$3*10^12-$A55)*-1&lt;0,0,1)*IF(ABS(G$3*10^12-$A56)&gt;(G$3*10^12-$A55),$A55,$A56))</f>
        <v>0</v>
      </c>
      <c r="H55" s="0" t="n">
        <f aca="false">IF(IF((H$3*10^12-$A56)*(H$3*10^12-$A55)*-1&lt;0,0,1)*IF(ABS(H$3*10^12-$A56)&gt;(H$3*10^12-$A55),$A55,$A56)=H56,0,IF((H$3*10^12-$A56)*(H$3*10^12-$A55)*-1&lt;0,0,1)*IF(ABS(H$3*10^12-$A56)&gt;(H$3*10^12-$A55),$A55,$A56))</f>
        <v>0</v>
      </c>
      <c r="I55" s="0" t="n">
        <f aca="false">IF(IF((I$3*10^12-$A56)*(I$3*10^12-$A55)*-1&lt;0,0,1)*IF(ABS(I$3*10^12-$A56)&gt;(I$3*10^12-$A55),$A55,$A56)=I56,0,IF((I$3*10^12-$A56)*(I$3*10^12-$A55)*-1&lt;0,0,1)*IF(ABS(I$3*10^12-$A56)&gt;(I$3*10^12-$A55),$A55,$A56))</f>
        <v>0</v>
      </c>
      <c r="J55" s="0" t="n">
        <f aca="false">IF(IF((J$3*10^12-$A56)*(J$3*10^12-$A55)*-1&lt;0,0,1)*IF(ABS(J$3*10^12-$A56)&gt;(J$3*10^12-$A55),$A55,$A56)=J56,0,IF((J$3*10^12-$A56)*(J$3*10^12-$A55)*-1&lt;0,0,1)*IF(ABS(J$3*10^12-$A56)&gt;(J$3*10^12-$A55),$A55,$A56))</f>
        <v>0</v>
      </c>
      <c r="K55" s="0" t="n">
        <f aca="false">IF(IF((K$3*10^12-$A56)*(K$3*10^12-$A55)*-1&lt;0,0,1)*IF(ABS(K$3*10^12-$A56)&gt;(K$3*10^12-$A55),$A55,$A56)=K56,0,IF((K$3*10^12-$A56)*(K$3*10^12-$A55)*-1&lt;0,0,1)*IF(ABS(K$3*10^12-$A56)&gt;(K$3*10^12-$A55),$A55,$A56))</f>
        <v>0</v>
      </c>
      <c r="L55" s="0" t="n">
        <f aca="false">IF(IF((L$3*10^12-$A56)*(L$3*10^12-$A55)*-1&lt;0,0,1)*IF(ABS(L$3*10^12-$A56)&gt;(L$3*10^12-$A55),$A55,$A56)=L56,0,IF((L$3*10^12-$A56)*(L$3*10^12-$A55)*-1&lt;0,0,1)*IF(ABS(L$3*10^12-$A56)&gt;(L$3*10^12-$A55),$A55,$A56))</f>
        <v>0</v>
      </c>
      <c r="M55" s="0" t="n">
        <f aca="false">IF(IF((M$3*10^12-$A56)*(M$3*10^12-$A55)*-1&lt;0,0,1)*IF(ABS(M$3*10^12-$A56)&gt;(M$3*10^12-$A55),$A55,$A56)=M56,0,IF((M$3*10^12-$A56)*(M$3*10^12-$A55)*-1&lt;0,0,1)*IF(ABS(M$3*10^12-$A56)&gt;(M$3*10^12-$A55),$A55,$A56))</f>
        <v>0</v>
      </c>
      <c r="N55" s="0" t="e">
        <f aca="false">IF(IF((N$3*10^12-$A56)*(N$3*10^12-$A55)*-1&lt;0,0,1)*IF(ABS(N$3*10^12-$A56)&gt;(N$3*10^12-$A55),$A55,$A56)=N56,0,IF((N$3*10^12-$A56)*(N$3*10^12-$A55)*-1&lt;0,0,1)*IF(ABS(N$3*10^12-$A56)&gt;(N$3*10^12-$A55),$A55,$A56))</f>
        <v>#VALUE!</v>
      </c>
    </row>
    <row r="56" customFormat="false" ht="12.75" hidden="false" customHeight="false" outlineLevel="0" collapsed="false">
      <c r="A56" s="0" t="n">
        <f aca="false">A44*10</f>
        <v>6800</v>
      </c>
      <c r="B56" s="0" t="n">
        <f aca="false">IF(IF((B$3*10^12-$A57)*(B$3*10^12-$A56)*-1&lt;0,0,1)*IF(ABS(B$3*10^12-$A57)&gt;(B$3*10^12-$A56),$A56,$A57)=B57,0,IF((B$3*10^12-$A57)*(B$3*10^12-$A56)*-1&lt;0,0,1)*IF(ABS(B$3*10^12-$A57)&gt;(B$3*10^12-$A56),$A56,$A57))</f>
        <v>0</v>
      </c>
      <c r="C56" s="0" t="n">
        <f aca="false">IF(IF((C$3*10^12-$A57)*(C$3*10^12-$A56)*-1&lt;0,0,1)*IF(ABS(C$3*10^12-$A57)&gt;(C$3*10^12-$A56),$A56,$A57)=C57,0,IF((C$3*10^12-$A57)*(C$3*10^12-$A56)*-1&lt;0,0,1)*IF(ABS(C$3*10^12-$A57)&gt;(C$3*10^12-$A56),$A56,$A57))</f>
        <v>0</v>
      </c>
      <c r="D56" s="0" t="n">
        <f aca="false">IF(IF((D$3*10^12-$A57)*(D$3*10^12-$A56)*-1&lt;0,0,1)*IF(ABS(D$3*10^12-$A57)&gt;(D$3*10^12-$A56),$A56,$A57)=D57,0,IF((D$3*10^12-$A57)*(D$3*10^12-$A56)*-1&lt;0,0,1)*IF(ABS(D$3*10^12-$A57)&gt;(D$3*10^12-$A56),$A56,$A57))</f>
        <v>0</v>
      </c>
      <c r="E56" s="0" t="n">
        <f aca="false">IF(IF((E$3*10^12-$A57)*(E$3*10^12-$A56)*-1&lt;0,0,1)*IF(ABS(E$3*10^12-$A57)&gt;(E$3*10^12-$A56),$A56,$A57)=E57,0,IF((E$3*10^12-$A57)*(E$3*10^12-$A56)*-1&lt;0,0,1)*IF(ABS(E$3*10^12-$A57)&gt;(E$3*10^12-$A56),$A56,$A57))</f>
        <v>0</v>
      </c>
      <c r="F56" s="0" t="n">
        <f aca="false">IF(IF((F$3*10^12-$A57)*(F$3*10^12-$A56)*-1&lt;0,0,1)*IF(ABS(F$3*10^12-$A57)&gt;(F$3*10^12-$A56),$A56,$A57)=F57,0,IF((F$3*10^12-$A57)*(F$3*10^12-$A56)*-1&lt;0,0,1)*IF(ABS(F$3*10^12-$A57)&gt;(F$3*10^12-$A56),$A56,$A57))</f>
        <v>0</v>
      </c>
      <c r="G56" s="0" t="n">
        <f aca="false">IF(IF((G$3*10^12-$A57)*(G$3*10^12-$A56)*-1&lt;0,0,1)*IF(ABS(G$3*10^12-$A57)&gt;(G$3*10^12-$A56),$A56,$A57)=G57,0,IF((G$3*10^12-$A57)*(G$3*10^12-$A56)*-1&lt;0,0,1)*IF(ABS(G$3*10^12-$A57)&gt;(G$3*10^12-$A56),$A56,$A57))</f>
        <v>0</v>
      </c>
      <c r="H56" s="0" t="n">
        <f aca="false">IF(IF((H$3*10^12-$A57)*(H$3*10^12-$A56)*-1&lt;0,0,1)*IF(ABS(H$3*10^12-$A57)&gt;(H$3*10^12-$A56),$A56,$A57)=H57,0,IF((H$3*10^12-$A57)*(H$3*10^12-$A56)*-1&lt;0,0,1)*IF(ABS(H$3*10^12-$A57)&gt;(H$3*10^12-$A56),$A56,$A57))</f>
        <v>0</v>
      </c>
      <c r="I56" s="0" t="n">
        <f aca="false">IF(IF((I$3*10^12-$A57)*(I$3*10^12-$A56)*-1&lt;0,0,1)*IF(ABS(I$3*10^12-$A57)&gt;(I$3*10^12-$A56),$A56,$A57)=I57,0,IF((I$3*10^12-$A57)*(I$3*10^12-$A56)*-1&lt;0,0,1)*IF(ABS(I$3*10^12-$A57)&gt;(I$3*10^12-$A56),$A56,$A57))</f>
        <v>0</v>
      </c>
      <c r="J56" s="0" t="n">
        <f aca="false">IF(IF((J$3*10^12-$A57)*(J$3*10^12-$A56)*-1&lt;0,0,1)*IF(ABS(J$3*10^12-$A57)&gt;(J$3*10^12-$A56),$A56,$A57)=J57,0,IF((J$3*10^12-$A57)*(J$3*10^12-$A56)*-1&lt;0,0,1)*IF(ABS(J$3*10^12-$A57)&gt;(J$3*10^12-$A56),$A56,$A57))</f>
        <v>0</v>
      </c>
      <c r="K56" s="0" t="n">
        <f aca="false">IF(IF((K$3*10^12-$A57)*(K$3*10^12-$A56)*-1&lt;0,0,1)*IF(ABS(K$3*10^12-$A57)&gt;(K$3*10^12-$A56),$A56,$A57)=K57,0,IF((K$3*10^12-$A57)*(K$3*10^12-$A56)*-1&lt;0,0,1)*IF(ABS(K$3*10^12-$A57)&gt;(K$3*10^12-$A56),$A56,$A57))</f>
        <v>0</v>
      </c>
      <c r="L56" s="0" t="n">
        <f aca="false">IF(IF((L$3*10^12-$A57)*(L$3*10^12-$A56)*-1&lt;0,0,1)*IF(ABS(L$3*10^12-$A57)&gt;(L$3*10^12-$A56),$A56,$A57)=L57,0,IF((L$3*10^12-$A57)*(L$3*10^12-$A56)*-1&lt;0,0,1)*IF(ABS(L$3*10^12-$A57)&gt;(L$3*10^12-$A56),$A56,$A57))</f>
        <v>0</v>
      </c>
      <c r="M56" s="0" t="n">
        <f aca="false">IF(IF((M$3*10^12-$A57)*(M$3*10^12-$A56)*-1&lt;0,0,1)*IF(ABS(M$3*10^12-$A57)&gt;(M$3*10^12-$A56),$A56,$A57)=M57,0,IF((M$3*10^12-$A57)*(M$3*10^12-$A56)*-1&lt;0,0,1)*IF(ABS(M$3*10^12-$A57)&gt;(M$3*10^12-$A56),$A56,$A57))</f>
        <v>0</v>
      </c>
      <c r="N56" s="0" t="e">
        <f aca="false">IF(IF((N$3*10^12-$A57)*(N$3*10^12-$A56)*-1&lt;0,0,1)*IF(ABS(N$3*10^12-$A57)&gt;(N$3*10^12-$A56),$A56,$A57)=N57,0,IF((N$3*10^12-$A57)*(N$3*10^12-$A56)*-1&lt;0,0,1)*IF(ABS(N$3*10^12-$A57)&gt;(N$3*10^12-$A56),$A56,$A57))</f>
        <v>#VALUE!</v>
      </c>
    </row>
    <row r="57" customFormat="false" ht="12.75" hidden="false" customHeight="false" outlineLevel="0" collapsed="false">
      <c r="A57" s="0" t="n">
        <f aca="false">A45*10</f>
        <v>8200</v>
      </c>
      <c r="B57" s="0" t="n">
        <f aca="false">IF(IF((B$3*10^12-$A58)*(B$3*10^12-$A57)*-1&lt;0,0,1)*IF(ABS(B$3*10^12-$A58)&gt;(B$3*10^12-$A57),$A57,$A58)=B58,0,IF((B$3*10^12-$A58)*(B$3*10^12-$A57)*-1&lt;0,0,1)*IF(ABS(B$3*10^12-$A58)&gt;(B$3*10^12-$A57),$A57,$A58))</f>
        <v>0</v>
      </c>
      <c r="C57" s="0" t="n">
        <f aca="false">IF(IF((C$3*10^12-$A58)*(C$3*10^12-$A57)*-1&lt;0,0,1)*IF(ABS(C$3*10^12-$A58)&gt;(C$3*10^12-$A57),$A57,$A58)=C58,0,IF((C$3*10^12-$A58)*(C$3*10^12-$A57)*-1&lt;0,0,1)*IF(ABS(C$3*10^12-$A58)&gt;(C$3*10^12-$A57),$A57,$A58))</f>
        <v>0</v>
      </c>
      <c r="D57" s="0" t="n">
        <f aca="false">IF(IF((D$3*10^12-$A58)*(D$3*10^12-$A57)*-1&lt;0,0,1)*IF(ABS(D$3*10^12-$A58)&gt;(D$3*10^12-$A57),$A57,$A58)=D58,0,IF((D$3*10^12-$A58)*(D$3*10^12-$A57)*-1&lt;0,0,1)*IF(ABS(D$3*10^12-$A58)&gt;(D$3*10^12-$A57),$A57,$A58))</f>
        <v>0</v>
      </c>
      <c r="E57" s="0" t="n">
        <f aca="false">IF(IF((E$3*10^12-$A58)*(E$3*10^12-$A57)*-1&lt;0,0,1)*IF(ABS(E$3*10^12-$A58)&gt;(E$3*10^12-$A57),$A57,$A58)=E58,0,IF((E$3*10^12-$A58)*(E$3*10^12-$A57)*-1&lt;0,0,1)*IF(ABS(E$3*10^12-$A58)&gt;(E$3*10^12-$A57),$A57,$A58))</f>
        <v>0</v>
      </c>
      <c r="F57" s="0" t="n">
        <f aca="false">IF(IF((F$3*10^12-$A58)*(F$3*10^12-$A57)*-1&lt;0,0,1)*IF(ABS(F$3*10^12-$A58)&gt;(F$3*10^12-$A57),$A57,$A58)=F58,0,IF((F$3*10^12-$A58)*(F$3*10^12-$A57)*-1&lt;0,0,1)*IF(ABS(F$3*10^12-$A58)&gt;(F$3*10^12-$A57),$A57,$A58))</f>
        <v>0</v>
      </c>
      <c r="G57" s="0" t="n">
        <f aca="false">IF(IF((G$3*10^12-$A58)*(G$3*10^12-$A57)*-1&lt;0,0,1)*IF(ABS(G$3*10^12-$A58)&gt;(G$3*10^12-$A57),$A57,$A58)=G58,0,IF((G$3*10^12-$A58)*(G$3*10^12-$A57)*-1&lt;0,0,1)*IF(ABS(G$3*10^12-$A58)&gt;(G$3*10^12-$A57),$A57,$A58))</f>
        <v>0</v>
      </c>
      <c r="H57" s="0" t="n">
        <f aca="false">IF(IF((H$3*10^12-$A58)*(H$3*10^12-$A57)*-1&lt;0,0,1)*IF(ABS(H$3*10^12-$A58)&gt;(H$3*10^12-$A57),$A57,$A58)=H58,0,IF((H$3*10^12-$A58)*(H$3*10^12-$A57)*-1&lt;0,0,1)*IF(ABS(H$3*10^12-$A58)&gt;(H$3*10^12-$A57),$A57,$A58))</f>
        <v>0</v>
      </c>
      <c r="I57" s="0" t="n">
        <f aca="false">IF(IF((I$3*10^12-$A58)*(I$3*10^12-$A57)*-1&lt;0,0,1)*IF(ABS(I$3*10^12-$A58)&gt;(I$3*10^12-$A57),$A57,$A58)=I58,0,IF((I$3*10^12-$A58)*(I$3*10^12-$A57)*-1&lt;0,0,1)*IF(ABS(I$3*10^12-$A58)&gt;(I$3*10^12-$A57),$A57,$A58))</f>
        <v>0</v>
      </c>
      <c r="J57" s="0" t="n">
        <f aca="false">IF(IF((J$3*10^12-$A58)*(J$3*10^12-$A57)*-1&lt;0,0,1)*IF(ABS(J$3*10^12-$A58)&gt;(J$3*10^12-$A57),$A57,$A58)=J58,0,IF((J$3*10^12-$A58)*(J$3*10^12-$A57)*-1&lt;0,0,1)*IF(ABS(J$3*10^12-$A58)&gt;(J$3*10^12-$A57),$A57,$A58))</f>
        <v>0</v>
      </c>
      <c r="K57" s="0" t="n">
        <f aca="false">IF(IF((K$3*10^12-$A58)*(K$3*10^12-$A57)*-1&lt;0,0,1)*IF(ABS(K$3*10^12-$A58)&gt;(K$3*10^12-$A57),$A57,$A58)=K58,0,IF((K$3*10^12-$A58)*(K$3*10^12-$A57)*-1&lt;0,0,1)*IF(ABS(K$3*10^12-$A58)&gt;(K$3*10^12-$A57),$A57,$A58))</f>
        <v>0</v>
      </c>
      <c r="L57" s="0" t="n">
        <f aca="false">IF(IF((L$3*10^12-$A58)*(L$3*10^12-$A57)*-1&lt;0,0,1)*IF(ABS(L$3*10^12-$A58)&gt;(L$3*10^12-$A57),$A57,$A58)=L58,0,IF((L$3*10^12-$A58)*(L$3*10^12-$A57)*-1&lt;0,0,1)*IF(ABS(L$3*10^12-$A58)&gt;(L$3*10^12-$A57),$A57,$A58))</f>
        <v>0</v>
      </c>
      <c r="M57" s="0" t="n">
        <f aca="false">IF(IF((M$3*10^12-$A58)*(M$3*10^12-$A57)*-1&lt;0,0,1)*IF(ABS(M$3*10^12-$A58)&gt;(M$3*10^12-$A57),$A57,$A58)=M58,0,IF((M$3*10^12-$A58)*(M$3*10^12-$A57)*-1&lt;0,0,1)*IF(ABS(M$3*10^12-$A58)&gt;(M$3*10^12-$A57),$A57,$A58))</f>
        <v>0</v>
      </c>
      <c r="N57" s="0" t="e">
        <f aca="false">IF(IF((N$3*10^12-$A58)*(N$3*10^12-$A57)*-1&lt;0,0,1)*IF(ABS(N$3*10^12-$A58)&gt;(N$3*10^12-$A57),$A57,$A58)=N58,0,IF((N$3*10^12-$A58)*(N$3*10^12-$A57)*-1&lt;0,0,1)*IF(ABS(N$3*10^12-$A58)&gt;(N$3*10^12-$A57),$A57,$A58))</f>
        <v>#VALUE!</v>
      </c>
    </row>
    <row r="58" customFormat="false" ht="12.75" hidden="false" customHeight="false" outlineLevel="0" collapsed="false">
      <c r="A58" s="0" t="n">
        <f aca="false">A46*10</f>
        <v>10000</v>
      </c>
      <c r="B58" s="0" t="n">
        <f aca="false">IF(IF((B$3*10^12-$A59)*(B$3*10^12-$A58)*-1&lt;0,0,1)*IF(ABS(B$3*10^12-$A59)&gt;(B$3*10^12-$A58),$A58,$A59)=B59,0,IF((B$3*10^12-$A59)*(B$3*10^12-$A58)*-1&lt;0,0,1)*IF(ABS(B$3*10^12-$A59)&gt;(B$3*10^12-$A58),$A58,$A59))</f>
        <v>0</v>
      </c>
      <c r="C58" s="0" t="n">
        <f aca="false">IF(IF((C$3*10^12-$A59)*(C$3*10^12-$A58)*-1&lt;0,0,1)*IF(ABS(C$3*10^12-$A59)&gt;(C$3*10^12-$A58),$A58,$A59)=C59,0,IF((C$3*10^12-$A59)*(C$3*10^12-$A58)*-1&lt;0,0,1)*IF(ABS(C$3*10^12-$A59)&gt;(C$3*10^12-$A58),$A58,$A59))</f>
        <v>0</v>
      </c>
      <c r="D58" s="0" t="n">
        <f aca="false">IF(IF((D$3*10^12-$A59)*(D$3*10^12-$A58)*-1&lt;0,0,1)*IF(ABS(D$3*10^12-$A59)&gt;(D$3*10^12-$A58),$A58,$A59)=D59,0,IF((D$3*10^12-$A59)*(D$3*10^12-$A58)*-1&lt;0,0,1)*IF(ABS(D$3*10^12-$A59)&gt;(D$3*10^12-$A58),$A58,$A59))</f>
        <v>0</v>
      </c>
      <c r="E58" s="0" t="n">
        <f aca="false">IF(IF((E$3*10^12-$A59)*(E$3*10^12-$A58)*-1&lt;0,0,1)*IF(ABS(E$3*10^12-$A59)&gt;(E$3*10^12-$A58),$A58,$A59)=E59,0,IF((E$3*10^12-$A59)*(E$3*10^12-$A58)*-1&lt;0,0,1)*IF(ABS(E$3*10^12-$A59)&gt;(E$3*10^12-$A58),$A58,$A59))</f>
        <v>0</v>
      </c>
      <c r="F58" s="0" t="n">
        <f aca="false">IF(IF((F$3*10^12-$A59)*(F$3*10^12-$A58)*-1&lt;0,0,1)*IF(ABS(F$3*10^12-$A59)&gt;(F$3*10^12-$A58),$A58,$A59)=F59,0,IF((F$3*10^12-$A59)*(F$3*10^12-$A58)*-1&lt;0,0,1)*IF(ABS(F$3*10^12-$A59)&gt;(F$3*10^12-$A58),$A58,$A59))</f>
        <v>0</v>
      </c>
      <c r="G58" s="0" t="n">
        <f aca="false">IF(IF((G$3*10^12-$A59)*(G$3*10^12-$A58)*-1&lt;0,0,1)*IF(ABS(G$3*10^12-$A59)&gt;(G$3*10^12-$A58),$A58,$A59)=G59,0,IF((G$3*10^12-$A59)*(G$3*10^12-$A58)*-1&lt;0,0,1)*IF(ABS(G$3*10^12-$A59)&gt;(G$3*10^12-$A58),$A58,$A59))</f>
        <v>0</v>
      </c>
      <c r="H58" s="0" t="n">
        <f aca="false">IF(IF((H$3*10^12-$A59)*(H$3*10^12-$A58)*-1&lt;0,0,1)*IF(ABS(H$3*10^12-$A59)&gt;(H$3*10^12-$A58),$A58,$A59)=H59,0,IF((H$3*10^12-$A59)*(H$3*10^12-$A58)*-1&lt;0,0,1)*IF(ABS(H$3*10^12-$A59)&gt;(H$3*10^12-$A58),$A58,$A59))</f>
        <v>0</v>
      </c>
      <c r="I58" s="0" t="n">
        <f aca="false">IF(IF((I$3*10^12-$A59)*(I$3*10^12-$A58)*-1&lt;0,0,1)*IF(ABS(I$3*10^12-$A59)&gt;(I$3*10^12-$A58),$A58,$A59)=I59,0,IF((I$3*10^12-$A59)*(I$3*10^12-$A58)*-1&lt;0,0,1)*IF(ABS(I$3*10^12-$A59)&gt;(I$3*10^12-$A58),$A58,$A59))</f>
        <v>0</v>
      </c>
      <c r="J58" s="0" t="n">
        <f aca="false">IF(IF((J$3*10^12-$A59)*(J$3*10^12-$A58)*-1&lt;0,0,1)*IF(ABS(J$3*10^12-$A59)&gt;(J$3*10^12-$A58),$A58,$A59)=J59,0,IF((J$3*10^12-$A59)*(J$3*10^12-$A58)*-1&lt;0,0,1)*IF(ABS(J$3*10^12-$A59)&gt;(J$3*10^12-$A58),$A58,$A59))</f>
        <v>0</v>
      </c>
      <c r="K58" s="0" t="n">
        <f aca="false">IF(IF((K$3*10^12-$A59)*(K$3*10^12-$A58)*-1&lt;0,0,1)*IF(ABS(K$3*10^12-$A59)&gt;(K$3*10^12-$A58),$A58,$A59)=K59,0,IF((K$3*10^12-$A59)*(K$3*10^12-$A58)*-1&lt;0,0,1)*IF(ABS(K$3*10^12-$A59)&gt;(K$3*10^12-$A58),$A58,$A59))</f>
        <v>0</v>
      </c>
      <c r="L58" s="0" t="n">
        <f aca="false">IF(IF((L$3*10^12-$A59)*(L$3*10^12-$A58)*-1&lt;0,0,1)*IF(ABS(L$3*10^12-$A59)&gt;(L$3*10^12-$A58),$A58,$A59)=L59,0,IF((L$3*10^12-$A59)*(L$3*10^12-$A58)*-1&lt;0,0,1)*IF(ABS(L$3*10^12-$A59)&gt;(L$3*10^12-$A58),$A58,$A59))</f>
        <v>0</v>
      </c>
      <c r="M58" s="0" t="n">
        <f aca="false">IF(IF((M$3*10^12-$A59)*(M$3*10^12-$A58)*-1&lt;0,0,1)*IF(ABS(M$3*10^12-$A59)&gt;(M$3*10^12-$A58),$A58,$A59)=M59,0,IF((M$3*10^12-$A59)*(M$3*10^12-$A58)*-1&lt;0,0,1)*IF(ABS(M$3*10^12-$A59)&gt;(M$3*10^12-$A58),$A58,$A59))</f>
        <v>0</v>
      </c>
      <c r="N58" s="0" t="e">
        <f aca="false">IF(IF((N$3*10^12-$A59)*(N$3*10^12-$A58)*-1&lt;0,0,1)*IF(ABS(N$3*10^12-$A59)&gt;(N$3*10^12-$A58),$A58,$A59)=N59,0,IF((N$3*10^12-$A59)*(N$3*10^12-$A58)*-1&lt;0,0,1)*IF(ABS(N$3*10^12-$A59)&gt;(N$3*10^12-$A58),$A58,$A59))</f>
        <v>#VALUE!</v>
      </c>
    </row>
    <row r="59" customFormat="false" ht="12.75" hidden="false" customHeight="false" outlineLevel="0" collapsed="false">
      <c r="A59" s="0" t="n">
        <f aca="false">A47*10</f>
        <v>12000</v>
      </c>
      <c r="B59" s="0" t="n">
        <f aca="false">IF(IF((B$3*10^12-$A60)*(B$3*10^12-$A59)*-1&lt;0,0,1)*IF(ABS(B$3*10^12-$A60)&gt;(B$3*10^12-$A59),$A59,$A60)=B60,0,IF((B$3*10^12-$A60)*(B$3*10^12-$A59)*-1&lt;0,0,1)*IF(ABS(B$3*10^12-$A60)&gt;(B$3*10^12-$A59),$A59,$A60))</f>
        <v>0</v>
      </c>
      <c r="C59" s="0" t="n">
        <f aca="false">IF(IF((C$3*10^12-$A60)*(C$3*10^12-$A59)*-1&lt;0,0,1)*IF(ABS(C$3*10^12-$A60)&gt;(C$3*10^12-$A59),$A59,$A60)=C60,0,IF((C$3*10^12-$A60)*(C$3*10^12-$A59)*-1&lt;0,0,1)*IF(ABS(C$3*10^12-$A60)&gt;(C$3*10^12-$A59),$A59,$A60))</f>
        <v>0</v>
      </c>
      <c r="D59" s="0" t="n">
        <f aca="false">IF(IF((D$3*10^12-$A60)*(D$3*10^12-$A59)*-1&lt;0,0,1)*IF(ABS(D$3*10^12-$A60)&gt;(D$3*10^12-$A59),$A59,$A60)=D60,0,IF((D$3*10^12-$A60)*(D$3*10^12-$A59)*-1&lt;0,0,1)*IF(ABS(D$3*10^12-$A60)&gt;(D$3*10^12-$A59),$A59,$A60))</f>
        <v>0</v>
      </c>
      <c r="E59" s="0" t="n">
        <f aca="false">IF(IF((E$3*10^12-$A60)*(E$3*10^12-$A59)*-1&lt;0,0,1)*IF(ABS(E$3*10^12-$A60)&gt;(E$3*10^12-$A59),$A59,$A60)=E60,0,IF((E$3*10^12-$A60)*(E$3*10^12-$A59)*-1&lt;0,0,1)*IF(ABS(E$3*10^12-$A60)&gt;(E$3*10^12-$A59),$A59,$A60))</f>
        <v>0</v>
      </c>
      <c r="F59" s="0" t="n">
        <f aca="false">IF(IF((F$3*10^12-$A60)*(F$3*10^12-$A59)*-1&lt;0,0,1)*IF(ABS(F$3*10^12-$A60)&gt;(F$3*10^12-$A59),$A59,$A60)=F60,0,IF((F$3*10^12-$A60)*(F$3*10^12-$A59)*-1&lt;0,0,1)*IF(ABS(F$3*10^12-$A60)&gt;(F$3*10^12-$A59),$A59,$A60))</f>
        <v>0</v>
      </c>
      <c r="G59" s="0" t="n">
        <f aca="false">IF(IF((G$3*10^12-$A60)*(G$3*10^12-$A59)*-1&lt;0,0,1)*IF(ABS(G$3*10^12-$A60)&gt;(G$3*10^12-$A59),$A59,$A60)=G60,0,IF((G$3*10^12-$A60)*(G$3*10^12-$A59)*-1&lt;0,0,1)*IF(ABS(G$3*10^12-$A60)&gt;(G$3*10^12-$A59),$A59,$A60))</f>
        <v>0</v>
      </c>
      <c r="H59" s="0" t="n">
        <f aca="false">IF(IF((H$3*10^12-$A60)*(H$3*10^12-$A59)*-1&lt;0,0,1)*IF(ABS(H$3*10^12-$A60)&gt;(H$3*10^12-$A59),$A59,$A60)=H60,0,IF((H$3*10^12-$A60)*(H$3*10^12-$A59)*-1&lt;0,0,1)*IF(ABS(H$3*10^12-$A60)&gt;(H$3*10^12-$A59),$A59,$A60))</f>
        <v>0</v>
      </c>
      <c r="I59" s="0" t="n">
        <f aca="false">IF(IF((I$3*10^12-$A60)*(I$3*10^12-$A59)*-1&lt;0,0,1)*IF(ABS(I$3*10^12-$A60)&gt;(I$3*10^12-$A59),$A59,$A60)=I60,0,IF((I$3*10^12-$A60)*(I$3*10^12-$A59)*-1&lt;0,0,1)*IF(ABS(I$3*10^12-$A60)&gt;(I$3*10^12-$A59),$A59,$A60))</f>
        <v>0</v>
      </c>
      <c r="J59" s="0" t="n">
        <f aca="false">IF(IF((J$3*10^12-$A60)*(J$3*10^12-$A59)*-1&lt;0,0,1)*IF(ABS(J$3*10^12-$A60)&gt;(J$3*10^12-$A59),$A59,$A60)=J60,0,IF((J$3*10^12-$A60)*(J$3*10^12-$A59)*-1&lt;0,0,1)*IF(ABS(J$3*10^12-$A60)&gt;(J$3*10^12-$A59),$A59,$A60))</f>
        <v>0</v>
      </c>
      <c r="K59" s="0" t="n">
        <f aca="false">IF(IF((K$3*10^12-$A60)*(K$3*10^12-$A59)*-1&lt;0,0,1)*IF(ABS(K$3*10^12-$A60)&gt;(K$3*10^12-$A59),$A59,$A60)=K60,0,IF((K$3*10^12-$A60)*(K$3*10^12-$A59)*-1&lt;0,0,1)*IF(ABS(K$3*10^12-$A60)&gt;(K$3*10^12-$A59),$A59,$A60))</f>
        <v>0</v>
      </c>
      <c r="L59" s="0" t="n">
        <f aca="false">IF(IF((L$3*10^12-$A60)*(L$3*10^12-$A59)*-1&lt;0,0,1)*IF(ABS(L$3*10^12-$A60)&gt;(L$3*10^12-$A59),$A59,$A60)=L60,0,IF((L$3*10^12-$A60)*(L$3*10^12-$A59)*-1&lt;0,0,1)*IF(ABS(L$3*10^12-$A60)&gt;(L$3*10^12-$A59),$A59,$A60))</f>
        <v>0</v>
      </c>
      <c r="M59" s="0" t="n">
        <f aca="false">IF(IF((M$3*10^12-$A60)*(M$3*10^12-$A59)*-1&lt;0,0,1)*IF(ABS(M$3*10^12-$A60)&gt;(M$3*10^12-$A59),$A59,$A60)=M60,0,IF((M$3*10^12-$A60)*(M$3*10^12-$A59)*-1&lt;0,0,1)*IF(ABS(M$3*10^12-$A60)&gt;(M$3*10^12-$A59),$A59,$A60))</f>
        <v>0</v>
      </c>
      <c r="N59" s="0" t="e">
        <f aca="false">IF(IF((N$3*10^12-$A60)*(N$3*10^12-$A59)*-1&lt;0,0,1)*IF(ABS(N$3*10^12-$A60)&gt;(N$3*10^12-$A59),$A59,$A60)=N60,0,IF((N$3*10^12-$A60)*(N$3*10^12-$A59)*-1&lt;0,0,1)*IF(ABS(N$3*10^12-$A60)&gt;(N$3*10^12-$A59),$A59,$A60))</f>
        <v>#VALUE!</v>
      </c>
    </row>
    <row r="60" customFormat="false" ht="12.75" hidden="false" customHeight="false" outlineLevel="0" collapsed="false">
      <c r="A60" s="0" t="n">
        <f aca="false">A48*10</f>
        <v>15000</v>
      </c>
      <c r="B60" s="0" t="n">
        <f aca="false">IF(IF((B$3*10^12-$A61)*(B$3*10^12-$A60)*-1&lt;0,0,1)*IF(ABS(B$3*10^12-$A61)&gt;(B$3*10^12-$A60),$A60,$A61)=B61,0,IF((B$3*10^12-$A61)*(B$3*10^12-$A60)*-1&lt;0,0,1)*IF(ABS(B$3*10^12-$A61)&gt;(B$3*10^12-$A60),$A60,$A61))</f>
        <v>0</v>
      </c>
      <c r="C60" s="0" t="n">
        <f aca="false">IF(IF((C$3*10^12-$A61)*(C$3*10^12-$A60)*-1&lt;0,0,1)*IF(ABS(C$3*10^12-$A61)&gt;(C$3*10^12-$A60),$A60,$A61)=C61,0,IF((C$3*10^12-$A61)*(C$3*10^12-$A60)*-1&lt;0,0,1)*IF(ABS(C$3*10^12-$A61)&gt;(C$3*10^12-$A60),$A60,$A61))</f>
        <v>0</v>
      </c>
      <c r="D60" s="0" t="n">
        <f aca="false">IF(IF((D$3*10^12-$A61)*(D$3*10^12-$A60)*-1&lt;0,0,1)*IF(ABS(D$3*10^12-$A61)&gt;(D$3*10^12-$A60),$A60,$A61)=D61,0,IF((D$3*10^12-$A61)*(D$3*10^12-$A60)*-1&lt;0,0,1)*IF(ABS(D$3*10^12-$A61)&gt;(D$3*10^12-$A60),$A60,$A61))</f>
        <v>0</v>
      </c>
      <c r="E60" s="0" t="n">
        <f aca="false">IF(IF((E$3*10^12-$A61)*(E$3*10^12-$A60)*-1&lt;0,0,1)*IF(ABS(E$3*10^12-$A61)&gt;(E$3*10^12-$A60),$A60,$A61)=E61,0,IF((E$3*10^12-$A61)*(E$3*10^12-$A60)*-1&lt;0,0,1)*IF(ABS(E$3*10^12-$A61)&gt;(E$3*10^12-$A60),$A60,$A61))</f>
        <v>0</v>
      </c>
      <c r="F60" s="0" t="n">
        <f aca="false">IF(IF((F$3*10^12-$A61)*(F$3*10^12-$A60)*-1&lt;0,0,1)*IF(ABS(F$3*10^12-$A61)&gt;(F$3*10^12-$A60),$A60,$A61)=F61,0,IF((F$3*10^12-$A61)*(F$3*10^12-$A60)*-1&lt;0,0,1)*IF(ABS(F$3*10^12-$A61)&gt;(F$3*10^12-$A60),$A60,$A61))</f>
        <v>0</v>
      </c>
      <c r="G60" s="0" t="n">
        <f aca="false">IF(IF((G$3*10^12-$A61)*(G$3*10^12-$A60)*-1&lt;0,0,1)*IF(ABS(G$3*10^12-$A61)&gt;(G$3*10^12-$A60),$A60,$A61)=G61,0,IF((G$3*10^12-$A61)*(G$3*10^12-$A60)*-1&lt;0,0,1)*IF(ABS(G$3*10^12-$A61)&gt;(G$3*10^12-$A60),$A60,$A61))</f>
        <v>0</v>
      </c>
      <c r="H60" s="0" t="n">
        <f aca="false">IF(IF((H$3*10^12-$A61)*(H$3*10^12-$A60)*-1&lt;0,0,1)*IF(ABS(H$3*10^12-$A61)&gt;(H$3*10^12-$A60),$A60,$A61)=H61,0,IF((H$3*10^12-$A61)*(H$3*10^12-$A60)*-1&lt;0,0,1)*IF(ABS(H$3*10^12-$A61)&gt;(H$3*10^12-$A60),$A60,$A61))</f>
        <v>0</v>
      </c>
      <c r="I60" s="0" t="n">
        <f aca="false">IF(IF((I$3*10^12-$A61)*(I$3*10^12-$A60)*-1&lt;0,0,1)*IF(ABS(I$3*10^12-$A61)&gt;(I$3*10^12-$A60),$A60,$A61)=I61,0,IF((I$3*10^12-$A61)*(I$3*10^12-$A60)*-1&lt;0,0,1)*IF(ABS(I$3*10^12-$A61)&gt;(I$3*10^12-$A60),$A60,$A61))</f>
        <v>0</v>
      </c>
      <c r="J60" s="0" t="n">
        <f aca="false">IF(IF((J$3*10^12-$A61)*(J$3*10^12-$A60)*-1&lt;0,0,1)*IF(ABS(J$3*10^12-$A61)&gt;(J$3*10^12-$A60),$A60,$A61)=J61,0,IF((J$3*10^12-$A61)*(J$3*10^12-$A60)*-1&lt;0,0,1)*IF(ABS(J$3*10^12-$A61)&gt;(J$3*10^12-$A60),$A60,$A61))</f>
        <v>0</v>
      </c>
      <c r="K60" s="0" t="n">
        <f aca="false">IF(IF((K$3*10^12-$A61)*(K$3*10^12-$A60)*-1&lt;0,0,1)*IF(ABS(K$3*10^12-$A61)&gt;(K$3*10^12-$A60),$A60,$A61)=K61,0,IF((K$3*10^12-$A61)*(K$3*10^12-$A60)*-1&lt;0,0,1)*IF(ABS(K$3*10^12-$A61)&gt;(K$3*10^12-$A60),$A60,$A61))</f>
        <v>0</v>
      </c>
      <c r="L60" s="0" t="n">
        <f aca="false">IF(IF((L$3*10^12-$A61)*(L$3*10^12-$A60)*-1&lt;0,0,1)*IF(ABS(L$3*10^12-$A61)&gt;(L$3*10^12-$A60),$A60,$A61)=L61,0,IF((L$3*10^12-$A61)*(L$3*10^12-$A60)*-1&lt;0,0,1)*IF(ABS(L$3*10^12-$A61)&gt;(L$3*10^12-$A60),$A60,$A61))</f>
        <v>0</v>
      </c>
      <c r="M60" s="0" t="n">
        <f aca="false">IF(IF((M$3*10^12-$A61)*(M$3*10^12-$A60)*-1&lt;0,0,1)*IF(ABS(M$3*10^12-$A61)&gt;(M$3*10^12-$A60),$A60,$A61)=M61,0,IF((M$3*10^12-$A61)*(M$3*10^12-$A60)*-1&lt;0,0,1)*IF(ABS(M$3*10^12-$A61)&gt;(M$3*10^12-$A60),$A60,$A61))</f>
        <v>0</v>
      </c>
      <c r="N60" s="0" t="e">
        <f aca="false">IF(IF((N$3*10^12-$A61)*(N$3*10^12-$A60)*-1&lt;0,0,1)*IF(ABS(N$3*10^12-$A61)&gt;(N$3*10^12-$A60),$A60,$A61)=N61,0,IF((N$3*10^12-$A61)*(N$3*10^12-$A60)*-1&lt;0,0,1)*IF(ABS(N$3*10^12-$A61)&gt;(N$3*10^12-$A60),$A60,$A61))</f>
        <v>#VALUE!</v>
      </c>
    </row>
    <row r="61" customFormat="false" ht="12.75" hidden="false" customHeight="false" outlineLevel="0" collapsed="false">
      <c r="A61" s="0" t="n">
        <f aca="false">A49*10</f>
        <v>18000</v>
      </c>
      <c r="B61" s="0" t="n">
        <f aca="false">IF(IF((B$3*10^12-$A62)*(B$3*10^12-$A61)*-1&lt;0,0,1)*IF(ABS(B$3*10^12-$A62)&gt;(B$3*10^12-$A61),$A61,$A62)=B62,0,IF((B$3*10^12-$A62)*(B$3*10^12-$A61)*-1&lt;0,0,1)*IF(ABS(B$3*10^12-$A62)&gt;(B$3*10^12-$A61),$A61,$A62))</f>
        <v>0</v>
      </c>
      <c r="C61" s="0" t="n">
        <f aca="false">IF(IF((C$3*10^12-$A62)*(C$3*10^12-$A61)*-1&lt;0,0,1)*IF(ABS(C$3*10^12-$A62)&gt;(C$3*10^12-$A61),$A61,$A62)=C62,0,IF((C$3*10^12-$A62)*(C$3*10^12-$A61)*-1&lt;0,0,1)*IF(ABS(C$3*10^12-$A62)&gt;(C$3*10^12-$A61),$A61,$A62))</f>
        <v>0</v>
      </c>
      <c r="D61" s="0" t="n">
        <f aca="false">IF(IF((D$3*10^12-$A62)*(D$3*10^12-$A61)*-1&lt;0,0,1)*IF(ABS(D$3*10^12-$A62)&gt;(D$3*10^12-$A61),$A61,$A62)=D62,0,IF((D$3*10^12-$A62)*(D$3*10^12-$A61)*-1&lt;0,0,1)*IF(ABS(D$3*10^12-$A62)&gt;(D$3*10^12-$A61),$A61,$A62))</f>
        <v>0</v>
      </c>
      <c r="E61" s="0" t="n">
        <f aca="false">IF(IF((E$3*10^12-$A62)*(E$3*10^12-$A61)*-1&lt;0,0,1)*IF(ABS(E$3*10^12-$A62)&gt;(E$3*10^12-$A61),$A61,$A62)=E62,0,IF((E$3*10^12-$A62)*(E$3*10^12-$A61)*-1&lt;0,0,1)*IF(ABS(E$3*10^12-$A62)&gt;(E$3*10^12-$A61),$A61,$A62))</f>
        <v>0</v>
      </c>
      <c r="F61" s="0" t="n">
        <f aca="false">IF(IF((F$3*10^12-$A62)*(F$3*10^12-$A61)*-1&lt;0,0,1)*IF(ABS(F$3*10^12-$A62)&gt;(F$3*10^12-$A61),$A61,$A62)=F62,0,IF((F$3*10^12-$A62)*(F$3*10^12-$A61)*-1&lt;0,0,1)*IF(ABS(F$3*10^12-$A62)&gt;(F$3*10^12-$A61),$A61,$A62))</f>
        <v>0</v>
      </c>
      <c r="G61" s="0" t="n">
        <f aca="false">IF(IF((G$3*10^12-$A62)*(G$3*10^12-$A61)*-1&lt;0,0,1)*IF(ABS(G$3*10^12-$A62)&gt;(G$3*10^12-$A61),$A61,$A62)=G62,0,IF((G$3*10^12-$A62)*(G$3*10^12-$A61)*-1&lt;0,0,1)*IF(ABS(G$3*10^12-$A62)&gt;(G$3*10^12-$A61),$A61,$A62))</f>
        <v>0</v>
      </c>
      <c r="H61" s="0" t="n">
        <f aca="false">IF(IF((H$3*10^12-$A62)*(H$3*10^12-$A61)*-1&lt;0,0,1)*IF(ABS(H$3*10^12-$A62)&gt;(H$3*10^12-$A61),$A61,$A62)=H62,0,IF((H$3*10^12-$A62)*(H$3*10^12-$A61)*-1&lt;0,0,1)*IF(ABS(H$3*10^12-$A62)&gt;(H$3*10^12-$A61),$A61,$A62))</f>
        <v>0</v>
      </c>
      <c r="I61" s="0" t="n">
        <f aca="false">IF(IF((I$3*10^12-$A62)*(I$3*10^12-$A61)*-1&lt;0,0,1)*IF(ABS(I$3*10^12-$A62)&gt;(I$3*10^12-$A61),$A61,$A62)=I62,0,IF((I$3*10^12-$A62)*(I$3*10^12-$A61)*-1&lt;0,0,1)*IF(ABS(I$3*10^12-$A62)&gt;(I$3*10^12-$A61),$A61,$A62))</f>
        <v>0</v>
      </c>
      <c r="J61" s="0" t="n">
        <f aca="false">IF(IF((J$3*10^12-$A62)*(J$3*10^12-$A61)*-1&lt;0,0,1)*IF(ABS(J$3*10^12-$A62)&gt;(J$3*10^12-$A61),$A61,$A62)=J62,0,IF((J$3*10^12-$A62)*(J$3*10^12-$A61)*-1&lt;0,0,1)*IF(ABS(J$3*10^12-$A62)&gt;(J$3*10^12-$A61),$A61,$A62))</f>
        <v>0</v>
      </c>
      <c r="K61" s="0" t="n">
        <f aca="false">IF(IF((K$3*10^12-$A62)*(K$3*10^12-$A61)*-1&lt;0,0,1)*IF(ABS(K$3*10^12-$A62)&gt;(K$3*10^12-$A61),$A61,$A62)=K62,0,IF((K$3*10^12-$A62)*(K$3*10^12-$A61)*-1&lt;0,0,1)*IF(ABS(K$3*10^12-$A62)&gt;(K$3*10^12-$A61),$A61,$A62))</f>
        <v>0</v>
      </c>
      <c r="L61" s="0" t="n">
        <f aca="false">IF(IF((L$3*10^12-$A62)*(L$3*10^12-$A61)*-1&lt;0,0,1)*IF(ABS(L$3*10^12-$A62)&gt;(L$3*10^12-$A61),$A61,$A62)=L62,0,IF((L$3*10^12-$A62)*(L$3*10^12-$A61)*-1&lt;0,0,1)*IF(ABS(L$3*10^12-$A62)&gt;(L$3*10^12-$A61),$A61,$A62))</f>
        <v>0</v>
      </c>
      <c r="M61" s="0" t="n">
        <f aca="false">IF(IF((M$3*10^12-$A62)*(M$3*10^12-$A61)*-1&lt;0,0,1)*IF(ABS(M$3*10^12-$A62)&gt;(M$3*10^12-$A61),$A61,$A62)=M62,0,IF((M$3*10^12-$A62)*(M$3*10^12-$A61)*-1&lt;0,0,1)*IF(ABS(M$3*10^12-$A62)&gt;(M$3*10^12-$A61),$A61,$A62))</f>
        <v>0</v>
      </c>
      <c r="N61" s="0" t="e">
        <f aca="false">IF(IF((N$3*10^12-$A62)*(N$3*10^12-$A61)*-1&lt;0,0,1)*IF(ABS(N$3*10^12-$A62)&gt;(N$3*10^12-$A61),$A61,$A62)=N62,0,IF((N$3*10^12-$A62)*(N$3*10^12-$A61)*-1&lt;0,0,1)*IF(ABS(N$3*10^12-$A62)&gt;(N$3*10^12-$A61),$A61,$A62))</f>
        <v>#VALUE!</v>
      </c>
    </row>
    <row r="62" customFormat="false" ht="12.75" hidden="false" customHeight="false" outlineLevel="0" collapsed="false">
      <c r="A62" s="0" t="n">
        <f aca="false">A50*10</f>
        <v>22000</v>
      </c>
      <c r="B62" s="0" t="n">
        <f aca="false">IF(IF((B$3*10^12-$A63)*(B$3*10^12-$A62)*-1&lt;0,0,1)*IF(ABS(B$3*10^12-$A63)&gt;(B$3*10^12-$A62),$A62,$A63)=B63,0,IF((B$3*10^12-$A63)*(B$3*10^12-$A62)*-1&lt;0,0,1)*IF(ABS(B$3*10^12-$A63)&gt;(B$3*10^12-$A62),$A62,$A63))</f>
        <v>0</v>
      </c>
      <c r="C62" s="0" t="n">
        <f aca="false">IF(IF((C$3*10^12-$A63)*(C$3*10^12-$A62)*-1&lt;0,0,1)*IF(ABS(C$3*10^12-$A63)&gt;(C$3*10^12-$A62),$A62,$A63)=C63,0,IF((C$3*10^12-$A63)*(C$3*10^12-$A62)*-1&lt;0,0,1)*IF(ABS(C$3*10^12-$A63)&gt;(C$3*10^12-$A62),$A62,$A63))</f>
        <v>0</v>
      </c>
      <c r="D62" s="0" t="n">
        <f aca="false">IF(IF((D$3*10^12-$A63)*(D$3*10^12-$A62)*-1&lt;0,0,1)*IF(ABS(D$3*10^12-$A63)&gt;(D$3*10^12-$A62),$A62,$A63)=D63,0,IF((D$3*10^12-$A63)*(D$3*10^12-$A62)*-1&lt;0,0,1)*IF(ABS(D$3*10^12-$A63)&gt;(D$3*10^12-$A62),$A62,$A63))</f>
        <v>0</v>
      </c>
      <c r="E62" s="0" t="n">
        <f aca="false">IF(IF((E$3*10^12-$A63)*(E$3*10^12-$A62)*-1&lt;0,0,1)*IF(ABS(E$3*10^12-$A63)&gt;(E$3*10^12-$A62),$A62,$A63)=E63,0,IF((E$3*10^12-$A63)*(E$3*10^12-$A62)*-1&lt;0,0,1)*IF(ABS(E$3*10^12-$A63)&gt;(E$3*10^12-$A62),$A62,$A63))</f>
        <v>0</v>
      </c>
      <c r="F62" s="0" t="n">
        <f aca="false">IF(IF((F$3*10^12-$A63)*(F$3*10^12-$A62)*-1&lt;0,0,1)*IF(ABS(F$3*10^12-$A63)&gt;(F$3*10^12-$A62),$A62,$A63)=F63,0,IF((F$3*10^12-$A63)*(F$3*10^12-$A62)*-1&lt;0,0,1)*IF(ABS(F$3*10^12-$A63)&gt;(F$3*10^12-$A62),$A62,$A63))</f>
        <v>0</v>
      </c>
      <c r="G62" s="0" t="n">
        <f aca="false">IF(IF((G$3*10^12-$A63)*(G$3*10^12-$A62)*-1&lt;0,0,1)*IF(ABS(G$3*10^12-$A63)&gt;(G$3*10^12-$A62),$A62,$A63)=G63,0,IF((G$3*10^12-$A63)*(G$3*10^12-$A62)*-1&lt;0,0,1)*IF(ABS(G$3*10^12-$A63)&gt;(G$3*10^12-$A62),$A62,$A63))</f>
        <v>0</v>
      </c>
      <c r="H62" s="0" t="n">
        <f aca="false">IF(IF((H$3*10^12-$A63)*(H$3*10^12-$A62)*-1&lt;0,0,1)*IF(ABS(H$3*10^12-$A63)&gt;(H$3*10^12-$A62),$A62,$A63)=H63,0,IF((H$3*10^12-$A63)*(H$3*10^12-$A62)*-1&lt;0,0,1)*IF(ABS(H$3*10^12-$A63)&gt;(H$3*10^12-$A62),$A62,$A63))</f>
        <v>0</v>
      </c>
      <c r="I62" s="0" t="n">
        <f aca="false">IF(IF((I$3*10^12-$A63)*(I$3*10^12-$A62)*-1&lt;0,0,1)*IF(ABS(I$3*10^12-$A63)&gt;(I$3*10^12-$A62),$A62,$A63)=I63,0,IF((I$3*10^12-$A63)*(I$3*10^12-$A62)*-1&lt;0,0,1)*IF(ABS(I$3*10^12-$A63)&gt;(I$3*10^12-$A62),$A62,$A63))</f>
        <v>0</v>
      </c>
      <c r="J62" s="0" t="n">
        <f aca="false">IF(IF((J$3*10^12-$A63)*(J$3*10^12-$A62)*-1&lt;0,0,1)*IF(ABS(J$3*10^12-$A63)&gt;(J$3*10^12-$A62),$A62,$A63)=J63,0,IF((J$3*10^12-$A63)*(J$3*10^12-$A62)*-1&lt;0,0,1)*IF(ABS(J$3*10^12-$A63)&gt;(J$3*10^12-$A62),$A62,$A63))</f>
        <v>0</v>
      </c>
      <c r="K62" s="0" t="n">
        <f aca="false">IF(IF((K$3*10^12-$A63)*(K$3*10^12-$A62)*-1&lt;0,0,1)*IF(ABS(K$3*10^12-$A63)&gt;(K$3*10^12-$A62),$A62,$A63)=K63,0,IF((K$3*10^12-$A63)*(K$3*10^12-$A62)*-1&lt;0,0,1)*IF(ABS(K$3*10^12-$A63)&gt;(K$3*10^12-$A62),$A62,$A63))</f>
        <v>0</v>
      </c>
      <c r="L62" s="0" t="n">
        <f aca="false">IF(IF((L$3*10^12-$A63)*(L$3*10^12-$A62)*-1&lt;0,0,1)*IF(ABS(L$3*10^12-$A63)&gt;(L$3*10^12-$A62),$A62,$A63)=L63,0,IF((L$3*10^12-$A63)*(L$3*10^12-$A62)*-1&lt;0,0,1)*IF(ABS(L$3*10^12-$A63)&gt;(L$3*10^12-$A62),$A62,$A63))</f>
        <v>0</v>
      </c>
      <c r="M62" s="0" t="n">
        <f aca="false">IF(IF((M$3*10^12-$A63)*(M$3*10^12-$A62)*-1&lt;0,0,1)*IF(ABS(M$3*10^12-$A63)&gt;(M$3*10^12-$A62),$A62,$A63)=M63,0,IF((M$3*10^12-$A63)*(M$3*10^12-$A62)*-1&lt;0,0,1)*IF(ABS(M$3*10^12-$A63)&gt;(M$3*10^12-$A62),$A62,$A63))</f>
        <v>0</v>
      </c>
      <c r="N62" s="0" t="e">
        <f aca="false">IF(IF((N$3*10^12-$A63)*(N$3*10^12-$A62)*-1&lt;0,0,1)*IF(ABS(N$3*10^12-$A63)&gt;(N$3*10^12-$A62),$A62,$A63)=N63,0,IF((N$3*10^12-$A63)*(N$3*10^12-$A62)*-1&lt;0,0,1)*IF(ABS(N$3*10^12-$A63)&gt;(N$3*10^12-$A62),$A62,$A63))</f>
        <v>#VALUE!</v>
      </c>
    </row>
    <row r="63" customFormat="false" ht="12.75" hidden="false" customHeight="false" outlineLevel="0" collapsed="false">
      <c r="A63" s="0" t="n">
        <f aca="false">A51*10</f>
        <v>27000</v>
      </c>
      <c r="B63" s="0" t="n">
        <f aca="false">IF(IF((B$3*10^12-$A64)*(B$3*10^12-$A63)*-1&lt;0,0,1)*IF(ABS(B$3*10^12-$A64)&gt;(B$3*10^12-$A63),$A63,$A64)=B64,0,IF((B$3*10^12-$A64)*(B$3*10^12-$A63)*-1&lt;0,0,1)*IF(ABS(B$3*10^12-$A64)&gt;(B$3*10^12-$A63),$A63,$A64))</f>
        <v>33000</v>
      </c>
      <c r="C63" s="0" t="n">
        <f aca="false">IF(IF((C$3*10^12-$A64)*(C$3*10^12-$A63)*-1&lt;0,0,1)*IF(ABS(C$3*10^12-$A64)&gt;(C$3*10^12-$A63),$A63,$A64)=C64,0,IF((C$3*10^12-$A64)*(C$3*10^12-$A63)*-1&lt;0,0,1)*IF(ABS(C$3*10^12-$A64)&gt;(C$3*10^12-$A63),$A63,$A64))</f>
        <v>0</v>
      </c>
      <c r="D63" s="0" t="n">
        <f aca="false">IF(IF((D$3*10^12-$A64)*(D$3*10^12-$A63)*-1&lt;0,0,1)*IF(ABS(D$3*10^12-$A64)&gt;(D$3*10^12-$A63),$A63,$A64)=D64,0,IF((D$3*10^12-$A64)*(D$3*10^12-$A63)*-1&lt;0,0,1)*IF(ABS(D$3*10^12-$A64)&gt;(D$3*10^12-$A63),$A63,$A64))</f>
        <v>0</v>
      </c>
      <c r="E63" s="0" t="n">
        <f aca="false">IF(IF((E$3*10^12-$A64)*(E$3*10^12-$A63)*-1&lt;0,0,1)*IF(ABS(E$3*10^12-$A64)&gt;(E$3*10^12-$A63),$A63,$A64)=E64,0,IF((E$3*10^12-$A64)*(E$3*10^12-$A63)*-1&lt;0,0,1)*IF(ABS(E$3*10^12-$A64)&gt;(E$3*10^12-$A63),$A63,$A64))</f>
        <v>0</v>
      </c>
      <c r="F63" s="0" t="n">
        <f aca="false">IF(IF((F$3*10^12-$A64)*(F$3*10^12-$A63)*-1&lt;0,0,1)*IF(ABS(F$3*10^12-$A64)&gt;(F$3*10^12-$A63),$A63,$A64)=F64,0,IF((F$3*10^12-$A64)*(F$3*10^12-$A63)*-1&lt;0,0,1)*IF(ABS(F$3*10^12-$A64)&gt;(F$3*10^12-$A63),$A63,$A64))</f>
        <v>0</v>
      </c>
      <c r="G63" s="0" t="n">
        <f aca="false">IF(IF((G$3*10^12-$A64)*(G$3*10^12-$A63)*-1&lt;0,0,1)*IF(ABS(G$3*10^12-$A64)&gt;(G$3*10^12-$A63),$A63,$A64)=G64,0,IF((G$3*10^12-$A64)*(G$3*10^12-$A63)*-1&lt;0,0,1)*IF(ABS(G$3*10^12-$A64)&gt;(G$3*10^12-$A63),$A63,$A64))</f>
        <v>0</v>
      </c>
      <c r="H63" s="0" t="n">
        <f aca="false">IF(IF((H$3*10^12-$A64)*(H$3*10^12-$A63)*-1&lt;0,0,1)*IF(ABS(H$3*10^12-$A64)&gt;(H$3*10^12-$A63),$A63,$A64)=H64,0,IF((H$3*10^12-$A64)*(H$3*10^12-$A63)*-1&lt;0,0,1)*IF(ABS(H$3*10^12-$A64)&gt;(H$3*10^12-$A63),$A63,$A64))</f>
        <v>0</v>
      </c>
      <c r="I63" s="0" t="n">
        <f aca="false">IF(IF((I$3*10^12-$A64)*(I$3*10^12-$A63)*-1&lt;0,0,1)*IF(ABS(I$3*10^12-$A64)&gt;(I$3*10^12-$A63),$A63,$A64)=I64,0,IF((I$3*10^12-$A64)*(I$3*10^12-$A63)*-1&lt;0,0,1)*IF(ABS(I$3*10^12-$A64)&gt;(I$3*10^12-$A63),$A63,$A64))</f>
        <v>0</v>
      </c>
      <c r="J63" s="0" t="n">
        <f aca="false">IF(IF((J$3*10^12-$A64)*(J$3*10^12-$A63)*-1&lt;0,0,1)*IF(ABS(J$3*10^12-$A64)&gt;(J$3*10^12-$A63),$A63,$A64)=J64,0,IF((J$3*10^12-$A64)*(J$3*10^12-$A63)*-1&lt;0,0,1)*IF(ABS(J$3*10^12-$A64)&gt;(J$3*10^12-$A63),$A63,$A64))</f>
        <v>0</v>
      </c>
      <c r="K63" s="0" t="n">
        <f aca="false">IF(IF((K$3*10^12-$A64)*(K$3*10^12-$A63)*-1&lt;0,0,1)*IF(ABS(K$3*10^12-$A64)&gt;(K$3*10^12-$A63),$A63,$A64)=K64,0,IF((K$3*10^12-$A64)*(K$3*10^12-$A63)*-1&lt;0,0,1)*IF(ABS(K$3*10^12-$A64)&gt;(K$3*10^12-$A63),$A63,$A64))</f>
        <v>0</v>
      </c>
      <c r="L63" s="0" t="n">
        <f aca="false">IF(IF((L$3*10^12-$A64)*(L$3*10^12-$A63)*-1&lt;0,0,1)*IF(ABS(L$3*10^12-$A64)&gt;(L$3*10^12-$A63),$A63,$A64)=L64,0,IF((L$3*10^12-$A64)*(L$3*10^12-$A63)*-1&lt;0,0,1)*IF(ABS(L$3*10^12-$A64)&gt;(L$3*10^12-$A63),$A63,$A64))</f>
        <v>0</v>
      </c>
      <c r="M63" s="0" t="n">
        <f aca="false">IF(IF((M$3*10^12-$A64)*(M$3*10^12-$A63)*-1&lt;0,0,1)*IF(ABS(M$3*10^12-$A64)&gt;(M$3*10^12-$A63),$A63,$A64)=M64,0,IF((M$3*10^12-$A64)*(M$3*10^12-$A63)*-1&lt;0,0,1)*IF(ABS(M$3*10^12-$A64)&gt;(M$3*10^12-$A63),$A63,$A64))</f>
        <v>0</v>
      </c>
      <c r="N63" s="0" t="e">
        <f aca="false">IF(IF((N$3*10^12-$A64)*(N$3*10^12-$A63)*-1&lt;0,0,1)*IF(ABS(N$3*10^12-$A64)&gt;(N$3*10^12-$A63),$A63,$A64)=N64,0,IF((N$3*10^12-$A64)*(N$3*10^12-$A63)*-1&lt;0,0,1)*IF(ABS(N$3*10^12-$A64)&gt;(N$3*10^12-$A63),$A63,$A64))</f>
        <v>#VALUE!</v>
      </c>
    </row>
    <row r="64" customFormat="false" ht="12.75" hidden="false" customHeight="false" outlineLevel="0" collapsed="false">
      <c r="A64" s="0" t="n">
        <f aca="false">A52*10</f>
        <v>33000</v>
      </c>
      <c r="B64" s="0" t="n">
        <f aca="false">IF(IF((B$3*10^12-$A65)*(B$3*10^12-$A64)*-1&lt;0,0,1)*IF(ABS(B$3*10^12-$A65)&gt;(B$3*10^12-$A64),$A64,$A65)=B65,0,IF((B$3*10^12-$A65)*(B$3*10^12-$A64)*-1&lt;0,0,1)*IF(ABS(B$3*10^12-$A65)&gt;(B$3*10^12-$A64),$A64,$A65))</f>
        <v>0</v>
      </c>
      <c r="C64" s="0" t="n">
        <f aca="false">IF(IF((C$3*10^12-$A65)*(C$3*10^12-$A64)*-1&lt;0,0,1)*IF(ABS(C$3*10^12-$A65)&gt;(C$3*10^12-$A64),$A64,$A65)=C65,0,IF((C$3*10^12-$A65)*(C$3*10^12-$A64)*-1&lt;0,0,1)*IF(ABS(C$3*10^12-$A65)&gt;(C$3*10^12-$A64),$A64,$A65))</f>
        <v>0</v>
      </c>
      <c r="D64" s="0" t="n">
        <f aca="false">IF(IF((D$3*10^12-$A65)*(D$3*10^12-$A64)*-1&lt;0,0,1)*IF(ABS(D$3*10^12-$A65)&gt;(D$3*10^12-$A64),$A64,$A65)=D65,0,IF((D$3*10^12-$A65)*(D$3*10^12-$A64)*-1&lt;0,0,1)*IF(ABS(D$3*10^12-$A65)&gt;(D$3*10^12-$A64),$A64,$A65))</f>
        <v>0</v>
      </c>
      <c r="E64" s="0" t="n">
        <f aca="false">IF(IF((E$3*10^12-$A65)*(E$3*10^12-$A64)*-1&lt;0,0,1)*IF(ABS(E$3*10^12-$A65)&gt;(E$3*10^12-$A64),$A64,$A65)=E65,0,IF((E$3*10^12-$A65)*(E$3*10^12-$A64)*-1&lt;0,0,1)*IF(ABS(E$3*10^12-$A65)&gt;(E$3*10^12-$A64),$A64,$A65))</f>
        <v>0</v>
      </c>
      <c r="F64" s="0" t="n">
        <f aca="false">IF(IF((F$3*10^12-$A65)*(F$3*10^12-$A64)*-1&lt;0,0,1)*IF(ABS(F$3*10^12-$A65)&gt;(F$3*10^12-$A64),$A64,$A65)=F65,0,IF((F$3*10^12-$A65)*(F$3*10^12-$A64)*-1&lt;0,0,1)*IF(ABS(F$3*10^12-$A65)&gt;(F$3*10^12-$A64),$A64,$A65))</f>
        <v>0</v>
      </c>
      <c r="G64" s="0" t="n">
        <f aca="false">IF(IF((G$3*10^12-$A65)*(G$3*10^12-$A64)*-1&lt;0,0,1)*IF(ABS(G$3*10^12-$A65)&gt;(G$3*10^12-$A64),$A64,$A65)=G65,0,IF((G$3*10^12-$A65)*(G$3*10^12-$A64)*-1&lt;0,0,1)*IF(ABS(G$3*10^12-$A65)&gt;(G$3*10^12-$A64),$A64,$A65))</f>
        <v>0</v>
      </c>
      <c r="H64" s="0" t="n">
        <f aca="false">IF(IF((H$3*10^12-$A65)*(H$3*10^12-$A64)*-1&lt;0,0,1)*IF(ABS(H$3*10^12-$A65)&gt;(H$3*10^12-$A64),$A64,$A65)=H65,0,IF((H$3*10^12-$A65)*(H$3*10^12-$A64)*-1&lt;0,0,1)*IF(ABS(H$3*10^12-$A65)&gt;(H$3*10^12-$A64),$A64,$A65))</f>
        <v>0</v>
      </c>
      <c r="I64" s="0" t="n">
        <f aca="false">IF(IF((I$3*10^12-$A65)*(I$3*10^12-$A64)*-1&lt;0,0,1)*IF(ABS(I$3*10^12-$A65)&gt;(I$3*10^12-$A64),$A64,$A65)=I65,0,IF((I$3*10^12-$A65)*(I$3*10^12-$A64)*-1&lt;0,0,1)*IF(ABS(I$3*10^12-$A65)&gt;(I$3*10^12-$A64),$A64,$A65))</f>
        <v>0</v>
      </c>
      <c r="J64" s="0" t="n">
        <f aca="false">IF(IF((J$3*10^12-$A65)*(J$3*10^12-$A64)*-1&lt;0,0,1)*IF(ABS(J$3*10^12-$A65)&gt;(J$3*10^12-$A64),$A64,$A65)=J65,0,IF((J$3*10^12-$A65)*(J$3*10^12-$A64)*-1&lt;0,0,1)*IF(ABS(J$3*10^12-$A65)&gt;(J$3*10^12-$A64),$A64,$A65))</f>
        <v>0</v>
      </c>
      <c r="K64" s="0" t="n">
        <f aca="false">IF(IF((K$3*10^12-$A65)*(K$3*10^12-$A64)*-1&lt;0,0,1)*IF(ABS(K$3*10^12-$A65)&gt;(K$3*10^12-$A64),$A64,$A65)=K65,0,IF((K$3*10^12-$A65)*(K$3*10^12-$A64)*-1&lt;0,0,1)*IF(ABS(K$3*10^12-$A65)&gt;(K$3*10^12-$A64),$A64,$A65))</f>
        <v>0</v>
      </c>
      <c r="L64" s="0" t="n">
        <f aca="false">IF(IF((L$3*10^12-$A65)*(L$3*10^12-$A64)*-1&lt;0,0,1)*IF(ABS(L$3*10^12-$A65)&gt;(L$3*10^12-$A64),$A64,$A65)=L65,0,IF((L$3*10^12-$A65)*(L$3*10^12-$A64)*-1&lt;0,0,1)*IF(ABS(L$3*10^12-$A65)&gt;(L$3*10^12-$A64),$A64,$A65))</f>
        <v>0</v>
      </c>
      <c r="M64" s="0" t="n">
        <f aca="false">IF(IF((M$3*10^12-$A65)*(M$3*10^12-$A64)*-1&lt;0,0,1)*IF(ABS(M$3*10^12-$A65)&gt;(M$3*10^12-$A64),$A64,$A65)=M65,0,IF((M$3*10^12-$A65)*(M$3*10^12-$A64)*-1&lt;0,0,1)*IF(ABS(M$3*10^12-$A65)&gt;(M$3*10^12-$A64),$A64,$A65))</f>
        <v>0</v>
      </c>
      <c r="N64" s="0" t="e">
        <f aca="false">IF(IF((N$3*10^12-$A65)*(N$3*10^12-$A64)*-1&lt;0,0,1)*IF(ABS(N$3*10^12-$A65)&gt;(N$3*10^12-$A64),$A64,$A65)=N65,0,IF((N$3*10^12-$A65)*(N$3*10^12-$A64)*-1&lt;0,0,1)*IF(ABS(N$3*10^12-$A65)&gt;(N$3*10^12-$A64),$A64,$A65))</f>
        <v>#VALUE!</v>
      </c>
    </row>
    <row r="65" customFormat="false" ht="12.75" hidden="false" customHeight="false" outlineLevel="0" collapsed="false">
      <c r="A65" s="0" t="n">
        <f aca="false">A53*10</f>
        <v>39000</v>
      </c>
      <c r="B65" s="0" t="n">
        <f aca="false">IF(IF((B$3*10^12-$A66)*(B$3*10^12-$A65)*-1&lt;0,0,1)*IF(ABS(B$3*10^12-$A66)&gt;(B$3*10^12-$A65),$A65,$A66)=B66,0,IF((B$3*10^12-$A66)*(B$3*10^12-$A65)*-1&lt;0,0,1)*IF(ABS(B$3*10^12-$A66)&gt;(B$3*10^12-$A65),$A65,$A66))</f>
        <v>0</v>
      </c>
      <c r="C65" s="0" t="n">
        <f aca="false">IF(IF((C$3*10^12-$A66)*(C$3*10^12-$A65)*-1&lt;0,0,1)*IF(ABS(C$3*10^12-$A66)&gt;(C$3*10^12-$A65),$A65,$A66)=C66,0,IF((C$3*10^12-$A66)*(C$3*10^12-$A65)*-1&lt;0,0,1)*IF(ABS(C$3*10^12-$A66)&gt;(C$3*10^12-$A65),$A65,$A66))</f>
        <v>0</v>
      </c>
      <c r="D65" s="0" t="n">
        <f aca="false">IF(IF((D$3*10^12-$A66)*(D$3*10^12-$A65)*-1&lt;0,0,1)*IF(ABS(D$3*10^12-$A66)&gt;(D$3*10^12-$A65),$A65,$A66)=D66,0,IF((D$3*10^12-$A66)*(D$3*10^12-$A65)*-1&lt;0,0,1)*IF(ABS(D$3*10^12-$A66)&gt;(D$3*10^12-$A65),$A65,$A66))</f>
        <v>0</v>
      </c>
      <c r="E65" s="0" t="n">
        <f aca="false">IF(IF((E$3*10^12-$A66)*(E$3*10^12-$A65)*-1&lt;0,0,1)*IF(ABS(E$3*10^12-$A66)&gt;(E$3*10^12-$A65),$A65,$A66)=E66,0,IF((E$3*10^12-$A66)*(E$3*10^12-$A65)*-1&lt;0,0,1)*IF(ABS(E$3*10^12-$A66)&gt;(E$3*10^12-$A65),$A65,$A66))</f>
        <v>0</v>
      </c>
      <c r="F65" s="0" t="n">
        <f aca="false">IF(IF((F$3*10^12-$A66)*(F$3*10^12-$A65)*-1&lt;0,0,1)*IF(ABS(F$3*10^12-$A66)&gt;(F$3*10^12-$A65),$A65,$A66)=F66,0,IF((F$3*10^12-$A66)*(F$3*10^12-$A65)*-1&lt;0,0,1)*IF(ABS(F$3*10^12-$A66)&gt;(F$3*10^12-$A65),$A65,$A66))</f>
        <v>0</v>
      </c>
      <c r="G65" s="0" t="n">
        <f aca="false">IF(IF((G$3*10^12-$A66)*(G$3*10^12-$A65)*-1&lt;0,0,1)*IF(ABS(G$3*10^12-$A66)&gt;(G$3*10^12-$A65),$A65,$A66)=G66,0,IF((G$3*10^12-$A66)*(G$3*10^12-$A65)*-1&lt;0,0,1)*IF(ABS(G$3*10^12-$A66)&gt;(G$3*10^12-$A65),$A65,$A66))</f>
        <v>0</v>
      </c>
      <c r="H65" s="0" t="n">
        <f aca="false">IF(IF((H$3*10^12-$A66)*(H$3*10^12-$A65)*-1&lt;0,0,1)*IF(ABS(H$3*10^12-$A66)&gt;(H$3*10^12-$A65),$A65,$A66)=H66,0,IF((H$3*10^12-$A66)*(H$3*10^12-$A65)*-1&lt;0,0,1)*IF(ABS(H$3*10^12-$A66)&gt;(H$3*10^12-$A65),$A65,$A66))</f>
        <v>0</v>
      </c>
      <c r="I65" s="0" t="n">
        <f aca="false">IF(IF((I$3*10^12-$A66)*(I$3*10^12-$A65)*-1&lt;0,0,1)*IF(ABS(I$3*10^12-$A66)&gt;(I$3*10^12-$A65),$A65,$A66)=I66,0,IF((I$3*10^12-$A66)*(I$3*10^12-$A65)*-1&lt;0,0,1)*IF(ABS(I$3*10^12-$A66)&gt;(I$3*10^12-$A65),$A65,$A66))</f>
        <v>0</v>
      </c>
      <c r="J65" s="0" t="n">
        <f aca="false">IF(IF((J$3*10^12-$A66)*(J$3*10^12-$A65)*-1&lt;0,0,1)*IF(ABS(J$3*10^12-$A66)&gt;(J$3*10^12-$A65),$A65,$A66)=J66,0,IF((J$3*10^12-$A66)*(J$3*10^12-$A65)*-1&lt;0,0,1)*IF(ABS(J$3*10^12-$A66)&gt;(J$3*10^12-$A65),$A65,$A66))</f>
        <v>0</v>
      </c>
      <c r="K65" s="0" t="n">
        <f aca="false">IF(IF((K$3*10^12-$A66)*(K$3*10^12-$A65)*-1&lt;0,0,1)*IF(ABS(K$3*10^12-$A66)&gt;(K$3*10^12-$A65),$A65,$A66)=K66,0,IF((K$3*10^12-$A66)*(K$3*10^12-$A65)*-1&lt;0,0,1)*IF(ABS(K$3*10^12-$A66)&gt;(K$3*10^12-$A65),$A65,$A66))</f>
        <v>0</v>
      </c>
      <c r="L65" s="0" t="n">
        <f aca="false">IF(IF((L$3*10^12-$A66)*(L$3*10^12-$A65)*-1&lt;0,0,1)*IF(ABS(L$3*10^12-$A66)&gt;(L$3*10^12-$A65),$A65,$A66)=L66,0,IF((L$3*10^12-$A66)*(L$3*10^12-$A65)*-1&lt;0,0,1)*IF(ABS(L$3*10^12-$A66)&gt;(L$3*10^12-$A65),$A65,$A66))</f>
        <v>0</v>
      </c>
      <c r="M65" s="0" t="n">
        <f aca="false">IF(IF((M$3*10^12-$A66)*(M$3*10^12-$A65)*-1&lt;0,0,1)*IF(ABS(M$3*10^12-$A66)&gt;(M$3*10^12-$A65),$A65,$A66)=M66,0,IF((M$3*10^12-$A66)*(M$3*10^12-$A65)*-1&lt;0,0,1)*IF(ABS(M$3*10^12-$A66)&gt;(M$3*10^12-$A65),$A65,$A66))</f>
        <v>0</v>
      </c>
      <c r="N65" s="0" t="e">
        <f aca="false">IF(IF((N$3*10^12-$A66)*(N$3*10^12-$A65)*-1&lt;0,0,1)*IF(ABS(N$3*10^12-$A66)&gt;(N$3*10^12-$A65),$A65,$A66)=N66,0,IF((N$3*10^12-$A66)*(N$3*10^12-$A65)*-1&lt;0,0,1)*IF(ABS(N$3*10^12-$A66)&gt;(N$3*10^12-$A65),$A65,$A66))</f>
        <v>#VALUE!</v>
      </c>
    </row>
    <row r="66" customFormat="false" ht="12.75" hidden="false" customHeight="false" outlineLevel="0" collapsed="false">
      <c r="A66" s="0" t="n">
        <f aca="false">A54*10</f>
        <v>47000</v>
      </c>
      <c r="B66" s="0" t="n">
        <f aca="false">IF(IF((B$3*10^12-$A67)*(B$3*10^12-$A66)*-1&lt;0,0,1)*IF(ABS(B$3*10^12-$A67)&gt;(B$3*10^12-$A66),$A66,$A67)=B67,0,IF((B$3*10^12-$A67)*(B$3*10^12-$A66)*-1&lt;0,0,1)*IF(ABS(B$3*10^12-$A67)&gt;(B$3*10^12-$A66),$A66,$A67))</f>
        <v>0</v>
      </c>
      <c r="C66" s="0" t="n">
        <f aca="false">IF(IF((C$3*10^12-$A67)*(C$3*10^12-$A66)*-1&lt;0,0,1)*IF(ABS(C$3*10^12-$A67)&gt;(C$3*10^12-$A66),$A66,$A67)=C67,0,IF((C$3*10^12-$A67)*(C$3*10^12-$A66)*-1&lt;0,0,1)*IF(ABS(C$3*10^12-$A67)&gt;(C$3*10^12-$A66),$A66,$A67))</f>
        <v>0</v>
      </c>
      <c r="D66" s="0" t="n">
        <f aca="false">IF(IF((D$3*10^12-$A67)*(D$3*10^12-$A66)*-1&lt;0,0,1)*IF(ABS(D$3*10^12-$A67)&gt;(D$3*10^12-$A66),$A66,$A67)=D67,0,IF((D$3*10^12-$A67)*(D$3*10^12-$A66)*-1&lt;0,0,1)*IF(ABS(D$3*10^12-$A67)&gt;(D$3*10^12-$A66),$A66,$A67))</f>
        <v>0</v>
      </c>
      <c r="E66" s="0" t="n">
        <f aca="false">IF(IF((E$3*10^12-$A67)*(E$3*10^12-$A66)*-1&lt;0,0,1)*IF(ABS(E$3*10^12-$A67)&gt;(E$3*10^12-$A66),$A66,$A67)=E67,0,IF((E$3*10^12-$A67)*(E$3*10^12-$A66)*-1&lt;0,0,1)*IF(ABS(E$3*10^12-$A67)&gt;(E$3*10^12-$A66),$A66,$A67))</f>
        <v>0</v>
      </c>
      <c r="F66" s="0" t="n">
        <f aca="false">IF(IF((F$3*10^12-$A67)*(F$3*10^12-$A66)*-1&lt;0,0,1)*IF(ABS(F$3*10^12-$A67)&gt;(F$3*10^12-$A66),$A66,$A67)=F67,0,IF((F$3*10^12-$A67)*(F$3*10^12-$A66)*-1&lt;0,0,1)*IF(ABS(F$3*10^12-$A67)&gt;(F$3*10^12-$A66),$A66,$A67))</f>
        <v>0</v>
      </c>
      <c r="G66" s="0" t="n">
        <f aca="false">IF(IF((G$3*10^12-$A67)*(G$3*10^12-$A66)*-1&lt;0,0,1)*IF(ABS(G$3*10^12-$A67)&gt;(G$3*10^12-$A66),$A66,$A67)=G67,0,IF((G$3*10^12-$A67)*(G$3*10^12-$A66)*-1&lt;0,0,1)*IF(ABS(G$3*10^12-$A67)&gt;(G$3*10^12-$A66),$A66,$A67))</f>
        <v>0</v>
      </c>
      <c r="H66" s="0" t="n">
        <f aca="false">IF(IF((H$3*10^12-$A67)*(H$3*10^12-$A66)*-1&lt;0,0,1)*IF(ABS(H$3*10^12-$A67)&gt;(H$3*10^12-$A66),$A66,$A67)=H67,0,IF((H$3*10^12-$A67)*(H$3*10^12-$A66)*-1&lt;0,0,1)*IF(ABS(H$3*10^12-$A67)&gt;(H$3*10^12-$A66),$A66,$A67))</f>
        <v>0</v>
      </c>
      <c r="I66" s="0" t="n">
        <f aca="false">IF(IF((I$3*10^12-$A67)*(I$3*10^12-$A66)*-1&lt;0,0,1)*IF(ABS(I$3*10^12-$A67)&gt;(I$3*10^12-$A66),$A66,$A67)=I67,0,IF((I$3*10^12-$A67)*(I$3*10^12-$A66)*-1&lt;0,0,1)*IF(ABS(I$3*10^12-$A67)&gt;(I$3*10^12-$A66),$A66,$A67))</f>
        <v>0</v>
      </c>
      <c r="J66" s="0" t="n">
        <f aca="false">IF(IF((J$3*10^12-$A67)*(J$3*10^12-$A66)*-1&lt;0,0,1)*IF(ABS(J$3*10^12-$A67)&gt;(J$3*10^12-$A66),$A66,$A67)=J67,0,IF((J$3*10^12-$A67)*(J$3*10^12-$A66)*-1&lt;0,0,1)*IF(ABS(J$3*10^12-$A67)&gt;(J$3*10^12-$A66),$A66,$A67))</f>
        <v>0</v>
      </c>
      <c r="K66" s="0" t="n">
        <f aca="false">IF(IF((K$3*10^12-$A67)*(K$3*10^12-$A66)*-1&lt;0,0,1)*IF(ABS(K$3*10^12-$A67)&gt;(K$3*10^12-$A66),$A66,$A67)=K67,0,IF((K$3*10^12-$A67)*(K$3*10^12-$A66)*-1&lt;0,0,1)*IF(ABS(K$3*10^12-$A67)&gt;(K$3*10^12-$A66),$A66,$A67))</f>
        <v>0</v>
      </c>
      <c r="L66" s="0" t="n">
        <f aca="false">IF(IF((L$3*10^12-$A67)*(L$3*10^12-$A66)*-1&lt;0,0,1)*IF(ABS(L$3*10^12-$A67)&gt;(L$3*10^12-$A66),$A66,$A67)=L67,0,IF((L$3*10^12-$A67)*(L$3*10^12-$A66)*-1&lt;0,0,1)*IF(ABS(L$3*10^12-$A67)&gt;(L$3*10^12-$A66),$A66,$A67))</f>
        <v>0</v>
      </c>
      <c r="M66" s="0" t="n">
        <f aca="false">IF(IF((M$3*10^12-$A67)*(M$3*10^12-$A66)*-1&lt;0,0,1)*IF(ABS(M$3*10^12-$A67)&gt;(M$3*10^12-$A66),$A66,$A67)=M67,0,IF((M$3*10^12-$A67)*(M$3*10^12-$A66)*-1&lt;0,0,1)*IF(ABS(M$3*10^12-$A67)&gt;(M$3*10^12-$A66),$A66,$A67))</f>
        <v>0</v>
      </c>
      <c r="N66" s="0" t="e">
        <f aca="false">IF(IF((N$3*10^12-$A67)*(N$3*10^12-$A66)*-1&lt;0,0,1)*IF(ABS(N$3*10^12-$A67)&gt;(N$3*10^12-$A66),$A66,$A67)=N67,0,IF((N$3*10^12-$A67)*(N$3*10^12-$A66)*-1&lt;0,0,1)*IF(ABS(N$3*10^12-$A67)&gt;(N$3*10^12-$A66),$A66,$A67))</f>
        <v>#VALUE!</v>
      </c>
    </row>
    <row r="67" customFormat="false" ht="12.75" hidden="false" customHeight="false" outlineLevel="0" collapsed="false">
      <c r="A67" s="0" t="n">
        <f aca="false">A55*10</f>
        <v>56000</v>
      </c>
      <c r="B67" s="0" t="n">
        <f aca="false">IF(IF((B$3*10^12-$A68)*(B$3*10^12-$A67)*-1&lt;0,0,1)*IF(ABS(B$3*10^12-$A68)&gt;(B$3*10^12-$A67),$A67,$A68)=B68,0,IF((B$3*10^12-$A68)*(B$3*10^12-$A67)*-1&lt;0,0,1)*IF(ABS(B$3*10^12-$A68)&gt;(B$3*10^12-$A67),$A67,$A68))</f>
        <v>0</v>
      </c>
      <c r="C67" s="0" t="n">
        <f aca="false">IF(IF((C$3*10^12-$A68)*(C$3*10^12-$A67)*-1&lt;0,0,1)*IF(ABS(C$3*10^12-$A68)&gt;(C$3*10^12-$A67),$A67,$A68)=C68,0,IF((C$3*10^12-$A68)*(C$3*10^12-$A67)*-1&lt;0,0,1)*IF(ABS(C$3*10^12-$A68)&gt;(C$3*10^12-$A67),$A67,$A68))</f>
        <v>0</v>
      </c>
      <c r="D67" s="0" t="n">
        <f aca="false">IF(IF((D$3*10^12-$A68)*(D$3*10^12-$A67)*-1&lt;0,0,1)*IF(ABS(D$3*10^12-$A68)&gt;(D$3*10^12-$A67),$A67,$A68)=D68,0,IF((D$3*10^12-$A68)*(D$3*10^12-$A67)*-1&lt;0,0,1)*IF(ABS(D$3*10^12-$A68)&gt;(D$3*10^12-$A67),$A67,$A68))</f>
        <v>0</v>
      </c>
      <c r="E67" s="0" t="n">
        <f aca="false">IF(IF((E$3*10^12-$A68)*(E$3*10^12-$A67)*-1&lt;0,0,1)*IF(ABS(E$3*10^12-$A68)&gt;(E$3*10^12-$A67),$A67,$A68)=E68,0,IF((E$3*10^12-$A68)*(E$3*10^12-$A67)*-1&lt;0,0,1)*IF(ABS(E$3*10^12-$A68)&gt;(E$3*10^12-$A67),$A67,$A68))</f>
        <v>0</v>
      </c>
      <c r="F67" s="0" t="n">
        <f aca="false">IF(IF((F$3*10^12-$A68)*(F$3*10^12-$A67)*-1&lt;0,0,1)*IF(ABS(F$3*10^12-$A68)&gt;(F$3*10^12-$A67),$A67,$A68)=F68,0,IF((F$3*10^12-$A68)*(F$3*10^12-$A67)*-1&lt;0,0,1)*IF(ABS(F$3*10^12-$A68)&gt;(F$3*10^12-$A67),$A67,$A68))</f>
        <v>0</v>
      </c>
      <c r="G67" s="0" t="n">
        <f aca="false">IF(IF((G$3*10^12-$A68)*(G$3*10^12-$A67)*-1&lt;0,0,1)*IF(ABS(G$3*10^12-$A68)&gt;(G$3*10^12-$A67),$A67,$A68)=G68,0,IF((G$3*10^12-$A68)*(G$3*10^12-$A67)*-1&lt;0,0,1)*IF(ABS(G$3*10^12-$A68)&gt;(G$3*10^12-$A67),$A67,$A68))</f>
        <v>0</v>
      </c>
      <c r="H67" s="0" t="n">
        <f aca="false">IF(IF((H$3*10^12-$A68)*(H$3*10^12-$A67)*-1&lt;0,0,1)*IF(ABS(H$3*10^12-$A68)&gt;(H$3*10^12-$A67),$A67,$A68)=H68,0,IF((H$3*10^12-$A68)*(H$3*10^12-$A67)*-1&lt;0,0,1)*IF(ABS(H$3*10^12-$A68)&gt;(H$3*10^12-$A67),$A67,$A68))</f>
        <v>0</v>
      </c>
      <c r="I67" s="0" t="n">
        <f aca="false">IF(IF((I$3*10^12-$A68)*(I$3*10^12-$A67)*-1&lt;0,0,1)*IF(ABS(I$3*10^12-$A68)&gt;(I$3*10^12-$A67),$A67,$A68)=I68,0,IF((I$3*10^12-$A68)*(I$3*10^12-$A67)*-1&lt;0,0,1)*IF(ABS(I$3*10^12-$A68)&gt;(I$3*10^12-$A67),$A67,$A68))</f>
        <v>0</v>
      </c>
      <c r="J67" s="0" t="n">
        <f aca="false">IF(IF((J$3*10^12-$A68)*(J$3*10^12-$A67)*-1&lt;0,0,1)*IF(ABS(J$3*10^12-$A68)&gt;(J$3*10^12-$A67),$A67,$A68)=J68,0,IF((J$3*10^12-$A68)*(J$3*10^12-$A67)*-1&lt;0,0,1)*IF(ABS(J$3*10^12-$A68)&gt;(J$3*10^12-$A67),$A67,$A68))</f>
        <v>0</v>
      </c>
      <c r="K67" s="0" t="n">
        <f aca="false">IF(IF((K$3*10^12-$A68)*(K$3*10^12-$A67)*-1&lt;0,0,1)*IF(ABS(K$3*10^12-$A68)&gt;(K$3*10^12-$A67),$A67,$A68)=K68,0,IF((K$3*10^12-$A68)*(K$3*10^12-$A67)*-1&lt;0,0,1)*IF(ABS(K$3*10^12-$A68)&gt;(K$3*10^12-$A67),$A67,$A68))</f>
        <v>0</v>
      </c>
      <c r="L67" s="0" t="n">
        <f aca="false">IF(IF((L$3*10^12-$A68)*(L$3*10^12-$A67)*-1&lt;0,0,1)*IF(ABS(L$3*10^12-$A68)&gt;(L$3*10^12-$A67),$A67,$A68)=L68,0,IF((L$3*10^12-$A68)*(L$3*10^12-$A67)*-1&lt;0,0,1)*IF(ABS(L$3*10^12-$A68)&gt;(L$3*10^12-$A67),$A67,$A68))</f>
        <v>0</v>
      </c>
      <c r="M67" s="0" t="n">
        <f aca="false">IF(IF((M$3*10^12-$A68)*(M$3*10^12-$A67)*-1&lt;0,0,1)*IF(ABS(M$3*10^12-$A68)&gt;(M$3*10^12-$A67),$A67,$A68)=M68,0,IF((M$3*10^12-$A68)*(M$3*10^12-$A67)*-1&lt;0,0,1)*IF(ABS(M$3*10^12-$A68)&gt;(M$3*10^12-$A67),$A67,$A68))</f>
        <v>0</v>
      </c>
      <c r="N67" s="0" t="e">
        <f aca="false">IF(IF((N$3*10^12-$A68)*(N$3*10^12-$A67)*-1&lt;0,0,1)*IF(ABS(N$3*10^12-$A68)&gt;(N$3*10^12-$A67),$A67,$A68)=N68,0,IF((N$3*10^12-$A68)*(N$3*10^12-$A67)*-1&lt;0,0,1)*IF(ABS(N$3*10^12-$A68)&gt;(N$3*10^12-$A67),$A67,$A68))</f>
        <v>#VALUE!</v>
      </c>
    </row>
    <row r="68" customFormat="false" ht="12.75" hidden="false" customHeight="false" outlineLevel="0" collapsed="false">
      <c r="A68" s="0" t="n">
        <f aca="false">A56*10</f>
        <v>68000</v>
      </c>
      <c r="B68" s="0" t="n">
        <f aca="false">IF(IF((B$3*10^12-$A69)*(B$3*10^12-$A68)*-1&lt;0,0,1)*IF(ABS(B$3*10^12-$A69)&gt;(B$3*10^12-$A68),$A68,$A69)=B69,0,IF((B$3*10^12-$A69)*(B$3*10^12-$A68)*-1&lt;0,0,1)*IF(ABS(B$3*10^12-$A69)&gt;(B$3*10^12-$A68),$A68,$A69))</f>
        <v>0</v>
      </c>
      <c r="C68" s="0" t="n">
        <f aca="false">IF(IF((C$3*10^12-$A69)*(C$3*10^12-$A68)*-1&lt;0,0,1)*IF(ABS(C$3*10^12-$A69)&gt;(C$3*10^12-$A68),$A68,$A69)=C69,0,IF((C$3*10^12-$A69)*(C$3*10^12-$A68)*-1&lt;0,0,1)*IF(ABS(C$3*10^12-$A69)&gt;(C$3*10^12-$A68),$A68,$A69))</f>
        <v>0</v>
      </c>
      <c r="D68" s="0" t="n">
        <f aca="false">IF(IF((D$3*10^12-$A69)*(D$3*10^12-$A68)*-1&lt;0,0,1)*IF(ABS(D$3*10^12-$A69)&gt;(D$3*10^12-$A68),$A68,$A69)=D69,0,IF((D$3*10^12-$A69)*(D$3*10^12-$A68)*-1&lt;0,0,1)*IF(ABS(D$3*10^12-$A69)&gt;(D$3*10^12-$A68),$A68,$A69))</f>
        <v>0</v>
      </c>
      <c r="E68" s="0" t="n">
        <f aca="false">IF(IF((E$3*10^12-$A69)*(E$3*10^12-$A68)*-1&lt;0,0,1)*IF(ABS(E$3*10^12-$A69)&gt;(E$3*10^12-$A68),$A68,$A69)=E69,0,IF((E$3*10^12-$A69)*(E$3*10^12-$A68)*-1&lt;0,0,1)*IF(ABS(E$3*10^12-$A69)&gt;(E$3*10^12-$A68),$A68,$A69))</f>
        <v>0</v>
      </c>
      <c r="F68" s="0" t="n">
        <f aca="false">IF(IF((F$3*10^12-$A69)*(F$3*10^12-$A68)*-1&lt;0,0,1)*IF(ABS(F$3*10^12-$A69)&gt;(F$3*10^12-$A68),$A68,$A69)=F69,0,IF((F$3*10^12-$A69)*(F$3*10^12-$A68)*-1&lt;0,0,1)*IF(ABS(F$3*10^12-$A69)&gt;(F$3*10^12-$A68),$A68,$A69))</f>
        <v>0</v>
      </c>
      <c r="G68" s="0" t="n">
        <f aca="false">IF(IF((G$3*10^12-$A69)*(G$3*10^12-$A68)*-1&lt;0,0,1)*IF(ABS(G$3*10^12-$A69)&gt;(G$3*10^12-$A68),$A68,$A69)=G69,0,IF((G$3*10^12-$A69)*(G$3*10^12-$A68)*-1&lt;0,0,1)*IF(ABS(G$3*10^12-$A69)&gt;(G$3*10^12-$A68),$A68,$A69))</f>
        <v>0</v>
      </c>
      <c r="H68" s="0" t="n">
        <f aca="false">IF(IF((H$3*10^12-$A69)*(H$3*10^12-$A68)*-1&lt;0,0,1)*IF(ABS(H$3*10^12-$A69)&gt;(H$3*10^12-$A68),$A68,$A69)=H69,0,IF((H$3*10^12-$A69)*(H$3*10^12-$A68)*-1&lt;0,0,1)*IF(ABS(H$3*10^12-$A69)&gt;(H$3*10^12-$A68),$A68,$A69))</f>
        <v>0</v>
      </c>
      <c r="I68" s="0" t="n">
        <f aca="false">IF(IF((I$3*10^12-$A69)*(I$3*10^12-$A68)*-1&lt;0,0,1)*IF(ABS(I$3*10^12-$A69)&gt;(I$3*10^12-$A68),$A68,$A69)=I69,0,IF((I$3*10^12-$A69)*(I$3*10^12-$A68)*-1&lt;0,0,1)*IF(ABS(I$3*10^12-$A69)&gt;(I$3*10^12-$A68),$A68,$A69))</f>
        <v>0</v>
      </c>
      <c r="J68" s="0" t="n">
        <f aca="false">IF(IF((J$3*10^12-$A69)*(J$3*10^12-$A68)*-1&lt;0,0,1)*IF(ABS(J$3*10^12-$A69)&gt;(J$3*10^12-$A68),$A68,$A69)=J69,0,IF((J$3*10^12-$A69)*(J$3*10^12-$A68)*-1&lt;0,0,1)*IF(ABS(J$3*10^12-$A69)&gt;(J$3*10^12-$A68),$A68,$A69))</f>
        <v>0</v>
      </c>
      <c r="K68" s="0" t="n">
        <f aca="false">IF(IF((K$3*10^12-$A69)*(K$3*10^12-$A68)*-1&lt;0,0,1)*IF(ABS(K$3*10^12-$A69)&gt;(K$3*10^12-$A68),$A68,$A69)=K69,0,IF((K$3*10^12-$A69)*(K$3*10^12-$A68)*-1&lt;0,0,1)*IF(ABS(K$3*10^12-$A69)&gt;(K$3*10^12-$A68),$A68,$A69))</f>
        <v>0</v>
      </c>
      <c r="L68" s="0" t="n">
        <f aca="false">IF(IF((L$3*10^12-$A69)*(L$3*10^12-$A68)*-1&lt;0,0,1)*IF(ABS(L$3*10^12-$A69)&gt;(L$3*10^12-$A68),$A68,$A69)=L69,0,IF((L$3*10^12-$A69)*(L$3*10^12-$A68)*-1&lt;0,0,1)*IF(ABS(L$3*10^12-$A69)&gt;(L$3*10^12-$A68),$A68,$A69))</f>
        <v>0</v>
      </c>
      <c r="M68" s="0" t="n">
        <f aca="false">IF(IF((M$3*10^12-$A69)*(M$3*10^12-$A68)*-1&lt;0,0,1)*IF(ABS(M$3*10^12-$A69)&gt;(M$3*10^12-$A68),$A68,$A69)=M69,0,IF((M$3*10^12-$A69)*(M$3*10^12-$A68)*-1&lt;0,0,1)*IF(ABS(M$3*10^12-$A69)&gt;(M$3*10^12-$A68),$A68,$A69))</f>
        <v>0</v>
      </c>
      <c r="N68" s="0" t="e">
        <f aca="false">IF(IF((N$3*10^12-$A69)*(N$3*10^12-$A68)*-1&lt;0,0,1)*IF(ABS(N$3*10^12-$A69)&gt;(N$3*10^12-$A68),$A68,$A69)=N69,0,IF((N$3*10^12-$A69)*(N$3*10^12-$A68)*-1&lt;0,0,1)*IF(ABS(N$3*10^12-$A69)&gt;(N$3*10^12-$A68),$A68,$A69))</f>
        <v>#VALUE!</v>
      </c>
    </row>
    <row r="69" customFormat="false" ht="12.75" hidden="false" customHeight="false" outlineLevel="0" collapsed="false">
      <c r="A69" s="0" t="n">
        <f aca="false">A57*10</f>
        <v>82000</v>
      </c>
      <c r="B69" s="0" t="n">
        <f aca="false">IF(IF((B$3*10^12-$A70)*(B$3*10^12-$A69)*-1&lt;0,0,1)*IF(ABS(B$3*10^12-$A70)&gt;(B$3*10^12-$A69),$A69,$A70)=B70,0,IF((B$3*10^12-$A70)*(B$3*10^12-$A69)*-1&lt;0,0,1)*IF(ABS(B$3*10^12-$A70)&gt;(B$3*10^12-$A69),$A69,$A70))</f>
        <v>0</v>
      </c>
      <c r="C69" s="0" t="n">
        <f aca="false">IF(IF((C$3*10^12-$A70)*(C$3*10^12-$A69)*-1&lt;0,0,1)*IF(ABS(C$3*10^12-$A70)&gt;(C$3*10^12-$A69),$A69,$A70)=C70,0,IF((C$3*10^12-$A70)*(C$3*10^12-$A69)*-1&lt;0,0,1)*IF(ABS(C$3*10^12-$A70)&gt;(C$3*10^12-$A69),$A69,$A70))</f>
        <v>0</v>
      </c>
      <c r="D69" s="0" t="n">
        <f aca="false">IF(IF((D$3*10^12-$A70)*(D$3*10^12-$A69)*-1&lt;0,0,1)*IF(ABS(D$3*10^12-$A70)&gt;(D$3*10^12-$A69),$A69,$A70)=D70,0,IF((D$3*10^12-$A70)*(D$3*10^12-$A69)*-1&lt;0,0,1)*IF(ABS(D$3*10^12-$A70)&gt;(D$3*10^12-$A69),$A69,$A70))</f>
        <v>0</v>
      </c>
      <c r="E69" s="0" t="n">
        <f aca="false">IF(IF((E$3*10^12-$A70)*(E$3*10^12-$A69)*-1&lt;0,0,1)*IF(ABS(E$3*10^12-$A70)&gt;(E$3*10^12-$A69),$A69,$A70)=E70,0,IF((E$3*10^12-$A70)*(E$3*10^12-$A69)*-1&lt;0,0,1)*IF(ABS(E$3*10^12-$A70)&gt;(E$3*10^12-$A69),$A69,$A70))</f>
        <v>0</v>
      </c>
      <c r="F69" s="0" t="n">
        <f aca="false">IF(IF((F$3*10^12-$A70)*(F$3*10^12-$A69)*-1&lt;0,0,1)*IF(ABS(F$3*10^12-$A70)&gt;(F$3*10^12-$A69),$A69,$A70)=F70,0,IF((F$3*10^12-$A70)*(F$3*10^12-$A69)*-1&lt;0,0,1)*IF(ABS(F$3*10^12-$A70)&gt;(F$3*10^12-$A69),$A69,$A70))</f>
        <v>0</v>
      </c>
      <c r="G69" s="0" t="n">
        <f aca="false">IF(IF((G$3*10^12-$A70)*(G$3*10^12-$A69)*-1&lt;0,0,1)*IF(ABS(G$3*10^12-$A70)&gt;(G$3*10^12-$A69),$A69,$A70)=G70,0,IF((G$3*10^12-$A70)*(G$3*10^12-$A69)*-1&lt;0,0,1)*IF(ABS(G$3*10^12-$A70)&gt;(G$3*10^12-$A69),$A69,$A70))</f>
        <v>0</v>
      </c>
      <c r="H69" s="0" t="n">
        <f aca="false">IF(IF((H$3*10^12-$A70)*(H$3*10^12-$A69)*-1&lt;0,0,1)*IF(ABS(H$3*10^12-$A70)&gt;(H$3*10^12-$A69),$A69,$A70)=H70,0,IF((H$3*10^12-$A70)*(H$3*10^12-$A69)*-1&lt;0,0,1)*IF(ABS(H$3*10^12-$A70)&gt;(H$3*10^12-$A69),$A69,$A70))</f>
        <v>0</v>
      </c>
      <c r="I69" s="0" t="n">
        <f aca="false">IF(IF((I$3*10^12-$A70)*(I$3*10^12-$A69)*-1&lt;0,0,1)*IF(ABS(I$3*10^12-$A70)&gt;(I$3*10^12-$A69),$A69,$A70)=I70,0,IF((I$3*10^12-$A70)*(I$3*10^12-$A69)*-1&lt;0,0,1)*IF(ABS(I$3*10^12-$A70)&gt;(I$3*10^12-$A69),$A69,$A70))</f>
        <v>0</v>
      </c>
      <c r="J69" s="0" t="n">
        <f aca="false">IF(IF((J$3*10^12-$A70)*(J$3*10^12-$A69)*-1&lt;0,0,1)*IF(ABS(J$3*10^12-$A70)&gt;(J$3*10^12-$A69),$A69,$A70)=J70,0,IF((J$3*10^12-$A70)*(J$3*10^12-$A69)*-1&lt;0,0,1)*IF(ABS(J$3*10^12-$A70)&gt;(J$3*10^12-$A69),$A69,$A70))</f>
        <v>0</v>
      </c>
      <c r="K69" s="0" t="n">
        <f aca="false">IF(IF((K$3*10^12-$A70)*(K$3*10^12-$A69)*-1&lt;0,0,1)*IF(ABS(K$3*10^12-$A70)&gt;(K$3*10^12-$A69),$A69,$A70)=K70,0,IF((K$3*10^12-$A70)*(K$3*10^12-$A69)*-1&lt;0,0,1)*IF(ABS(K$3*10^12-$A70)&gt;(K$3*10^12-$A69),$A69,$A70))</f>
        <v>0</v>
      </c>
      <c r="L69" s="0" t="n">
        <f aca="false">IF(IF((L$3*10^12-$A70)*(L$3*10^12-$A69)*-1&lt;0,0,1)*IF(ABS(L$3*10^12-$A70)&gt;(L$3*10^12-$A69),$A69,$A70)=L70,0,IF((L$3*10^12-$A70)*(L$3*10^12-$A69)*-1&lt;0,0,1)*IF(ABS(L$3*10^12-$A70)&gt;(L$3*10^12-$A69),$A69,$A70))</f>
        <v>0</v>
      </c>
      <c r="M69" s="0" t="n">
        <f aca="false">IF(IF((M$3*10^12-$A70)*(M$3*10^12-$A69)*-1&lt;0,0,1)*IF(ABS(M$3*10^12-$A70)&gt;(M$3*10^12-$A69),$A69,$A70)=M70,0,IF((M$3*10^12-$A70)*(M$3*10^12-$A69)*-1&lt;0,0,1)*IF(ABS(M$3*10^12-$A70)&gt;(M$3*10^12-$A69),$A69,$A70))</f>
        <v>0</v>
      </c>
      <c r="N69" s="0" t="e">
        <f aca="false">IF(IF((N$3*10^12-$A70)*(N$3*10^12-$A69)*-1&lt;0,0,1)*IF(ABS(N$3*10^12-$A70)&gt;(N$3*10^12-$A69),$A69,$A70)=N70,0,IF((N$3*10^12-$A70)*(N$3*10^12-$A69)*-1&lt;0,0,1)*IF(ABS(N$3*10^12-$A70)&gt;(N$3*10^12-$A69),$A69,$A70))</f>
        <v>#VALUE!</v>
      </c>
    </row>
    <row r="70" customFormat="false" ht="12.75" hidden="false" customHeight="false" outlineLevel="0" collapsed="false">
      <c r="A70" s="0" t="n">
        <f aca="false">A58*10</f>
        <v>100000</v>
      </c>
      <c r="B70" s="0" t="n">
        <f aca="false">IF(IF((B$3*10^12-$A71)*(B$3*10^12-$A70)*-1&lt;0,0,1)*IF(ABS(B$3*10^12-$A71)&gt;(B$3*10^12-$A70),$A70,$A71)=B71,0,IF((B$3*10^12-$A71)*(B$3*10^12-$A70)*-1&lt;0,0,1)*IF(ABS(B$3*10^12-$A71)&gt;(B$3*10^12-$A70),$A70,$A71))</f>
        <v>0</v>
      </c>
      <c r="C70" s="0" t="n">
        <f aca="false">IF(IF((C$3*10^12-$A71)*(C$3*10^12-$A70)*-1&lt;0,0,1)*IF(ABS(C$3*10^12-$A71)&gt;(C$3*10^12-$A70),$A70,$A71)=C71,0,IF((C$3*10^12-$A71)*(C$3*10^12-$A70)*-1&lt;0,0,1)*IF(ABS(C$3*10^12-$A71)&gt;(C$3*10^12-$A70),$A70,$A71))</f>
        <v>0</v>
      </c>
      <c r="D70" s="0" t="n">
        <f aca="false">IF(IF((D$3*10^12-$A71)*(D$3*10^12-$A70)*-1&lt;0,0,1)*IF(ABS(D$3*10^12-$A71)&gt;(D$3*10^12-$A70),$A70,$A71)=D71,0,IF((D$3*10^12-$A71)*(D$3*10^12-$A70)*-1&lt;0,0,1)*IF(ABS(D$3*10^12-$A71)&gt;(D$3*10^12-$A70),$A70,$A71))</f>
        <v>0</v>
      </c>
      <c r="E70" s="0" t="n">
        <f aca="false">IF(IF((E$3*10^12-$A71)*(E$3*10^12-$A70)*-1&lt;0,0,1)*IF(ABS(E$3*10^12-$A71)&gt;(E$3*10^12-$A70),$A70,$A71)=E71,0,IF((E$3*10^12-$A71)*(E$3*10^12-$A70)*-1&lt;0,0,1)*IF(ABS(E$3*10^12-$A71)&gt;(E$3*10^12-$A70),$A70,$A71))</f>
        <v>0</v>
      </c>
      <c r="F70" s="0" t="n">
        <f aca="false">IF(IF((F$3*10^12-$A71)*(F$3*10^12-$A70)*-1&lt;0,0,1)*IF(ABS(F$3*10^12-$A71)&gt;(F$3*10^12-$A70),$A70,$A71)=F71,0,IF((F$3*10^12-$A71)*(F$3*10^12-$A70)*-1&lt;0,0,1)*IF(ABS(F$3*10^12-$A71)&gt;(F$3*10^12-$A70),$A70,$A71))</f>
        <v>0</v>
      </c>
      <c r="G70" s="0" t="n">
        <f aca="false">IF(IF((G$3*10^12-$A71)*(G$3*10^12-$A70)*-1&lt;0,0,1)*IF(ABS(G$3*10^12-$A71)&gt;(G$3*10^12-$A70),$A70,$A71)=G71,0,IF((G$3*10^12-$A71)*(G$3*10^12-$A70)*-1&lt;0,0,1)*IF(ABS(G$3*10^12-$A71)&gt;(G$3*10^12-$A70),$A70,$A71))</f>
        <v>0</v>
      </c>
      <c r="H70" s="0" t="n">
        <f aca="false">IF(IF((H$3*10^12-$A71)*(H$3*10^12-$A70)*-1&lt;0,0,1)*IF(ABS(H$3*10^12-$A71)&gt;(H$3*10^12-$A70),$A70,$A71)=H71,0,IF((H$3*10^12-$A71)*(H$3*10^12-$A70)*-1&lt;0,0,1)*IF(ABS(H$3*10^12-$A71)&gt;(H$3*10^12-$A70),$A70,$A71))</f>
        <v>0</v>
      </c>
      <c r="I70" s="0" t="n">
        <f aca="false">IF(IF((I$3*10^12-$A71)*(I$3*10^12-$A70)*-1&lt;0,0,1)*IF(ABS(I$3*10^12-$A71)&gt;(I$3*10^12-$A70),$A70,$A71)=I71,0,IF((I$3*10^12-$A71)*(I$3*10^12-$A70)*-1&lt;0,0,1)*IF(ABS(I$3*10^12-$A71)&gt;(I$3*10^12-$A70),$A70,$A71))</f>
        <v>0</v>
      </c>
      <c r="J70" s="0" t="n">
        <f aca="false">IF(IF((J$3*10^12-$A71)*(J$3*10^12-$A70)*-1&lt;0,0,1)*IF(ABS(J$3*10^12-$A71)&gt;(J$3*10^12-$A70),$A70,$A71)=J71,0,IF((J$3*10^12-$A71)*(J$3*10^12-$A70)*-1&lt;0,0,1)*IF(ABS(J$3*10^12-$A71)&gt;(J$3*10^12-$A70),$A70,$A71))</f>
        <v>0</v>
      </c>
      <c r="K70" s="0" t="n">
        <f aca="false">IF(IF((K$3*10^12-$A71)*(K$3*10^12-$A70)*-1&lt;0,0,1)*IF(ABS(K$3*10^12-$A71)&gt;(K$3*10^12-$A70),$A70,$A71)=K71,0,IF((K$3*10^12-$A71)*(K$3*10^12-$A70)*-1&lt;0,0,1)*IF(ABS(K$3*10^12-$A71)&gt;(K$3*10^12-$A70),$A70,$A71))</f>
        <v>0</v>
      </c>
      <c r="L70" s="0" t="n">
        <f aca="false">IF(IF((L$3*10^12-$A71)*(L$3*10^12-$A70)*-1&lt;0,0,1)*IF(ABS(L$3*10^12-$A71)&gt;(L$3*10^12-$A70),$A70,$A71)=L71,0,IF((L$3*10^12-$A71)*(L$3*10^12-$A70)*-1&lt;0,0,1)*IF(ABS(L$3*10^12-$A71)&gt;(L$3*10^12-$A70),$A70,$A71))</f>
        <v>0</v>
      </c>
      <c r="M70" s="0" t="n">
        <f aca="false">IF(IF((M$3*10^12-$A71)*(M$3*10^12-$A70)*-1&lt;0,0,1)*IF(ABS(M$3*10^12-$A71)&gt;(M$3*10^12-$A70),$A70,$A71)=M71,0,IF((M$3*10^12-$A71)*(M$3*10^12-$A70)*-1&lt;0,0,1)*IF(ABS(M$3*10^12-$A71)&gt;(M$3*10^12-$A70),$A70,$A71))</f>
        <v>0</v>
      </c>
      <c r="N70" s="0" t="e">
        <f aca="false">IF(IF((N$3*10^12-$A71)*(N$3*10^12-$A70)*-1&lt;0,0,1)*IF(ABS(N$3*10^12-$A71)&gt;(N$3*10^12-$A70),$A70,$A71)=N71,0,IF((N$3*10^12-$A71)*(N$3*10^12-$A70)*-1&lt;0,0,1)*IF(ABS(N$3*10^12-$A71)&gt;(N$3*10^12-$A70),$A70,$A71))</f>
        <v>#VALUE!</v>
      </c>
    </row>
    <row r="71" customFormat="false" ht="12.75" hidden="false" customHeight="false" outlineLevel="0" collapsed="false">
      <c r="A71" s="0" t="n">
        <f aca="false">A59*10</f>
        <v>120000</v>
      </c>
      <c r="B71" s="0" t="n">
        <f aca="false">IF(IF((B$3*10^12-$A72)*(B$3*10^12-$A71)*-1&lt;0,0,1)*IF(ABS(B$3*10^12-$A72)&gt;(B$3*10^12-$A71),$A71,$A72)=B72,0,IF((B$3*10^12-$A72)*(B$3*10^12-$A71)*-1&lt;0,0,1)*IF(ABS(B$3*10^12-$A72)&gt;(B$3*10^12-$A71),$A71,$A72))</f>
        <v>0</v>
      </c>
      <c r="C71" s="0" t="n">
        <f aca="false">IF(IF((C$3*10^12-$A72)*(C$3*10^12-$A71)*-1&lt;0,0,1)*IF(ABS(C$3*10^12-$A72)&gt;(C$3*10^12-$A71),$A71,$A72)=C72,0,IF((C$3*10^12-$A72)*(C$3*10^12-$A71)*-1&lt;0,0,1)*IF(ABS(C$3*10^12-$A72)&gt;(C$3*10^12-$A71),$A71,$A72))</f>
        <v>0</v>
      </c>
      <c r="D71" s="0" t="n">
        <f aca="false">IF(IF((D$3*10^12-$A72)*(D$3*10^12-$A71)*-1&lt;0,0,1)*IF(ABS(D$3*10^12-$A72)&gt;(D$3*10^12-$A71),$A71,$A72)=D72,0,IF((D$3*10^12-$A72)*(D$3*10^12-$A71)*-1&lt;0,0,1)*IF(ABS(D$3*10^12-$A72)&gt;(D$3*10^12-$A71),$A71,$A72))</f>
        <v>0</v>
      </c>
      <c r="E71" s="0" t="n">
        <f aca="false">IF(IF((E$3*10^12-$A72)*(E$3*10^12-$A71)*-1&lt;0,0,1)*IF(ABS(E$3*10^12-$A72)&gt;(E$3*10^12-$A71),$A71,$A72)=E72,0,IF((E$3*10^12-$A72)*(E$3*10^12-$A71)*-1&lt;0,0,1)*IF(ABS(E$3*10^12-$A72)&gt;(E$3*10^12-$A71),$A71,$A72))</f>
        <v>0</v>
      </c>
      <c r="F71" s="0" t="n">
        <f aca="false">IF(IF((F$3*10^12-$A72)*(F$3*10^12-$A71)*-1&lt;0,0,1)*IF(ABS(F$3*10^12-$A72)&gt;(F$3*10^12-$A71),$A71,$A72)=F72,0,IF((F$3*10^12-$A72)*(F$3*10^12-$A71)*-1&lt;0,0,1)*IF(ABS(F$3*10^12-$A72)&gt;(F$3*10^12-$A71),$A71,$A72))</f>
        <v>0</v>
      </c>
      <c r="G71" s="0" t="n">
        <f aca="false">IF(IF((G$3*10^12-$A72)*(G$3*10^12-$A71)*-1&lt;0,0,1)*IF(ABS(G$3*10^12-$A72)&gt;(G$3*10^12-$A71),$A71,$A72)=G72,0,IF((G$3*10^12-$A72)*(G$3*10^12-$A71)*-1&lt;0,0,1)*IF(ABS(G$3*10^12-$A72)&gt;(G$3*10^12-$A71),$A71,$A72))</f>
        <v>0</v>
      </c>
      <c r="H71" s="0" t="n">
        <f aca="false">IF(IF((H$3*10^12-$A72)*(H$3*10^12-$A71)*-1&lt;0,0,1)*IF(ABS(H$3*10^12-$A72)&gt;(H$3*10^12-$A71),$A71,$A72)=H72,0,IF((H$3*10^12-$A72)*(H$3*10^12-$A71)*-1&lt;0,0,1)*IF(ABS(H$3*10^12-$A72)&gt;(H$3*10^12-$A71),$A71,$A72))</f>
        <v>0</v>
      </c>
      <c r="I71" s="0" t="n">
        <f aca="false">IF(IF((I$3*10^12-$A72)*(I$3*10^12-$A71)*-1&lt;0,0,1)*IF(ABS(I$3*10^12-$A72)&gt;(I$3*10^12-$A71),$A71,$A72)=I72,0,IF((I$3*10^12-$A72)*(I$3*10^12-$A71)*-1&lt;0,0,1)*IF(ABS(I$3*10^12-$A72)&gt;(I$3*10^12-$A71),$A71,$A72))</f>
        <v>0</v>
      </c>
      <c r="J71" s="0" t="n">
        <f aca="false">IF(IF((J$3*10^12-$A72)*(J$3*10^12-$A71)*-1&lt;0,0,1)*IF(ABS(J$3*10^12-$A72)&gt;(J$3*10^12-$A71),$A71,$A72)=J72,0,IF((J$3*10^12-$A72)*(J$3*10^12-$A71)*-1&lt;0,0,1)*IF(ABS(J$3*10^12-$A72)&gt;(J$3*10^12-$A71),$A71,$A72))</f>
        <v>0</v>
      </c>
      <c r="K71" s="0" t="n">
        <f aca="false">IF(IF((K$3*10^12-$A72)*(K$3*10^12-$A71)*-1&lt;0,0,1)*IF(ABS(K$3*10^12-$A72)&gt;(K$3*10^12-$A71),$A71,$A72)=K72,0,IF((K$3*10^12-$A72)*(K$3*10^12-$A71)*-1&lt;0,0,1)*IF(ABS(K$3*10^12-$A72)&gt;(K$3*10^12-$A71),$A71,$A72))</f>
        <v>0</v>
      </c>
      <c r="L71" s="0" t="n">
        <f aca="false">IF(IF((L$3*10^12-$A72)*(L$3*10^12-$A71)*-1&lt;0,0,1)*IF(ABS(L$3*10^12-$A72)&gt;(L$3*10^12-$A71),$A71,$A72)=L72,0,IF((L$3*10^12-$A72)*(L$3*10^12-$A71)*-1&lt;0,0,1)*IF(ABS(L$3*10^12-$A72)&gt;(L$3*10^12-$A71),$A71,$A72))</f>
        <v>0</v>
      </c>
      <c r="M71" s="0" t="n">
        <f aca="false">IF(IF((M$3*10^12-$A72)*(M$3*10^12-$A71)*-1&lt;0,0,1)*IF(ABS(M$3*10^12-$A72)&gt;(M$3*10^12-$A71),$A71,$A72)=M72,0,IF((M$3*10^12-$A72)*(M$3*10^12-$A71)*-1&lt;0,0,1)*IF(ABS(M$3*10^12-$A72)&gt;(M$3*10^12-$A71),$A71,$A72))</f>
        <v>0</v>
      </c>
      <c r="N71" s="0" t="e">
        <f aca="false">IF(IF((N$3*10^12-$A72)*(N$3*10^12-$A71)*-1&lt;0,0,1)*IF(ABS(N$3*10^12-$A72)&gt;(N$3*10^12-$A71),$A71,$A72)=N72,0,IF((N$3*10^12-$A72)*(N$3*10^12-$A71)*-1&lt;0,0,1)*IF(ABS(N$3*10^12-$A72)&gt;(N$3*10^12-$A71),$A71,$A72))</f>
        <v>#VALUE!</v>
      </c>
    </row>
    <row r="72" customFormat="false" ht="12.75" hidden="false" customHeight="false" outlineLevel="0" collapsed="false">
      <c r="A72" s="0" t="n">
        <f aca="false">A60*10</f>
        <v>150000</v>
      </c>
      <c r="B72" s="0" t="n">
        <f aca="false">IF(IF((B$3*10^12-$A73)*(B$3*10^12-$A72)*-1&lt;0,0,1)*IF(ABS(B$3*10^12-$A73)&gt;(B$3*10^12-$A72),$A72,$A73)=B73,0,IF((B$3*10^12-$A73)*(B$3*10^12-$A72)*-1&lt;0,0,1)*IF(ABS(B$3*10^12-$A73)&gt;(B$3*10^12-$A72),$A72,$A73))</f>
        <v>0</v>
      </c>
      <c r="C72" s="0" t="n">
        <f aca="false">IF(IF((C$3*10^12-$A73)*(C$3*10^12-$A72)*-1&lt;0,0,1)*IF(ABS(C$3*10^12-$A73)&gt;(C$3*10^12-$A72),$A72,$A73)=C73,0,IF((C$3*10^12-$A73)*(C$3*10^12-$A72)*-1&lt;0,0,1)*IF(ABS(C$3*10^12-$A73)&gt;(C$3*10^12-$A72),$A72,$A73))</f>
        <v>0</v>
      </c>
      <c r="D72" s="0" t="n">
        <f aca="false">IF(IF((D$3*10^12-$A73)*(D$3*10^12-$A72)*-1&lt;0,0,1)*IF(ABS(D$3*10^12-$A73)&gt;(D$3*10^12-$A72),$A72,$A73)=D73,0,IF((D$3*10^12-$A73)*(D$3*10^12-$A72)*-1&lt;0,0,1)*IF(ABS(D$3*10^12-$A73)&gt;(D$3*10^12-$A72),$A72,$A73))</f>
        <v>0</v>
      </c>
      <c r="E72" s="0" t="n">
        <f aca="false">IF(IF((E$3*10^12-$A73)*(E$3*10^12-$A72)*-1&lt;0,0,1)*IF(ABS(E$3*10^12-$A73)&gt;(E$3*10^12-$A72),$A72,$A73)=E73,0,IF((E$3*10^12-$A73)*(E$3*10^12-$A72)*-1&lt;0,0,1)*IF(ABS(E$3*10^12-$A73)&gt;(E$3*10^12-$A72),$A72,$A73))</f>
        <v>0</v>
      </c>
      <c r="F72" s="0" t="n">
        <f aca="false">IF(IF((F$3*10^12-$A73)*(F$3*10^12-$A72)*-1&lt;0,0,1)*IF(ABS(F$3*10^12-$A73)&gt;(F$3*10^12-$A72),$A72,$A73)=F73,0,IF((F$3*10^12-$A73)*(F$3*10^12-$A72)*-1&lt;0,0,1)*IF(ABS(F$3*10^12-$A73)&gt;(F$3*10^12-$A72),$A72,$A73))</f>
        <v>0</v>
      </c>
      <c r="G72" s="0" t="n">
        <f aca="false">IF(IF((G$3*10^12-$A73)*(G$3*10^12-$A72)*-1&lt;0,0,1)*IF(ABS(G$3*10^12-$A73)&gt;(G$3*10^12-$A72),$A72,$A73)=G73,0,IF((G$3*10^12-$A73)*(G$3*10^12-$A72)*-1&lt;0,0,1)*IF(ABS(G$3*10^12-$A73)&gt;(G$3*10^12-$A72),$A72,$A73))</f>
        <v>0</v>
      </c>
      <c r="H72" s="0" t="n">
        <f aca="false">IF(IF((H$3*10^12-$A73)*(H$3*10^12-$A72)*-1&lt;0,0,1)*IF(ABS(H$3*10^12-$A73)&gt;(H$3*10^12-$A72),$A72,$A73)=H73,0,IF((H$3*10^12-$A73)*(H$3*10^12-$A72)*-1&lt;0,0,1)*IF(ABS(H$3*10^12-$A73)&gt;(H$3*10^12-$A72),$A72,$A73))</f>
        <v>0</v>
      </c>
      <c r="I72" s="0" t="n">
        <f aca="false">IF(IF((I$3*10^12-$A73)*(I$3*10^12-$A72)*-1&lt;0,0,1)*IF(ABS(I$3*10^12-$A73)&gt;(I$3*10^12-$A72),$A72,$A73)=I73,0,IF((I$3*10^12-$A73)*(I$3*10^12-$A72)*-1&lt;0,0,1)*IF(ABS(I$3*10^12-$A73)&gt;(I$3*10^12-$A72),$A72,$A73))</f>
        <v>0</v>
      </c>
      <c r="J72" s="0" t="n">
        <f aca="false">IF(IF((J$3*10^12-$A73)*(J$3*10^12-$A72)*-1&lt;0,0,1)*IF(ABS(J$3*10^12-$A73)&gt;(J$3*10^12-$A72),$A72,$A73)=J73,0,IF((J$3*10^12-$A73)*(J$3*10^12-$A72)*-1&lt;0,0,1)*IF(ABS(J$3*10^12-$A73)&gt;(J$3*10^12-$A72),$A72,$A73))</f>
        <v>0</v>
      </c>
      <c r="K72" s="0" t="n">
        <f aca="false">IF(IF((K$3*10^12-$A73)*(K$3*10^12-$A72)*-1&lt;0,0,1)*IF(ABS(K$3*10^12-$A73)&gt;(K$3*10^12-$A72),$A72,$A73)=K73,0,IF((K$3*10^12-$A73)*(K$3*10^12-$A72)*-1&lt;0,0,1)*IF(ABS(K$3*10^12-$A73)&gt;(K$3*10^12-$A72),$A72,$A73))</f>
        <v>0</v>
      </c>
      <c r="L72" s="0" t="n">
        <f aca="false">IF(IF((L$3*10^12-$A73)*(L$3*10^12-$A72)*-1&lt;0,0,1)*IF(ABS(L$3*10^12-$A73)&gt;(L$3*10^12-$A72),$A72,$A73)=L73,0,IF((L$3*10^12-$A73)*(L$3*10^12-$A72)*-1&lt;0,0,1)*IF(ABS(L$3*10^12-$A73)&gt;(L$3*10^12-$A72),$A72,$A73))</f>
        <v>0</v>
      </c>
      <c r="M72" s="0" t="n">
        <f aca="false">IF(IF((M$3*10^12-$A73)*(M$3*10^12-$A72)*-1&lt;0,0,1)*IF(ABS(M$3*10^12-$A73)&gt;(M$3*10^12-$A72),$A72,$A73)=M73,0,IF((M$3*10^12-$A73)*(M$3*10^12-$A72)*-1&lt;0,0,1)*IF(ABS(M$3*10^12-$A73)&gt;(M$3*10^12-$A72),$A72,$A73))</f>
        <v>0</v>
      </c>
      <c r="N72" s="0" t="e">
        <f aca="false">IF(IF((N$3*10^12-$A73)*(N$3*10^12-$A72)*-1&lt;0,0,1)*IF(ABS(N$3*10^12-$A73)&gt;(N$3*10^12-$A72),$A72,$A73)=N73,0,IF((N$3*10^12-$A73)*(N$3*10^12-$A72)*-1&lt;0,0,1)*IF(ABS(N$3*10^12-$A73)&gt;(N$3*10^12-$A72),$A72,$A73))</f>
        <v>#VALUE!</v>
      </c>
    </row>
    <row r="73" customFormat="false" ht="12.75" hidden="false" customHeight="false" outlineLevel="0" collapsed="false">
      <c r="A73" s="0" t="n">
        <f aca="false">A61*10</f>
        <v>180000</v>
      </c>
      <c r="B73" s="0" t="n">
        <f aca="false">IF(IF((B$3*10^12-$A74)*(B$3*10^12-$A73)*-1&lt;0,0,1)*IF(ABS(B$3*10^12-$A74)&gt;(B$3*10^12-$A73),$A73,$A74)=B74,0,IF((B$3*10^12-$A74)*(B$3*10^12-$A73)*-1&lt;0,0,1)*IF(ABS(B$3*10^12-$A74)&gt;(B$3*10^12-$A73),$A73,$A74))</f>
        <v>0</v>
      </c>
      <c r="C73" s="0" t="n">
        <f aca="false">IF(IF((C$3*10^12-$A74)*(C$3*10^12-$A73)*-1&lt;0,0,1)*IF(ABS(C$3*10^12-$A74)&gt;(C$3*10^12-$A73),$A73,$A74)=C74,0,IF((C$3*10^12-$A74)*(C$3*10^12-$A73)*-1&lt;0,0,1)*IF(ABS(C$3*10^12-$A74)&gt;(C$3*10^12-$A73),$A73,$A74))</f>
        <v>0</v>
      </c>
      <c r="D73" s="0" t="n">
        <f aca="false">IF(IF((D$3*10^12-$A74)*(D$3*10^12-$A73)*-1&lt;0,0,1)*IF(ABS(D$3*10^12-$A74)&gt;(D$3*10^12-$A73),$A73,$A74)=D74,0,IF((D$3*10^12-$A74)*(D$3*10^12-$A73)*-1&lt;0,0,1)*IF(ABS(D$3*10^12-$A74)&gt;(D$3*10^12-$A73),$A73,$A74))</f>
        <v>0</v>
      </c>
      <c r="E73" s="0" t="n">
        <f aca="false">IF(IF((E$3*10^12-$A74)*(E$3*10^12-$A73)*-1&lt;0,0,1)*IF(ABS(E$3*10^12-$A74)&gt;(E$3*10^12-$A73),$A73,$A74)=E74,0,IF((E$3*10^12-$A74)*(E$3*10^12-$A73)*-1&lt;0,0,1)*IF(ABS(E$3*10^12-$A74)&gt;(E$3*10^12-$A73),$A73,$A74))</f>
        <v>0</v>
      </c>
      <c r="F73" s="0" t="n">
        <f aca="false">IF(IF((F$3*10^12-$A74)*(F$3*10^12-$A73)*-1&lt;0,0,1)*IF(ABS(F$3*10^12-$A74)&gt;(F$3*10^12-$A73),$A73,$A74)=F74,0,IF((F$3*10^12-$A74)*(F$3*10^12-$A73)*-1&lt;0,0,1)*IF(ABS(F$3*10^12-$A74)&gt;(F$3*10^12-$A73),$A73,$A74))</f>
        <v>0</v>
      </c>
      <c r="G73" s="0" t="n">
        <f aca="false">IF(IF((G$3*10^12-$A74)*(G$3*10^12-$A73)*-1&lt;0,0,1)*IF(ABS(G$3*10^12-$A74)&gt;(G$3*10^12-$A73),$A73,$A74)=G74,0,IF((G$3*10^12-$A74)*(G$3*10^12-$A73)*-1&lt;0,0,1)*IF(ABS(G$3*10^12-$A74)&gt;(G$3*10^12-$A73),$A73,$A74))</f>
        <v>0</v>
      </c>
      <c r="H73" s="0" t="n">
        <f aca="false">IF(IF((H$3*10^12-$A74)*(H$3*10^12-$A73)*-1&lt;0,0,1)*IF(ABS(H$3*10^12-$A74)&gt;(H$3*10^12-$A73),$A73,$A74)=H74,0,IF((H$3*10^12-$A74)*(H$3*10^12-$A73)*-1&lt;0,0,1)*IF(ABS(H$3*10^12-$A74)&gt;(H$3*10^12-$A73),$A73,$A74))</f>
        <v>0</v>
      </c>
      <c r="I73" s="0" t="n">
        <f aca="false">IF(IF((I$3*10^12-$A74)*(I$3*10^12-$A73)*-1&lt;0,0,1)*IF(ABS(I$3*10^12-$A74)&gt;(I$3*10^12-$A73),$A73,$A74)=I74,0,IF((I$3*10^12-$A74)*(I$3*10^12-$A73)*-1&lt;0,0,1)*IF(ABS(I$3*10^12-$A74)&gt;(I$3*10^12-$A73),$A73,$A74))</f>
        <v>0</v>
      </c>
      <c r="J73" s="0" t="n">
        <f aca="false">IF(IF((J$3*10^12-$A74)*(J$3*10^12-$A73)*-1&lt;0,0,1)*IF(ABS(J$3*10^12-$A74)&gt;(J$3*10^12-$A73),$A73,$A74)=J74,0,IF((J$3*10^12-$A74)*(J$3*10^12-$A73)*-1&lt;0,0,1)*IF(ABS(J$3*10^12-$A74)&gt;(J$3*10^12-$A73),$A73,$A74))</f>
        <v>0</v>
      </c>
      <c r="K73" s="0" t="n">
        <f aca="false">IF(IF((K$3*10^12-$A74)*(K$3*10^12-$A73)*-1&lt;0,0,1)*IF(ABS(K$3*10^12-$A74)&gt;(K$3*10^12-$A73),$A73,$A74)=K74,0,IF((K$3*10^12-$A74)*(K$3*10^12-$A73)*-1&lt;0,0,1)*IF(ABS(K$3*10^12-$A74)&gt;(K$3*10^12-$A73),$A73,$A74))</f>
        <v>0</v>
      </c>
      <c r="L73" s="0" t="n">
        <f aca="false">IF(IF((L$3*10^12-$A74)*(L$3*10^12-$A73)*-1&lt;0,0,1)*IF(ABS(L$3*10^12-$A74)&gt;(L$3*10^12-$A73),$A73,$A74)=L74,0,IF((L$3*10^12-$A74)*(L$3*10^12-$A73)*-1&lt;0,0,1)*IF(ABS(L$3*10^12-$A74)&gt;(L$3*10^12-$A73),$A73,$A74))</f>
        <v>0</v>
      </c>
      <c r="M73" s="0" t="n">
        <f aca="false">IF(IF((M$3*10^12-$A74)*(M$3*10^12-$A73)*-1&lt;0,0,1)*IF(ABS(M$3*10^12-$A74)&gt;(M$3*10^12-$A73),$A73,$A74)=M74,0,IF((M$3*10^12-$A74)*(M$3*10^12-$A73)*-1&lt;0,0,1)*IF(ABS(M$3*10^12-$A74)&gt;(M$3*10^12-$A73),$A73,$A74))</f>
        <v>0</v>
      </c>
      <c r="N73" s="0" t="e">
        <f aca="false">IF(IF((N$3*10^12-$A74)*(N$3*10^12-$A73)*-1&lt;0,0,1)*IF(ABS(N$3*10^12-$A74)&gt;(N$3*10^12-$A73),$A73,$A74)=N74,0,IF((N$3*10^12-$A74)*(N$3*10^12-$A73)*-1&lt;0,0,1)*IF(ABS(N$3*10^12-$A74)&gt;(N$3*10^12-$A73),$A73,$A74))</f>
        <v>#VALUE!</v>
      </c>
    </row>
    <row r="74" customFormat="false" ht="12.75" hidden="false" customHeight="false" outlineLevel="0" collapsed="false">
      <c r="A74" s="0" t="n">
        <f aca="false">A62*10</f>
        <v>220000</v>
      </c>
      <c r="B74" s="0" t="n">
        <f aca="false">IF(IF((B$3*10^12-$A75)*(B$3*10^12-$A74)*-1&lt;0,0,1)*IF(ABS(B$3*10^12-$A75)&gt;(B$3*10^12-$A74),$A74,$A75)=B75,0,IF((B$3*10^12-$A75)*(B$3*10^12-$A74)*-1&lt;0,0,1)*IF(ABS(B$3*10^12-$A75)&gt;(B$3*10^12-$A74),$A74,$A75))</f>
        <v>0</v>
      </c>
      <c r="C74" s="0" t="n">
        <f aca="false">IF(IF((C$3*10^12-$A75)*(C$3*10^12-$A74)*-1&lt;0,0,1)*IF(ABS(C$3*10^12-$A75)&gt;(C$3*10^12-$A74),$A74,$A75)=C75,0,IF((C$3*10^12-$A75)*(C$3*10^12-$A74)*-1&lt;0,0,1)*IF(ABS(C$3*10^12-$A75)&gt;(C$3*10^12-$A74),$A74,$A75))</f>
        <v>0</v>
      </c>
      <c r="D74" s="0" t="n">
        <f aca="false">IF(IF((D$3*10^12-$A75)*(D$3*10^12-$A74)*-1&lt;0,0,1)*IF(ABS(D$3*10^12-$A75)&gt;(D$3*10^12-$A74),$A74,$A75)=D75,0,IF((D$3*10^12-$A75)*(D$3*10^12-$A74)*-1&lt;0,0,1)*IF(ABS(D$3*10^12-$A75)&gt;(D$3*10^12-$A74),$A74,$A75))</f>
        <v>0</v>
      </c>
      <c r="E74" s="0" t="n">
        <f aca="false">IF(IF((E$3*10^12-$A75)*(E$3*10^12-$A74)*-1&lt;0,0,1)*IF(ABS(E$3*10^12-$A75)&gt;(E$3*10^12-$A74),$A74,$A75)=E75,0,IF((E$3*10^12-$A75)*(E$3*10^12-$A74)*-1&lt;0,0,1)*IF(ABS(E$3*10^12-$A75)&gt;(E$3*10^12-$A74),$A74,$A75))</f>
        <v>0</v>
      </c>
      <c r="F74" s="0" t="n">
        <f aca="false">IF(IF((F$3*10^12-$A75)*(F$3*10^12-$A74)*-1&lt;0,0,1)*IF(ABS(F$3*10^12-$A75)&gt;(F$3*10^12-$A74),$A74,$A75)=F75,0,IF((F$3*10^12-$A75)*(F$3*10^12-$A74)*-1&lt;0,0,1)*IF(ABS(F$3*10^12-$A75)&gt;(F$3*10^12-$A74),$A74,$A75))</f>
        <v>0</v>
      </c>
      <c r="G74" s="0" t="n">
        <f aca="false">IF(IF((G$3*10^12-$A75)*(G$3*10^12-$A74)*-1&lt;0,0,1)*IF(ABS(G$3*10^12-$A75)&gt;(G$3*10^12-$A74),$A74,$A75)=G75,0,IF((G$3*10^12-$A75)*(G$3*10^12-$A74)*-1&lt;0,0,1)*IF(ABS(G$3*10^12-$A75)&gt;(G$3*10^12-$A74),$A74,$A75))</f>
        <v>0</v>
      </c>
      <c r="H74" s="0" t="n">
        <f aca="false">IF(IF((H$3*10^12-$A75)*(H$3*10^12-$A74)*-1&lt;0,0,1)*IF(ABS(H$3*10^12-$A75)&gt;(H$3*10^12-$A74),$A74,$A75)=H75,0,IF((H$3*10^12-$A75)*(H$3*10^12-$A74)*-1&lt;0,0,1)*IF(ABS(H$3*10^12-$A75)&gt;(H$3*10^12-$A74),$A74,$A75))</f>
        <v>220000</v>
      </c>
      <c r="I74" s="0" t="n">
        <f aca="false">IF(IF((I$3*10^12-$A75)*(I$3*10^12-$A74)*-1&lt;0,0,1)*IF(ABS(I$3*10^12-$A75)&gt;(I$3*10^12-$A74),$A74,$A75)=I75,0,IF((I$3*10^12-$A75)*(I$3*10^12-$A74)*-1&lt;0,0,1)*IF(ABS(I$3*10^12-$A75)&gt;(I$3*10^12-$A74),$A74,$A75))</f>
        <v>0</v>
      </c>
      <c r="J74" s="0" t="n">
        <f aca="false">IF(IF((J$3*10^12-$A75)*(J$3*10^12-$A74)*-1&lt;0,0,1)*IF(ABS(J$3*10^12-$A75)&gt;(J$3*10^12-$A74),$A74,$A75)=J75,0,IF((J$3*10^12-$A75)*(J$3*10^12-$A74)*-1&lt;0,0,1)*IF(ABS(J$3*10^12-$A75)&gt;(J$3*10^12-$A74),$A74,$A75))</f>
        <v>0</v>
      </c>
      <c r="K74" s="0" t="n">
        <f aca="false">IF(IF((K$3*10^12-$A75)*(K$3*10^12-$A74)*-1&lt;0,0,1)*IF(ABS(K$3*10^12-$A75)&gt;(K$3*10^12-$A74),$A74,$A75)=K75,0,IF((K$3*10^12-$A75)*(K$3*10^12-$A74)*-1&lt;0,0,1)*IF(ABS(K$3*10^12-$A75)&gt;(K$3*10^12-$A74),$A74,$A75))</f>
        <v>0</v>
      </c>
      <c r="L74" s="0" t="n">
        <f aca="false">IF(IF((L$3*10^12-$A75)*(L$3*10^12-$A74)*-1&lt;0,0,1)*IF(ABS(L$3*10^12-$A75)&gt;(L$3*10^12-$A74),$A74,$A75)=L75,0,IF((L$3*10^12-$A75)*(L$3*10^12-$A74)*-1&lt;0,0,1)*IF(ABS(L$3*10^12-$A75)&gt;(L$3*10^12-$A74),$A74,$A75))</f>
        <v>0</v>
      </c>
      <c r="M74" s="0" t="n">
        <f aca="false">IF(IF((M$3*10^12-$A75)*(M$3*10^12-$A74)*-1&lt;0,0,1)*IF(ABS(M$3*10^12-$A75)&gt;(M$3*10^12-$A74),$A74,$A75)=M75,0,IF((M$3*10^12-$A75)*(M$3*10^12-$A74)*-1&lt;0,0,1)*IF(ABS(M$3*10^12-$A75)&gt;(M$3*10^12-$A74),$A74,$A75))</f>
        <v>0</v>
      </c>
      <c r="N74" s="0" t="e">
        <f aca="false">IF(IF((N$3*10^12-$A75)*(N$3*10^12-$A74)*-1&lt;0,0,1)*IF(ABS(N$3*10^12-$A75)&gt;(N$3*10^12-$A74),$A74,$A75)=N75,0,IF((N$3*10^12-$A75)*(N$3*10^12-$A74)*-1&lt;0,0,1)*IF(ABS(N$3*10^12-$A75)&gt;(N$3*10^12-$A74),$A74,$A75))</f>
        <v>#VALUE!</v>
      </c>
    </row>
    <row r="75" customFormat="false" ht="12.75" hidden="false" customHeight="false" outlineLevel="0" collapsed="false">
      <c r="A75" s="0" t="n">
        <f aca="false">A63*10</f>
        <v>270000</v>
      </c>
      <c r="B75" s="0" t="n">
        <f aca="false">IF(IF((B$3*10^12-$A76)*(B$3*10^12-$A75)*-1&lt;0,0,1)*IF(ABS(B$3*10^12-$A76)&gt;(B$3*10^12-$A75),$A75,$A76)=B76,0,IF((B$3*10^12-$A76)*(B$3*10^12-$A75)*-1&lt;0,0,1)*IF(ABS(B$3*10^12-$A76)&gt;(B$3*10^12-$A75),$A75,$A76))</f>
        <v>0</v>
      </c>
      <c r="C75" s="0" t="n">
        <f aca="false">IF(IF((C$3*10^12-$A76)*(C$3*10^12-$A75)*-1&lt;0,0,1)*IF(ABS(C$3*10^12-$A76)&gt;(C$3*10^12-$A75),$A75,$A76)=C76,0,IF((C$3*10^12-$A76)*(C$3*10^12-$A75)*-1&lt;0,0,1)*IF(ABS(C$3*10^12-$A76)&gt;(C$3*10^12-$A75),$A75,$A76))</f>
        <v>0</v>
      </c>
      <c r="D75" s="0" t="n">
        <f aca="false">IF(IF((D$3*10^12-$A76)*(D$3*10^12-$A75)*-1&lt;0,0,1)*IF(ABS(D$3*10^12-$A76)&gt;(D$3*10^12-$A75),$A75,$A76)=D76,0,IF((D$3*10^12-$A76)*(D$3*10^12-$A75)*-1&lt;0,0,1)*IF(ABS(D$3*10^12-$A76)&gt;(D$3*10^12-$A75),$A75,$A76))</f>
        <v>0</v>
      </c>
      <c r="E75" s="0" t="n">
        <f aca="false">IF(IF((E$3*10^12-$A76)*(E$3*10^12-$A75)*-1&lt;0,0,1)*IF(ABS(E$3*10^12-$A76)&gt;(E$3*10^12-$A75),$A75,$A76)=E76,0,IF((E$3*10^12-$A76)*(E$3*10^12-$A75)*-1&lt;0,0,1)*IF(ABS(E$3*10^12-$A76)&gt;(E$3*10^12-$A75),$A75,$A76))</f>
        <v>0</v>
      </c>
      <c r="F75" s="0" t="n">
        <f aca="false">IF(IF((F$3*10^12-$A76)*(F$3*10^12-$A75)*-1&lt;0,0,1)*IF(ABS(F$3*10^12-$A76)&gt;(F$3*10^12-$A75),$A75,$A76)=F76,0,IF((F$3*10^12-$A76)*(F$3*10^12-$A75)*-1&lt;0,0,1)*IF(ABS(F$3*10^12-$A76)&gt;(F$3*10^12-$A75),$A75,$A76))</f>
        <v>0</v>
      </c>
      <c r="G75" s="0" t="n">
        <f aca="false">IF(IF((G$3*10^12-$A76)*(G$3*10^12-$A75)*-1&lt;0,0,1)*IF(ABS(G$3*10^12-$A76)&gt;(G$3*10^12-$A75),$A75,$A76)=G76,0,IF((G$3*10^12-$A76)*(G$3*10^12-$A75)*-1&lt;0,0,1)*IF(ABS(G$3*10^12-$A76)&gt;(G$3*10^12-$A75),$A75,$A76))</f>
        <v>0</v>
      </c>
      <c r="H75" s="0" t="n">
        <f aca="false">IF(IF((H$3*10^12-$A76)*(H$3*10^12-$A75)*-1&lt;0,0,1)*IF(ABS(H$3*10^12-$A76)&gt;(H$3*10^12-$A75),$A75,$A76)=H76,0,IF((H$3*10^12-$A76)*(H$3*10^12-$A75)*-1&lt;0,0,1)*IF(ABS(H$3*10^12-$A76)&gt;(H$3*10^12-$A75),$A75,$A76))</f>
        <v>0</v>
      </c>
      <c r="I75" s="0" t="n">
        <f aca="false">IF(IF((I$3*10^12-$A76)*(I$3*10^12-$A75)*-1&lt;0,0,1)*IF(ABS(I$3*10^12-$A76)&gt;(I$3*10^12-$A75),$A75,$A76)=I76,0,IF((I$3*10^12-$A76)*(I$3*10^12-$A75)*-1&lt;0,0,1)*IF(ABS(I$3*10^12-$A76)&gt;(I$3*10^12-$A75),$A75,$A76))</f>
        <v>0</v>
      </c>
      <c r="J75" s="0" t="n">
        <f aca="false">IF(IF((J$3*10^12-$A76)*(J$3*10^12-$A75)*-1&lt;0,0,1)*IF(ABS(J$3*10^12-$A76)&gt;(J$3*10^12-$A75),$A75,$A76)=J76,0,IF((J$3*10^12-$A76)*(J$3*10^12-$A75)*-1&lt;0,0,1)*IF(ABS(J$3*10^12-$A76)&gt;(J$3*10^12-$A75),$A75,$A76))</f>
        <v>0</v>
      </c>
      <c r="K75" s="0" t="n">
        <f aca="false">IF(IF((K$3*10^12-$A76)*(K$3*10^12-$A75)*-1&lt;0,0,1)*IF(ABS(K$3*10^12-$A76)&gt;(K$3*10^12-$A75),$A75,$A76)=K76,0,IF((K$3*10^12-$A76)*(K$3*10^12-$A75)*-1&lt;0,0,1)*IF(ABS(K$3*10^12-$A76)&gt;(K$3*10^12-$A75),$A75,$A76))</f>
        <v>0</v>
      </c>
      <c r="L75" s="0" t="n">
        <f aca="false">IF(IF((L$3*10^12-$A76)*(L$3*10^12-$A75)*-1&lt;0,0,1)*IF(ABS(L$3*10^12-$A76)&gt;(L$3*10^12-$A75),$A75,$A76)=L76,0,IF((L$3*10^12-$A76)*(L$3*10^12-$A75)*-1&lt;0,0,1)*IF(ABS(L$3*10^12-$A76)&gt;(L$3*10^12-$A75),$A75,$A76))</f>
        <v>0</v>
      </c>
      <c r="M75" s="0" t="n">
        <f aca="false">IF(IF((M$3*10^12-$A76)*(M$3*10^12-$A75)*-1&lt;0,0,1)*IF(ABS(M$3*10^12-$A76)&gt;(M$3*10^12-$A75),$A75,$A76)=M76,0,IF((M$3*10^12-$A76)*(M$3*10^12-$A75)*-1&lt;0,0,1)*IF(ABS(M$3*10^12-$A76)&gt;(M$3*10^12-$A75),$A75,$A76))</f>
        <v>0</v>
      </c>
      <c r="N75" s="0" t="e">
        <f aca="false">IF(IF((N$3*10^12-$A76)*(N$3*10^12-$A75)*-1&lt;0,0,1)*IF(ABS(N$3*10^12-$A76)&gt;(N$3*10^12-$A75),$A75,$A76)=N76,0,IF((N$3*10^12-$A76)*(N$3*10^12-$A75)*-1&lt;0,0,1)*IF(ABS(N$3*10^12-$A76)&gt;(N$3*10^12-$A75),$A75,$A76))</f>
        <v>#VALUE!</v>
      </c>
    </row>
    <row r="76" customFormat="false" ht="12.75" hidden="false" customHeight="false" outlineLevel="0" collapsed="false">
      <c r="A76" s="0" t="n">
        <f aca="false">A64*10</f>
        <v>330000</v>
      </c>
      <c r="B76" s="0" t="n">
        <f aca="false">IF(IF((B$3*10^12-$A77)*(B$3*10^12-$A76)*-1&lt;0,0,1)*IF(ABS(B$3*10^12-$A77)&gt;(B$3*10^12-$A76),$A76,$A77)=B77,0,IF((B$3*10^12-$A77)*(B$3*10^12-$A76)*-1&lt;0,0,1)*IF(ABS(B$3*10^12-$A77)&gt;(B$3*10^12-$A76),$A76,$A77))</f>
        <v>0</v>
      </c>
      <c r="C76" s="0" t="n">
        <f aca="false">IF(IF((C$3*10^12-$A77)*(C$3*10^12-$A76)*-1&lt;0,0,1)*IF(ABS(C$3*10^12-$A77)&gt;(C$3*10^12-$A76),$A76,$A77)=C77,0,IF((C$3*10^12-$A77)*(C$3*10^12-$A76)*-1&lt;0,0,1)*IF(ABS(C$3*10^12-$A77)&gt;(C$3*10^12-$A76),$A76,$A77))</f>
        <v>0</v>
      </c>
      <c r="D76" s="0" t="n">
        <f aca="false">IF(IF((D$3*10^12-$A77)*(D$3*10^12-$A76)*-1&lt;0,0,1)*IF(ABS(D$3*10^12-$A77)&gt;(D$3*10^12-$A76),$A76,$A77)=D77,0,IF((D$3*10^12-$A77)*(D$3*10^12-$A76)*-1&lt;0,0,1)*IF(ABS(D$3*10^12-$A77)&gt;(D$3*10^12-$A76),$A76,$A77))</f>
        <v>0</v>
      </c>
      <c r="E76" s="0" t="n">
        <f aca="false">IF(IF((E$3*10^12-$A77)*(E$3*10^12-$A76)*-1&lt;0,0,1)*IF(ABS(E$3*10^12-$A77)&gt;(E$3*10^12-$A76),$A76,$A77)=E77,0,IF((E$3*10^12-$A77)*(E$3*10^12-$A76)*-1&lt;0,0,1)*IF(ABS(E$3*10^12-$A77)&gt;(E$3*10^12-$A76),$A76,$A77))</f>
        <v>0</v>
      </c>
      <c r="F76" s="0" t="n">
        <f aca="false">IF(IF((F$3*10^12-$A77)*(F$3*10^12-$A76)*-1&lt;0,0,1)*IF(ABS(F$3*10^12-$A77)&gt;(F$3*10^12-$A76),$A76,$A77)=F77,0,IF((F$3*10^12-$A77)*(F$3*10^12-$A76)*-1&lt;0,0,1)*IF(ABS(F$3*10^12-$A77)&gt;(F$3*10^12-$A76),$A76,$A77))</f>
        <v>0</v>
      </c>
      <c r="G76" s="0" t="n">
        <f aca="false">IF(IF((G$3*10^12-$A77)*(G$3*10^12-$A76)*-1&lt;0,0,1)*IF(ABS(G$3*10^12-$A77)&gt;(G$3*10^12-$A76),$A76,$A77)=G77,0,IF((G$3*10^12-$A77)*(G$3*10^12-$A76)*-1&lt;0,0,1)*IF(ABS(G$3*10^12-$A77)&gt;(G$3*10^12-$A76),$A76,$A77))</f>
        <v>0</v>
      </c>
      <c r="H76" s="0" t="n">
        <f aca="false">IF(IF((H$3*10^12-$A77)*(H$3*10^12-$A76)*-1&lt;0,0,1)*IF(ABS(H$3*10^12-$A77)&gt;(H$3*10^12-$A76),$A76,$A77)=H77,0,IF((H$3*10^12-$A77)*(H$3*10^12-$A76)*-1&lt;0,0,1)*IF(ABS(H$3*10^12-$A77)&gt;(H$3*10^12-$A76),$A76,$A77))</f>
        <v>0</v>
      </c>
      <c r="I76" s="0" t="n">
        <f aca="false">IF(IF((I$3*10^12-$A77)*(I$3*10^12-$A76)*-1&lt;0,0,1)*IF(ABS(I$3*10^12-$A77)&gt;(I$3*10^12-$A76),$A76,$A77)=I77,0,IF((I$3*10^12-$A77)*(I$3*10^12-$A76)*-1&lt;0,0,1)*IF(ABS(I$3*10^12-$A77)&gt;(I$3*10^12-$A76),$A76,$A77))</f>
        <v>0</v>
      </c>
      <c r="J76" s="0" t="n">
        <f aca="false">IF(IF((J$3*10^12-$A77)*(J$3*10^12-$A76)*-1&lt;0,0,1)*IF(ABS(J$3*10^12-$A77)&gt;(J$3*10^12-$A76),$A76,$A77)=J77,0,IF((J$3*10^12-$A77)*(J$3*10^12-$A76)*-1&lt;0,0,1)*IF(ABS(J$3*10^12-$A77)&gt;(J$3*10^12-$A76),$A76,$A77))</f>
        <v>0</v>
      </c>
      <c r="K76" s="0" t="n">
        <f aca="false">IF(IF((K$3*10^12-$A77)*(K$3*10^12-$A76)*-1&lt;0,0,1)*IF(ABS(K$3*10^12-$A77)&gt;(K$3*10^12-$A76),$A76,$A77)=K77,0,IF((K$3*10^12-$A77)*(K$3*10^12-$A76)*-1&lt;0,0,1)*IF(ABS(K$3*10^12-$A77)&gt;(K$3*10^12-$A76),$A76,$A77))</f>
        <v>0</v>
      </c>
      <c r="L76" s="0" t="n">
        <f aca="false">IF(IF((L$3*10^12-$A77)*(L$3*10^12-$A76)*-1&lt;0,0,1)*IF(ABS(L$3*10^12-$A77)&gt;(L$3*10^12-$A76),$A76,$A77)=L77,0,IF((L$3*10^12-$A77)*(L$3*10^12-$A76)*-1&lt;0,0,1)*IF(ABS(L$3*10^12-$A77)&gt;(L$3*10^12-$A76),$A76,$A77))</f>
        <v>0</v>
      </c>
      <c r="M76" s="0" t="n">
        <f aca="false">IF(IF((M$3*10^12-$A77)*(M$3*10^12-$A76)*-1&lt;0,0,1)*IF(ABS(M$3*10^12-$A77)&gt;(M$3*10^12-$A76),$A76,$A77)=M77,0,IF((M$3*10^12-$A77)*(M$3*10^12-$A76)*-1&lt;0,0,1)*IF(ABS(M$3*10^12-$A77)&gt;(M$3*10^12-$A76),$A76,$A77))</f>
        <v>0</v>
      </c>
      <c r="N76" s="0" t="e">
        <f aca="false">IF(IF((N$3*10^12-$A77)*(N$3*10^12-$A76)*-1&lt;0,0,1)*IF(ABS(N$3*10^12-$A77)&gt;(N$3*10^12-$A76),$A76,$A77)=N77,0,IF((N$3*10^12-$A77)*(N$3*10^12-$A76)*-1&lt;0,0,1)*IF(ABS(N$3*10^12-$A77)&gt;(N$3*10^12-$A76),$A76,$A77))</f>
        <v>#VALUE!</v>
      </c>
    </row>
    <row r="77" customFormat="false" ht="12.75" hidden="false" customHeight="false" outlineLevel="0" collapsed="false">
      <c r="A77" s="0" t="n">
        <f aca="false">A65*10</f>
        <v>390000</v>
      </c>
      <c r="B77" s="0" t="n">
        <f aca="false">IF(IF((B$3*10^12-$A78)*(B$3*10^12-$A77)*-1&lt;0,0,1)*IF(ABS(B$3*10^12-$A78)&gt;(B$3*10^12-$A77),$A77,$A78)=B78,0,IF((B$3*10^12-$A78)*(B$3*10^12-$A77)*-1&lt;0,0,1)*IF(ABS(B$3*10^12-$A78)&gt;(B$3*10^12-$A77),$A77,$A78))</f>
        <v>0</v>
      </c>
      <c r="C77" s="0" t="n">
        <f aca="false">IF(IF((C$3*10^12-$A78)*(C$3*10^12-$A77)*-1&lt;0,0,1)*IF(ABS(C$3*10^12-$A78)&gt;(C$3*10^12-$A77),$A77,$A78)=C78,0,IF((C$3*10^12-$A78)*(C$3*10^12-$A77)*-1&lt;0,0,1)*IF(ABS(C$3*10^12-$A78)&gt;(C$3*10^12-$A77),$A77,$A78))</f>
        <v>0</v>
      </c>
      <c r="D77" s="0" t="n">
        <f aca="false">IF(IF((D$3*10^12-$A78)*(D$3*10^12-$A77)*-1&lt;0,0,1)*IF(ABS(D$3*10^12-$A78)&gt;(D$3*10^12-$A77),$A77,$A78)=D78,0,IF((D$3*10^12-$A78)*(D$3*10^12-$A77)*-1&lt;0,0,1)*IF(ABS(D$3*10^12-$A78)&gt;(D$3*10^12-$A77),$A77,$A78))</f>
        <v>0</v>
      </c>
      <c r="E77" s="0" t="n">
        <f aca="false">IF(IF((E$3*10^12-$A78)*(E$3*10^12-$A77)*-1&lt;0,0,1)*IF(ABS(E$3*10^12-$A78)&gt;(E$3*10^12-$A77),$A77,$A78)=E78,0,IF((E$3*10^12-$A78)*(E$3*10^12-$A77)*-1&lt;0,0,1)*IF(ABS(E$3*10^12-$A78)&gt;(E$3*10^12-$A77),$A77,$A78))</f>
        <v>0</v>
      </c>
      <c r="F77" s="0" t="n">
        <f aca="false">IF(IF((F$3*10^12-$A78)*(F$3*10^12-$A77)*-1&lt;0,0,1)*IF(ABS(F$3*10^12-$A78)&gt;(F$3*10^12-$A77),$A77,$A78)=F78,0,IF((F$3*10^12-$A78)*(F$3*10^12-$A77)*-1&lt;0,0,1)*IF(ABS(F$3*10^12-$A78)&gt;(F$3*10^12-$A77),$A77,$A78))</f>
        <v>0</v>
      </c>
      <c r="G77" s="0" t="n">
        <f aca="false">IF(IF((G$3*10^12-$A78)*(G$3*10^12-$A77)*-1&lt;0,0,1)*IF(ABS(G$3*10^12-$A78)&gt;(G$3*10^12-$A77),$A77,$A78)=G78,0,IF((G$3*10^12-$A78)*(G$3*10^12-$A77)*-1&lt;0,0,1)*IF(ABS(G$3*10^12-$A78)&gt;(G$3*10^12-$A77),$A77,$A78))</f>
        <v>0</v>
      </c>
      <c r="H77" s="0" t="n">
        <f aca="false">IF(IF((H$3*10^12-$A78)*(H$3*10^12-$A77)*-1&lt;0,0,1)*IF(ABS(H$3*10^12-$A78)&gt;(H$3*10^12-$A77),$A77,$A78)=H78,0,IF((H$3*10^12-$A78)*(H$3*10^12-$A77)*-1&lt;0,0,1)*IF(ABS(H$3*10^12-$A78)&gt;(H$3*10^12-$A77),$A77,$A78))</f>
        <v>0</v>
      </c>
      <c r="I77" s="0" t="n">
        <f aca="false">IF(IF((I$3*10^12-$A78)*(I$3*10^12-$A77)*-1&lt;0,0,1)*IF(ABS(I$3*10^12-$A78)&gt;(I$3*10^12-$A77),$A77,$A78)=I78,0,IF((I$3*10^12-$A78)*(I$3*10^12-$A77)*-1&lt;0,0,1)*IF(ABS(I$3*10^12-$A78)&gt;(I$3*10^12-$A77),$A77,$A78))</f>
        <v>0</v>
      </c>
      <c r="J77" s="0" t="n">
        <f aca="false">IF(IF((J$3*10^12-$A78)*(J$3*10^12-$A77)*-1&lt;0,0,1)*IF(ABS(J$3*10^12-$A78)&gt;(J$3*10^12-$A77),$A77,$A78)=J78,0,IF((J$3*10^12-$A78)*(J$3*10^12-$A77)*-1&lt;0,0,1)*IF(ABS(J$3*10^12-$A78)&gt;(J$3*10^12-$A77),$A77,$A78))</f>
        <v>0</v>
      </c>
      <c r="K77" s="0" t="n">
        <f aca="false">IF(IF((K$3*10^12-$A78)*(K$3*10^12-$A77)*-1&lt;0,0,1)*IF(ABS(K$3*10^12-$A78)&gt;(K$3*10^12-$A77),$A77,$A78)=K78,0,IF((K$3*10^12-$A78)*(K$3*10^12-$A77)*-1&lt;0,0,1)*IF(ABS(K$3*10^12-$A78)&gt;(K$3*10^12-$A77),$A77,$A78))</f>
        <v>0</v>
      </c>
      <c r="L77" s="0" t="n">
        <f aca="false">IF(IF((L$3*10^12-$A78)*(L$3*10^12-$A77)*-1&lt;0,0,1)*IF(ABS(L$3*10^12-$A78)&gt;(L$3*10^12-$A77),$A77,$A78)=L78,0,IF((L$3*10^12-$A78)*(L$3*10^12-$A77)*-1&lt;0,0,1)*IF(ABS(L$3*10^12-$A78)&gt;(L$3*10^12-$A77),$A77,$A78))</f>
        <v>0</v>
      </c>
      <c r="M77" s="0" t="n">
        <f aca="false">IF(IF((M$3*10^12-$A78)*(M$3*10^12-$A77)*-1&lt;0,0,1)*IF(ABS(M$3*10^12-$A78)&gt;(M$3*10^12-$A77),$A77,$A78)=M78,0,IF((M$3*10^12-$A78)*(M$3*10^12-$A77)*-1&lt;0,0,1)*IF(ABS(M$3*10^12-$A78)&gt;(M$3*10^12-$A77),$A77,$A78))</f>
        <v>0</v>
      </c>
      <c r="N77" s="0" t="e">
        <f aca="false">IF(IF((N$3*10^12-$A78)*(N$3*10^12-$A77)*-1&lt;0,0,1)*IF(ABS(N$3*10^12-$A78)&gt;(N$3*10^12-$A77),$A77,$A78)=N78,0,IF((N$3*10^12-$A78)*(N$3*10^12-$A77)*-1&lt;0,0,1)*IF(ABS(N$3*10^12-$A78)&gt;(N$3*10^12-$A77),$A77,$A78))</f>
        <v>#VALUE!</v>
      </c>
    </row>
    <row r="78" customFormat="false" ht="12.75" hidden="false" customHeight="false" outlineLevel="0" collapsed="false">
      <c r="A78" s="0" t="n">
        <f aca="false">A66*10</f>
        <v>470000</v>
      </c>
      <c r="B78" s="0" t="n">
        <f aca="false">IF(IF((B$3*10^12-$A79)*(B$3*10^12-$A78)*-1&lt;0,0,1)*IF(ABS(B$3*10^12-$A79)&gt;(B$3*10^12-$A78),$A78,$A79)=B79,0,IF((B$3*10^12-$A79)*(B$3*10^12-$A78)*-1&lt;0,0,1)*IF(ABS(B$3*10^12-$A79)&gt;(B$3*10^12-$A78),$A78,$A79))</f>
        <v>0</v>
      </c>
      <c r="C78" s="0" t="n">
        <f aca="false">IF(IF((C$3*10^12-$A79)*(C$3*10^12-$A78)*-1&lt;0,0,1)*IF(ABS(C$3*10^12-$A79)&gt;(C$3*10^12-$A78),$A78,$A79)=C79,0,IF((C$3*10^12-$A79)*(C$3*10^12-$A78)*-1&lt;0,0,1)*IF(ABS(C$3*10^12-$A79)&gt;(C$3*10^12-$A78),$A78,$A79))</f>
        <v>0</v>
      </c>
      <c r="D78" s="0" t="n">
        <f aca="false">IF(IF((D$3*10^12-$A79)*(D$3*10^12-$A78)*-1&lt;0,0,1)*IF(ABS(D$3*10^12-$A79)&gt;(D$3*10^12-$A78),$A78,$A79)=D79,0,IF((D$3*10^12-$A79)*(D$3*10^12-$A78)*-1&lt;0,0,1)*IF(ABS(D$3*10^12-$A79)&gt;(D$3*10^12-$A78),$A78,$A79))</f>
        <v>0</v>
      </c>
      <c r="E78" s="0" t="n">
        <f aca="false">IF(IF((E$3*10^12-$A79)*(E$3*10^12-$A78)*-1&lt;0,0,1)*IF(ABS(E$3*10^12-$A79)&gt;(E$3*10^12-$A78),$A78,$A79)=E79,0,IF((E$3*10^12-$A79)*(E$3*10^12-$A78)*-1&lt;0,0,1)*IF(ABS(E$3*10^12-$A79)&gt;(E$3*10^12-$A78),$A78,$A79))</f>
        <v>0</v>
      </c>
      <c r="F78" s="0" t="n">
        <f aca="false">IF(IF((F$3*10^12-$A79)*(F$3*10^12-$A78)*-1&lt;0,0,1)*IF(ABS(F$3*10^12-$A79)&gt;(F$3*10^12-$A78),$A78,$A79)=F79,0,IF((F$3*10^12-$A79)*(F$3*10^12-$A78)*-1&lt;0,0,1)*IF(ABS(F$3*10^12-$A79)&gt;(F$3*10^12-$A78),$A78,$A79))</f>
        <v>0</v>
      </c>
      <c r="G78" s="0" t="n">
        <f aca="false">IF(IF((G$3*10^12-$A79)*(G$3*10^12-$A78)*-1&lt;0,0,1)*IF(ABS(G$3*10^12-$A79)&gt;(G$3*10^12-$A78),$A78,$A79)=G79,0,IF((G$3*10^12-$A79)*(G$3*10^12-$A78)*-1&lt;0,0,1)*IF(ABS(G$3*10^12-$A79)&gt;(G$3*10^12-$A78),$A78,$A79))</f>
        <v>0</v>
      </c>
      <c r="H78" s="0" t="n">
        <f aca="false">IF(IF((H$3*10^12-$A79)*(H$3*10^12-$A78)*-1&lt;0,0,1)*IF(ABS(H$3*10^12-$A79)&gt;(H$3*10^12-$A78),$A78,$A79)=H79,0,IF((H$3*10^12-$A79)*(H$3*10^12-$A78)*-1&lt;0,0,1)*IF(ABS(H$3*10^12-$A79)&gt;(H$3*10^12-$A78),$A78,$A79))</f>
        <v>0</v>
      </c>
      <c r="I78" s="0" t="n">
        <f aca="false">IF(IF((I$3*10^12-$A79)*(I$3*10^12-$A78)*-1&lt;0,0,1)*IF(ABS(I$3*10^12-$A79)&gt;(I$3*10^12-$A78),$A78,$A79)=I79,0,IF((I$3*10^12-$A79)*(I$3*10^12-$A78)*-1&lt;0,0,1)*IF(ABS(I$3*10^12-$A79)&gt;(I$3*10^12-$A78),$A78,$A79))</f>
        <v>0</v>
      </c>
      <c r="J78" s="0" t="n">
        <f aca="false">IF(IF((J$3*10^12-$A79)*(J$3*10^12-$A78)*-1&lt;0,0,1)*IF(ABS(J$3*10^12-$A79)&gt;(J$3*10^12-$A78),$A78,$A79)=J79,0,IF((J$3*10^12-$A79)*(J$3*10^12-$A78)*-1&lt;0,0,1)*IF(ABS(J$3*10^12-$A79)&gt;(J$3*10^12-$A78),$A78,$A79))</f>
        <v>0</v>
      </c>
      <c r="K78" s="0" t="n">
        <f aca="false">IF(IF((K$3*10^12-$A79)*(K$3*10^12-$A78)*-1&lt;0,0,1)*IF(ABS(K$3*10^12-$A79)&gt;(K$3*10^12-$A78),$A78,$A79)=K79,0,IF((K$3*10^12-$A79)*(K$3*10^12-$A78)*-1&lt;0,0,1)*IF(ABS(K$3*10^12-$A79)&gt;(K$3*10^12-$A78),$A78,$A79))</f>
        <v>0</v>
      </c>
      <c r="L78" s="0" t="n">
        <f aca="false">IF(IF((L$3*10^12-$A79)*(L$3*10^12-$A78)*-1&lt;0,0,1)*IF(ABS(L$3*10^12-$A79)&gt;(L$3*10^12-$A78),$A78,$A79)=L79,0,IF((L$3*10^12-$A79)*(L$3*10^12-$A78)*-1&lt;0,0,1)*IF(ABS(L$3*10^12-$A79)&gt;(L$3*10^12-$A78),$A78,$A79))</f>
        <v>0</v>
      </c>
      <c r="M78" s="0" t="n">
        <f aca="false">IF(IF((M$3*10^12-$A79)*(M$3*10^12-$A78)*-1&lt;0,0,1)*IF(ABS(M$3*10^12-$A79)&gt;(M$3*10^12-$A78),$A78,$A79)=M79,0,IF((M$3*10^12-$A79)*(M$3*10^12-$A78)*-1&lt;0,0,1)*IF(ABS(M$3*10^12-$A79)&gt;(M$3*10^12-$A78),$A78,$A79))</f>
        <v>0</v>
      </c>
      <c r="N78" s="0" t="e">
        <f aca="false">IF(IF((N$3*10^12-$A79)*(N$3*10^12-$A78)*-1&lt;0,0,1)*IF(ABS(N$3*10^12-$A79)&gt;(N$3*10^12-$A78),$A78,$A79)=N79,0,IF((N$3*10^12-$A79)*(N$3*10^12-$A78)*-1&lt;0,0,1)*IF(ABS(N$3*10^12-$A79)&gt;(N$3*10^12-$A78),$A78,$A79))</f>
        <v>#VALUE!</v>
      </c>
    </row>
    <row r="79" customFormat="false" ht="12.75" hidden="false" customHeight="false" outlineLevel="0" collapsed="false">
      <c r="A79" s="0" t="n">
        <f aca="false">A67*10</f>
        <v>560000</v>
      </c>
      <c r="B79" s="0" t="n">
        <f aca="false">IF(IF((B$3*10^12-$A80)*(B$3*10^12-$A79)*-1&lt;0,0,1)*IF(ABS(B$3*10^12-$A80)&gt;(B$3*10^12-$A79),$A79,$A80)=B80,0,IF((B$3*10^12-$A80)*(B$3*10^12-$A79)*-1&lt;0,0,1)*IF(ABS(B$3*10^12-$A80)&gt;(B$3*10^12-$A79),$A79,$A80))</f>
        <v>0</v>
      </c>
      <c r="C79" s="0" t="n">
        <f aca="false">IF(IF((C$3*10^12-$A80)*(C$3*10^12-$A79)*-1&lt;0,0,1)*IF(ABS(C$3*10^12-$A80)&gt;(C$3*10^12-$A79),$A79,$A80)=C80,0,IF((C$3*10^12-$A80)*(C$3*10^12-$A79)*-1&lt;0,0,1)*IF(ABS(C$3*10^12-$A80)&gt;(C$3*10^12-$A79),$A79,$A80))</f>
        <v>0</v>
      </c>
      <c r="D79" s="0" t="n">
        <f aca="false">IF(IF((D$3*10^12-$A80)*(D$3*10^12-$A79)*-1&lt;0,0,1)*IF(ABS(D$3*10^12-$A80)&gt;(D$3*10^12-$A79),$A79,$A80)=D80,0,IF((D$3*10^12-$A80)*(D$3*10^12-$A79)*-1&lt;0,0,1)*IF(ABS(D$3*10^12-$A80)&gt;(D$3*10^12-$A79),$A79,$A80))</f>
        <v>0</v>
      </c>
      <c r="E79" s="0" t="n">
        <f aca="false">IF(IF((E$3*10^12-$A80)*(E$3*10^12-$A79)*-1&lt;0,0,1)*IF(ABS(E$3*10^12-$A80)&gt;(E$3*10^12-$A79),$A79,$A80)=E80,0,IF((E$3*10^12-$A80)*(E$3*10^12-$A79)*-1&lt;0,0,1)*IF(ABS(E$3*10^12-$A80)&gt;(E$3*10^12-$A79),$A79,$A80))</f>
        <v>0</v>
      </c>
      <c r="F79" s="0" t="n">
        <f aca="false">IF(IF((F$3*10^12-$A80)*(F$3*10^12-$A79)*-1&lt;0,0,1)*IF(ABS(F$3*10^12-$A80)&gt;(F$3*10^12-$A79),$A79,$A80)=F80,0,IF((F$3*10^12-$A80)*(F$3*10^12-$A79)*-1&lt;0,0,1)*IF(ABS(F$3*10^12-$A80)&gt;(F$3*10^12-$A79),$A79,$A80))</f>
        <v>0</v>
      </c>
      <c r="G79" s="0" t="n">
        <f aca="false">IF(IF((G$3*10^12-$A80)*(G$3*10^12-$A79)*-1&lt;0,0,1)*IF(ABS(G$3*10^12-$A80)&gt;(G$3*10^12-$A79),$A79,$A80)=G80,0,IF((G$3*10^12-$A80)*(G$3*10^12-$A79)*-1&lt;0,0,1)*IF(ABS(G$3*10^12-$A80)&gt;(G$3*10^12-$A79),$A79,$A80))</f>
        <v>0</v>
      </c>
      <c r="H79" s="0" t="n">
        <f aca="false">IF(IF((H$3*10^12-$A80)*(H$3*10^12-$A79)*-1&lt;0,0,1)*IF(ABS(H$3*10^12-$A80)&gt;(H$3*10^12-$A79),$A79,$A80)=H80,0,IF((H$3*10^12-$A80)*(H$3*10^12-$A79)*-1&lt;0,0,1)*IF(ABS(H$3*10^12-$A80)&gt;(H$3*10^12-$A79),$A79,$A80))</f>
        <v>0</v>
      </c>
      <c r="I79" s="0" t="n">
        <f aca="false">IF(IF((I$3*10^12-$A80)*(I$3*10^12-$A79)*-1&lt;0,0,1)*IF(ABS(I$3*10^12-$A80)&gt;(I$3*10^12-$A79),$A79,$A80)=I80,0,IF((I$3*10^12-$A80)*(I$3*10^12-$A79)*-1&lt;0,0,1)*IF(ABS(I$3*10^12-$A80)&gt;(I$3*10^12-$A79),$A79,$A80))</f>
        <v>0</v>
      </c>
      <c r="J79" s="0" t="n">
        <f aca="false">IF(IF((J$3*10^12-$A80)*(J$3*10^12-$A79)*-1&lt;0,0,1)*IF(ABS(J$3*10^12-$A80)&gt;(J$3*10^12-$A79),$A79,$A80)=J80,0,IF((J$3*10^12-$A80)*(J$3*10^12-$A79)*-1&lt;0,0,1)*IF(ABS(J$3*10^12-$A80)&gt;(J$3*10^12-$A79),$A79,$A80))</f>
        <v>0</v>
      </c>
      <c r="K79" s="0" t="n">
        <f aca="false">IF(IF((K$3*10^12-$A80)*(K$3*10^12-$A79)*-1&lt;0,0,1)*IF(ABS(K$3*10^12-$A80)&gt;(K$3*10^12-$A79),$A79,$A80)=K80,0,IF((K$3*10^12-$A80)*(K$3*10^12-$A79)*-1&lt;0,0,1)*IF(ABS(K$3*10^12-$A80)&gt;(K$3*10^12-$A79),$A79,$A80))</f>
        <v>0</v>
      </c>
      <c r="L79" s="0" t="n">
        <f aca="false">IF(IF((L$3*10^12-$A80)*(L$3*10^12-$A79)*-1&lt;0,0,1)*IF(ABS(L$3*10^12-$A80)&gt;(L$3*10^12-$A79),$A79,$A80)=L80,0,IF((L$3*10^12-$A80)*(L$3*10^12-$A79)*-1&lt;0,0,1)*IF(ABS(L$3*10^12-$A80)&gt;(L$3*10^12-$A79),$A79,$A80))</f>
        <v>0</v>
      </c>
      <c r="M79" s="0" t="n">
        <f aca="false">IF(IF((M$3*10^12-$A80)*(M$3*10^12-$A79)*-1&lt;0,0,1)*IF(ABS(M$3*10^12-$A80)&gt;(M$3*10^12-$A79),$A79,$A80)=M80,0,IF((M$3*10^12-$A80)*(M$3*10^12-$A79)*-1&lt;0,0,1)*IF(ABS(M$3*10^12-$A80)&gt;(M$3*10^12-$A79),$A79,$A80))</f>
        <v>0</v>
      </c>
      <c r="N79" s="0" t="e">
        <f aca="false">IF(IF((N$3*10^12-$A80)*(N$3*10^12-$A79)*-1&lt;0,0,1)*IF(ABS(N$3*10^12-$A80)&gt;(N$3*10^12-$A79),$A79,$A80)=N80,0,IF((N$3*10^12-$A80)*(N$3*10^12-$A79)*-1&lt;0,0,1)*IF(ABS(N$3*10^12-$A80)&gt;(N$3*10^12-$A79),$A79,$A80))</f>
        <v>#VALUE!</v>
      </c>
    </row>
    <row r="80" customFormat="false" ht="12.75" hidden="false" customHeight="false" outlineLevel="0" collapsed="false">
      <c r="A80" s="0" t="n">
        <f aca="false">A68*10</f>
        <v>680000</v>
      </c>
      <c r="B80" s="0" t="n">
        <f aca="false">IF(IF((B$3*10^12-$A81)*(B$3*10^12-$A80)*-1&lt;0,0,1)*IF(ABS(B$3*10^12-$A81)&gt;(B$3*10^12-$A80),$A80,$A81)=B81,0,IF((B$3*10^12-$A81)*(B$3*10^12-$A80)*-1&lt;0,0,1)*IF(ABS(B$3*10^12-$A81)&gt;(B$3*10^12-$A80),$A80,$A81))</f>
        <v>0</v>
      </c>
      <c r="C80" s="0" t="n">
        <f aca="false">IF(IF((C$3*10^12-$A81)*(C$3*10^12-$A80)*-1&lt;0,0,1)*IF(ABS(C$3*10^12-$A81)&gt;(C$3*10^12-$A80),$A80,$A81)=C81,0,IF((C$3*10^12-$A81)*(C$3*10^12-$A80)*-1&lt;0,0,1)*IF(ABS(C$3*10^12-$A81)&gt;(C$3*10^12-$A80),$A80,$A81))</f>
        <v>0</v>
      </c>
      <c r="D80" s="0" t="n">
        <f aca="false">IF(IF((D$3*10^12-$A81)*(D$3*10^12-$A80)*-1&lt;0,0,1)*IF(ABS(D$3*10^12-$A81)&gt;(D$3*10^12-$A80),$A80,$A81)=D81,0,IF((D$3*10^12-$A81)*(D$3*10^12-$A80)*-1&lt;0,0,1)*IF(ABS(D$3*10^12-$A81)&gt;(D$3*10^12-$A80),$A80,$A81))</f>
        <v>0</v>
      </c>
      <c r="E80" s="0" t="n">
        <f aca="false">IF(IF((E$3*10^12-$A81)*(E$3*10^12-$A80)*-1&lt;0,0,1)*IF(ABS(E$3*10^12-$A81)&gt;(E$3*10^12-$A80),$A80,$A81)=E81,0,IF((E$3*10^12-$A81)*(E$3*10^12-$A80)*-1&lt;0,0,1)*IF(ABS(E$3*10^12-$A81)&gt;(E$3*10^12-$A80),$A80,$A81))</f>
        <v>0</v>
      </c>
      <c r="F80" s="0" t="n">
        <f aca="false">IF(IF((F$3*10^12-$A81)*(F$3*10^12-$A80)*-1&lt;0,0,1)*IF(ABS(F$3*10^12-$A81)&gt;(F$3*10^12-$A80),$A80,$A81)=F81,0,IF((F$3*10^12-$A81)*(F$3*10^12-$A80)*-1&lt;0,0,1)*IF(ABS(F$3*10^12-$A81)&gt;(F$3*10^12-$A80),$A80,$A81))</f>
        <v>0</v>
      </c>
      <c r="G80" s="0" t="n">
        <f aca="false">IF(IF((G$3*10^12-$A81)*(G$3*10^12-$A80)*-1&lt;0,0,1)*IF(ABS(G$3*10^12-$A81)&gt;(G$3*10^12-$A80),$A80,$A81)=G81,0,IF((G$3*10^12-$A81)*(G$3*10^12-$A80)*-1&lt;0,0,1)*IF(ABS(G$3*10^12-$A81)&gt;(G$3*10^12-$A80),$A80,$A81))</f>
        <v>0</v>
      </c>
      <c r="H80" s="0" t="n">
        <f aca="false">IF(IF((H$3*10^12-$A81)*(H$3*10^12-$A80)*-1&lt;0,0,1)*IF(ABS(H$3*10^12-$A81)&gt;(H$3*10^12-$A80),$A80,$A81)=H81,0,IF((H$3*10^12-$A81)*(H$3*10^12-$A80)*-1&lt;0,0,1)*IF(ABS(H$3*10^12-$A81)&gt;(H$3*10^12-$A80),$A80,$A81))</f>
        <v>0</v>
      </c>
      <c r="I80" s="0" t="n">
        <f aca="false">IF(IF((I$3*10^12-$A81)*(I$3*10^12-$A80)*-1&lt;0,0,1)*IF(ABS(I$3*10^12-$A81)&gt;(I$3*10^12-$A80),$A80,$A81)=I81,0,IF((I$3*10^12-$A81)*(I$3*10^12-$A80)*-1&lt;0,0,1)*IF(ABS(I$3*10^12-$A81)&gt;(I$3*10^12-$A80),$A80,$A81))</f>
        <v>0</v>
      </c>
      <c r="J80" s="0" t="n">
        <f aca="false">IF(IF((J$3*10^12-$A81)*(J$3*10^12-$A80)*-1&lt;0,0,1)*IF(ABS(J$3*10^12-$A81)&gt;(J$3*10^12-$A80),$A80,$A81)=J81,0,IF((J$3*10^12-$A81)*(J$3*10^12-$A80)*-1&lt;0,0,1)*IF(ABS(J$3*10^12-$A81)&gt;(J$3*10^12-$A80),$A80,$A81))</f>
        <v>0</v>
      </c>
      <c r="K80" s="0" t="n">
        <f aca="false">IF(IF((K$3*10^12-$A81)*(K$3*10^12-$A80)*-1&lt;0,0,1)*IF(ABS(K$3*10^12-$A81)&gt;(K$3*10^12-$A80),$A80,$A81)=K81,0,IF((K$3*10^12-$A81)*(K$3*10^12-$A80)*-1&lt;0,0,1)*IF(ABS(K$3*10^12-$A81)&gt;(K$3*10^12-$A80),$A80,$A81))</f>
        <v>0</v>
      </c>
      <c r="L80" s="0" t="n">
        <f aca="false">IF(IF((L$3*10^12-$A81)*(L$3*10^12-$A80)*-1&lt;0,0,1)*IF(ABS(L$3*10^12-$A81)&gt;(L$3*10^12-$A80),$A80,$A81)=L81,0,IF((L$3*10^12-$A81)*(L$3*10^12-$A80)*-1&lt;0,0,1)*IF(ABS(L$3*10^12-$A81)&gt;(L$3*10^12-$A80),$A80,$A81))</f>
        <v>0</v>
      </c>
      <c r="M80" s="0" t="n">
        <f aca="false">IF(IF((M$3*10^12-$A81)*(M$3*10^12-$A80)*-1&lt;0,0,1)*IF(ABS(M$3*10^12-$A81)&gt;(M$3*10^12-$A80),$A80,$A81)=M81,0,IF((M$3*10^12-$A81)*(M$3*10^12-$A80)*-1&lt;0,0,1)*IF(ABS(M$3*10^12-$A81)&gt;(M$3*10^12-$A80),$A80,$A81))</f>
        <v>0</v>
      </c>
      <c r="N80" s="0" t="e">
        <f aca="false">IF(IF((N$3*10^12-$A81)*(N$3*10^12-$A80)*-1&lt;0,0,1)*IF(ABS(N$3*10^12-$A81)&gt;(N$3*10^12-$A80),$A80,$A81)=N81,0,IF((N$3*10^12-$A81)*(N$3*10^12-$A80)*-1&lt;0,0,1)*IF(ABS(N$3*10^12-$A81)&gt;(N$3*10^12-$A80),$A80,$A81))</f>
        <v>#VALUE!</v>
      </c>
    </row>
    <row r="81" customFormat="false" ht="12.75" hidden="false" customHeight="false" outlineLevel="0" collapsed="false">
      <c r="A81" s="0" t="n">
        <f aca="false">A69*10</f>
        <v>820000</v>
      </c>
      <c r="B81" s="0" t="n">
        <f aca="false">IF(IF((B$3*10^12-$A82)*(B$3*10^12-$A81)*-1&lt;0,0,1)*IF(ABS(B$3*10^12-$A82)&gt;(B$3*10^12-$A81),$A81,$A82)=B82,0,IF((B$3*10^12-$A82)*(B$3*10^12-$A81)*-1&lt;0,0,1)*IF(ABS(B$3*10^12-$A82)&gt;(B$3*10^12-$A81),$A81,$A82))</f>
        <v>0</v>
      </c>
      <c r="C81" s="0" t="n">
        <f aca="false">IF(IF((C$3*10^12-$A82)*(C$3*10^12-$A81)*-1&lt;0,0,1)*IF(ABS(C$3*10^12-$A82)&gt;(C$3*10^12-$A81),$A81,$A82)=C82,0,IF((C$3*10^12-$A82)*(C$3*10^12-$A81)*-1&lt;0,0,1)*IF(ABS(C$3*10^12-$A82)&gt;(C$3*10^12-$A81),$A81,$A82))</f>
        <v>0</v>
      </c>
      <c r="D81" s="0" t="n">
        <f aca="false">IF(IF((D$3*10^12-$A82)*(D$3*10^12-$A81)*-1&lt;0,0,1)*IF(ABS(D$3*10^12-$A82)&gt;(D$3*10^12-$A81),$A81,$A82)=D82,0,IF((D$3*10^12-$A82)*(D$3*10^12-$A81)*-1&lt;0,0,1)*IF(ABS(D$3*10^12-$A82)&gt;(D$3*10^12-$A81),$A81,$A82))</f>
        <v>0</v>
      </c>
      <c r="E81" s="0" t="n">
        <f aca="false">IF(IF((E$3*10^12-$A82)*(E$3*10^12-$A81)*-1&lt;0,0,1)*IF(ABS(E$3*10^12-$A82)&gt;(E$3*10^12-$A81),$A81,$A82)=E82,0,IF((E$3*10^12-$A82)*(E$3*10^12-$A81)*-1&lt;0,0,1)*IF(ABS(E$3*10^12-$A82)&gt;(E$3*10^12-$A81),$A81,$A82))</f>
        <v>0</v>
      </c>
      <c r="F81" s="0" t="n">
        <f aca="false">IF(IF((F$3*10^12-$A82)*(F$3*10^12-$A81)*-1&lt;0,0,1)*IF(ABS(F$3*10^12-$A82)&gt;(F$3*10^12-$A81),$A81,$A82)=F82,0,IF((F$3*10^12-$A82)*(F$3*10^12-$A81)*-1&lt;0,0,1)*IF(ABS(F$3*10^12-$A82)&gt;(F$3*10^12-$A81),$A81,$A82))</f>
        <v>0</v>
      </c>
      <c r="G81" s="0" t="n">
        <f aca="false">IF(IF((G$3*10^12-$A82)*(G$3*10^12-$A81)*-1&lt;0,0,1)*IF(ABS(G$3*10^12-$A82)&gt;(G$3*10^12-$A81),$A81,$A82)=G82,0,IF((G$3*10^12-$A82)*(G$3*10^12-$A81)*-1&lt;0,0,1)*IF(ABS(G$3*10^12-$A82)&gt;(G$3*10^12-$A81),$A81,$A82))</f>
        <v>0</v>
      </c>
      <c r="H81" s="0" t="n">
        <f aca="false">IF(IF((H$3*10^12-$A82)*(H$3*10^12-$A81)*-1&lt;0,0,1)*IF(ABS(H$3*10^12-$A82)&gt;(H$3*10^12-$A81),$A81,$A82)=H82,0,IF((H$3*10^12-$A82)*(H$3*10^12-$A81)*-1&lt;0,0,1)*IF(ABS(H$3*10^12-$A82)&gt;(H$3*10^12-$A81),$A81,$A82))</f>
        <v>0</v>
      </c>
      <c r="I81" s="0" t="n">
        <f aca="false">IF(IF((I$3*10^12-$A82)*(I$3*10^12-$A81)*-1&lt;0,0,1)*IF(ABS(I$3*10^12-$A82)&gt;(I$3*10^12-$A81),$A81,$A82)=I82,0,IF((I$3*10^12-$A82)*(I$3*10^12-$A81)*-1&lt;0,0,1)*IF(ABS(I$3*10^12-$A82)&gt;(I$3*10^12-$A81),$A81,$A82))</f>
        <v>0</v>
      </c>
      <c r="J81" s="0" t="n">
        <f aca="false">IF(IF((J$3*10^12-$A82)*(J$3*10^12-$A81)*-1&lt;0,0,1)*IF(ABS(J$3*10^12-$A82)&gt;(J$3*10^12-$A81),$A81,$A82)=J82,0,IF((J$3*10^12-$A82)*(J$3*10^12-$A81)*-1&lt;0,0,1)*IF(ABS(J$3*10^12-$A82)&gt;(J$3*10^12-$A81),$A81,$A82))</f>
        <v>0</v>
      </c>
      <c r="K81" s="0" t="n">
        <f aca="false">IF(IF((K$3*10^12-$A82)*(K$3*10^12-$A81)*-1&lt;0,0,1)*IF(ABS(K$3*10^12-$A82)&gt;(K$3*10^12-$A81),$A81,$A82)=K82,0,IF((K$3*10^12-$A82)*(K$3*10^12-$A81)*-1&lt;0,0,1)*IF(ABS(K$3*10^12-$A82)&gt;(K$3*10^12-$A81),$A81,$A82))</f>
        <v>0</v>
      </c>
      <c r="L81" s="0" t="n">
        <f aca="false">IF(IF((L$3*10^12-$A82)*(L$3*10^12-$A81)*-1&lt;0,0,1)*IF(ABS(L$3*10^12-$A82)&gt;(L$3*10^12-$A81),$A81,$A82)=L82,0,IF((L$3*10^12-$A82)*(L$3*10^12-$A81)*-1&lt;0,0,1)*IF(ABS(L$3*10^12-$A82)&gt;(L$3*10^12-$A81),$A81,$A82))</f>
        <v>0</v>
      </c>
      <c r="M81" s="0" t="n">
        <f aca="false">IF(IF((M$3*10^12-$A82)*(M$3*10^12-$A81)*-1&lt;0,0,1)*IF(ABS(M$3*10^12-$A82)&gt;(M$3*10^12-$A81),$A81,$A82)=M82,0,IF((M$3*10^12-$A82)*(M$3*10^12-$A81)*-1&lt;0,0,1)*IF(ABS(M$3*10^12-$A82)&gt;(M$3*10^12-$A81),$A81,$A82))</f>
        <v>0</v>
      </c>
      <c r="N81" s="0" t="e">
        <f aca="false">IF(IF((N$3*10^12-$A82)*(N$3*10^12-$A81)*-1&lt;0,0,1)*IF(ABS(N$3*10^12-$A82)&gt;(N$3*10^12-$A81),$A81,$A82)=N82,0,IF((N$3*10^12-$A82)*(N$3*10^12-$A81)*-1&lt;0,0,1)*IF(ABS(N$3*10^12-$A82)&gt;(N$3*10^12-$A81),$A81,$A82))</f>
        <v>#VALUE!</v>
      </c>
    </row>
    <row r="82" customFormat="false" ht="12.75" hidden="false" customHeight="false" outlineLevel="0" collapsed="false">
      <c r="A82" s="0" t="n">
        <f aca="false">A70*10</f>
        <v>1000000</v>
      </c>
      <c r="B82" s="0" t="n">
        <f aca="false">IF(IF((B$3*10^12-$A83)*(B$3*10^12-$A82)*-1&lt;0,0,1)*IF(ABS(B$3*10^12-$A83)&gt;(B$3*10^12-$A82),$A82,$A83)=B83,0,IF((B$3*10^12-$A83)*(B$3*10^12-$A82)*-1&lt;0,0,1)*IF(ABS(B$3*10^12-$A83)&gt;(B$3*10^12-$A82),$A82,$A83))</f>
        <v>0</v>
      </c>
      <c r="C82" s="0" t="n">
        <f aca="false">IF(IF((C$3*10^12-$A83)*(C$3*10^12-$A82)*-1&lt;0,0,1)*IF(ABS(C$3*10^12-$A83)&gt;(C$3*10^12-$A82),$A82,$A83)=C83,0,IF((C$3*10^12-$A83)*(C$3*10^12-$A82)*-1&lt;0,0,1)*IF(ABS(C$3*10^12-$A83)&gt;(C$3*10^12-$A82),$A82,$A83))</f>
        <v>0</v>
      </c>
      <c r="D82" s="0" t="n">
        <f aca="false">IF(IF((D$3*10^12-$A83)*(D$3*10^12-$A82)*-1&lt;0,0,1)*IF(ABS(D$3*10^12-$A83)&gt;(D$3*10^12-$A82),$A82,$A83)=D83,0,IF((D$3*10^12-$A83)*(D$3*10^12-$A82)*-1&lt;0,0,1)*IF(ABS(D$3*10^12-$A83)&gt;(D$3*10^12-$A82),$A82,$A83))</f>
        <v>0</v>
      </c>
      <c r="E82" s="0" t="n">
        <f aca="false">IF(IF((E$3*10^12-$A83)*(E$3*10^12-$A82)*-1&lt;0,0,1)*IF(ABS(E$3*10^12-$A83)&gt;(E$3*10^12-$A82),$A82,$A83)=E83,0,IF((E$3*10^12-$A83)*(E$3*10^12-$A82)*-1&lt;0,0,1)*IF(ABS(E$3*10^12-$A83)&gt;(E$3*10^12-$A82),$A82,$A83))</f>
        <v>0</v>
      </c>
      <c r="F82" s="0" t="n">
        <f aca="false">IF(IF((F$3*10^12-$A83)*(F$3*10^12-$A82)*-1&lt;0,0,1)*IF(ABS(F$3*10^12-$A83)&gt;(F$3*10^12-$A82),$A82,$A83)=F83,0,IF((F$3*10^12-$A83)*(F$3*10^12-$A82)*-1&lt;0,0,1)*IF(ABS(F$3*10^12-$A83)&gt;(F$3*10^12-$A82),$A82,$A83))</f>
        <v>0</v>
      </c>
      <c r="G82" s="0" t="n">
        <f aca="false">IF(IF((G$3*10^12-$A83)*(G$3*10^12-$A82)*-1&lt;0,0,1)*IF(ABS(G$3*10^12-$A83)&gt;(G$3*10^12-$A82),$A82,$A83)=G83,0,IF((G$3*10^12-$A83)*(G$3*10^12-$A82)*-1&lt;0,0,1)*IF(ABS(G$3*10^12-$A83)&gt;(G$3*10^12-$A82),$A82,$A83))</f>
        <v>0</v>
      </c>
      <c r="H82" s="0" t="n">
        <f aca="false">IF(IF((H$3*10^12-$A83)*(H$3*10^12-$A82)*-1&lt;0,0,1)*IF(ABS(H$3*10^12-$A83)&gt;(H$3*10^12-$A82),$A82,$A83)=H83,0,IF((H$3*10^12-$A83)*(H$3*10^12-$A82)*-1&lt;0,0,1)*IF(ABS(H$3*10^12-$A83)&gt;(H$3*10^12-$A82),$A82,$A83))</f>
        <v>0</v>
      </c>
      <c r="I82" s="0" t="n">
        <f aca="false">IF(IF((I$3*10^12-$A83)*(I$3*10^12-$A82)*-1&lt;0,0,1)*IF(ABS(I$3*10^12-$A83)&gt;(I$3*10^12-$A82),$A82,$A83)=I83,0,IF((I$3*10^12-$A83)*(I$3*10^12-$A82)*-1&lt;0,0,1)*IF(ABS(I$3*10^12-$A83)&gt;(I$3*10^12-$A82),$A82,$A83))</f>
        <v>0</v>
      </c>
      <c r="J82" s="0" t="n">
        <f aca="false">IF(IF((J$3*10^12-$A83)*(J$3*10^12-$A82)*-1&lt;0,0,1)*IF(ABS(J$3*10^12-$A83)&gt;(J$3*10^12-$A82),$A82,$A83)=J83,0,IF((J$3*10^12-$A83)*(J$3*10^12-$A82)*-1&lt;0,0,1)*IF(ABS(J$3*10^12-$A83)&gt;(J$3*10^12-$A82),$A82,$A83))</f>
        <v>0</v>
      </c>
      <c r="K82" s="0" t="n">
        <f aca="false">IF(IF((K$3*10^12-$A83)*(K$3*10^12-$A82)*-1&lt;0,0,1)*IF(ABS(K$3*10^12-$A83)&gt;(K$3*10^12-$A82),$A82,$A83)=K83,0,IF((K$3*10^12-$A83)*(K$3*10^12-$A82)*-1&lt;0,0,1)*IF(ABS(K$3*10^12-$A83)&gt;(K$3*10^12-$A82),$A82,$A83))</f>
        <v>0</v>
      </c>
      <c r="L82" s="0" t="n">
        <f aca="false">IF(IF((L$3*10^12-$A83)*(L$3*10^12-$A82)*-1&lt;0,0,1)*IF(ABS(L$3*10^12-$A83)&gt;(L$3*10^12-$A82),$A82,$A83)=L83,0,IF((L$3*10^12-$A83)*(L$3*10^12-$A82)*-1&lt;0,0,1)*IF(ABS(L$3*10^12-$A83)&gt;(L$3*10^12-$A82),$A82,$A83))</f>
        <v>0</v>
      </c>
      <c r="M82" s="0" t="n">
        <f aca="false">IF(IF((M$3*10^12-$A83)*(M$3*10^12-$A82)*-1&lt;0,0,1)*IF(ABS(M$3*10^12-$A83)&gt;(M$3*10^12-$A82),$A82,$A83)=M83,0,IF((M$3*10^12-$A83)*(M$3*10^12-$A82)*-1&lt;0,0,1)*IF(ABS(M$3*10^12-$A83)&gt;(M$3*10^12-$A82),$A82,$A83))</f>
        <v>0</v>
      </c>
      <c r="N82" s="0" t="e">
        <f aca="false">IF(IF((N$3*10^12-$A83)*(N$3*10^12-$A82)*-1&lt;0,0,1)*IF(ABS(N$3*10^12-$A83)&gt;(N$3*10^12-$A82),$A82,$A83)=N83,0,IF((N$3*10^12-$A83)*(N$3*10^12-$A82)*-1&lt;0,0,1)*IF(ABS(N$3*10^12-$A83)&gt;(N$3*10^12-$A82),$A82,$A83))</f>
        <v>#VALUE!</v>
      </c>
    </row>
    <row r="83" customFormat="false" ht="12.75" hidden="false" customHeight="false" outlineLevel="0" collapsed="false">
      <c r="A83" s="0" t="n">
        <f aca="false">A71*10</f>
        <v>1200000</v>
      </c>
      <c r="B83" s="0" t="n">
        <f aca="false">IF(IF((B$3*10^12-$A84)*(B$3*10^12-$A83)*-1&lt;0,0,1)*IF(ABS(B$3*10^12-$A84)&gt;(B$3*10^12-$A83),$A83,$A84)=B84,0,IF((B$3*10^12-$A84)*(B$3*10^12-$A83)*-1&lt;0,0,1)*IF(ABS(B$3*10^12-$A84)&gt;(B$3*10^12-$A83),$A83,$A84))</f>
        <v>0</v>
      </c>
      <c r="C83" s="0" t="n">
        <f aca="false">IF(IF((C$3*10^12-$A84)*(C$3*10^12-$A83)*-1&lt;0,0,1)*IF(ABS(C$3*10^12-$A84)&gt;(C$3*10^12-$A83),$A83,$A84)=C84,0,IF((C$3*10^12-$A84)*(C$3*10^12-$A83)*-1&lt;0,0,1)*IF(ABS(C$3*10^12-$A84)&gt;(C$3*10^12-$A83),$A83,$A84))</f>
        <v>0</v>
      </c>
      <c r="D83" s="0" t="n">
        <f aca="false">IF(IF((D$3*10^12-$A84)*(D$3*10^12-$A83)*-1&lt;0,0,1)*IF(ABS(D$3*10^12-$A84)&gt;(D$3*10^12-$A83),$A83,$A84)=D84,0,IF((D$3*10^12-$A84)*(D$3*10^12-$A83)*-1&lt;0,0,1)*IF(ABS(D$3*10^12-$A84)&gt;(D$3*10^12-$A83),$A83,$A84))</f>
        <v>0</v>
      </c>
      <c r="E83" s="0" t="n">
        <f aca="false">IF(IF((E$3*10^12-$A84)*(E$3*10^12-$A83)*-1&lt;0,0,1)*IF(ABS(E$3*10^12-$A84)&gt;(E$3*10^12-$A83),$A83,$A84)=E84,0,IF((E$3*10^12-$A84)*(E$3*10^12-$A83)*-1&lt;0,0,1)*IF(ABS(E$3*10^12-$A84)&gt;(E$3*10^12-$A83),$A83,$A84))</f>
        <v>0</v>
      </c>
      <c r="F83" s="0" t="n">
        <f aca="false">IF(IF((F$3*10^12-$A84)*(F$3*10^12-$A83)*-1&lt;0,0,1)*IF(ABS(F$3*10^12-$A84)&gt;(F$3*10^12-$A83),$A83,$A84)=F84,0,IF((F$3*10^12-$A84)*(F$3*10^12-$A83)*-1&lt;0,0,1)*IF(ABS(F$3*10^12-$A84)&gt;(F$3*10^12-$A83),$A83,$A84))</f>
        <v>0</v>
      </c>
      <c r="G83" s="0" t="n">
        <f aca="false">IF(IF((G$3*10^12-$A84)*(G$3*10^12-$A83)*-1&lt;0,0,1)*IF(ABS(G$3*10^12-$A84)&gt;(G$3*10^12-$A83),$A83,$A84)=G84,0,IF((G$3*10^12-$A84)*(G$3*10^12-$A83)*-1&lt;0,0,1)*IF(ABS(G$3*10^12-$A84)&gt;(G$3*10^12-$A83),$A83,$A84))</f>
        <v>0</v>
      </c>
      <c r="H83" s="0" t="n">
        <f aca="false">IF(IF((H$3*10^12-$A84)*(H$3*10^12-$A83)*-1&lt;0,0,1)*IF(ABS(H$3*10^12-$A84)&gt;(H$3*10^12-$A83),$A83,$A84)=H84,0,IF((H$3*10^12-$A84)*(H$3*10^12-$A83)*-1&lt;0,0,1)*IF(ABS(H$3*10^12-$A84)&gt;(H$3*10^12-$A83),$A83,$A84))</f>
        <v>0</v>
      </c>
      <c r="I83" s="0" t="n">
        <f aca="false">IF(IF((I$3*10^12-$A84)*(I$3*10^12-$A83)*-1&lt;0,0,1)*IF(ABS(I$3*10^12-$A84)&gt;(I$3*10^12-$A83),$A83,$A84)=I84,0,IF((I$3*10^12-$A84)*(I$3*10^12-$A83)*-1&lt;0,0,1)*IF(ABS(I$3*10^12-$A84)&gt;(I$3*10^12-$A83),$A83,$A84))</f>
        <v>0</v>
      </c>
      <c r="J83" s="0" t="n">
        <f aca="false">IF(IF((J$3*10^12-$A84)*(J$3*10^12-$A83)*-1&lt;0,0,1)*IF(ABS(J$3*10^12-$A84)&gt;(J$3*10^12-$A83),$A83,$A84)=J84,0,IF((J$3*10^12-$A84)*(J$3*10^12-$A83)*-1&lt;0,0,1)*IF(ABS(J$3*10^12-$A84)&gt;(J$3*10^12-$A83),$A83,$A84))</f>
        <v>0</v>
      </c>
      <c r="K83" s="0" t="n">
        <f aca="false">IF(IF((K$3*10^12-$A84)*(K$3*10^12-$A83)*-1&lt;0,0,1)*IF(ABS(K$3*10^12-$A84)&gt;(K$3*10^12-$A83),$A83,$A84)=K84,0,IF((K$3*10^12-$A84)*(K$3*10^12-$A83)*-1&lt;0,0,1)*IF(ABS(K$3*10^12-$A84)&gt;(K$3*10^12-$A83),$A83,$A84))</f>
        <v>0</v>
      </c>
      <c r="L83" s="0" t="n">
        <f aca="false">IF(IF((L$3*10^12-$A84)*(L$3*10^12-$A83)*-1&lt;0,0,1)*IF(ABS(L$3*10^12-$A84)&gt;(L$3*10^12-$A83),$A83,$A84)=L84,0,IF((L$3*10^12-$A84)*(L$3*10^12-$A83)*-1&lt;0,0,1)*IF(ABS(L$3*10^12-$A84)&gt;(L$3*10^12-$A83),$A83,$A84))</f>
        <v>0</v>
      </c>
      <c r="M83" s="0" t="n">
        <f aca="false">IF(IF((M$3*10^12-$A84)*(M$3*10^12-$A83)*-1&lt;0,0,1)*IF(ABS(M$3*10^12-$A84)&gt;(M$3*10^12-$A83),$A83,$A84)=M84,0,IF((M$3*10^12-$A84)*(M$3*10^12-$A83)*-1&lt;0,0,1)*IF(ABS(M$3*10^12-$A84)&gt;(M$3*10^12-$A83),$A83,$A84))</f>
        <v>0</v>
      </c>
      <c r="N83" s="0" t="e">
        <f aca="false">IF(IF((N$3*10^12-$A84)*(N$3*10^12-$A83)*-1&lt;0,0,1)*IF(ABS(N$3*10^12-$A84)&gt;(N$3*10^12-$A83),$A83,$A84)=N84,0,IF((N$3*10^12-$A84)*(N$3*10^12-$A83)*-1&lt;0,0,1)*IF(ABS(N$3*10^12-$A84)&gt;(N$3*10^12-$A83),$A83,$A84))</f>
        <v>#VALUE!</v>
      </c>
    </row>
    <row r="84" customFormat="false" ht="12.75" hidden="false" customHeight="false" outlineLevel="0" collapsed="false">
      <c r="A84" s="0" t="n">
        <f aca="false">A72*10</f>
        <v>1500000</v>
      </c>
      <c r="B84" s="0" t="n">
        <f aca="false">IF(IF((B$3*10^12-$A85)*(B$3*10^12-$A84)*-1&lt;0,0,1)*IF(ABS(B$3*10^12-$A85)&gt;(B$3*10^12-$A84),$A84,$A85)=B85,0,IF((B$3*10^12-$A85)*(B$3*10^12-$A84)*-1&lt;0,0,1)*IF(ABS(B$3*10^12-$A85)&gt;(B$3*10^12-$A84),$A84,$A85))</f>
        <v>0</v>
      </c>
      <c r="C84" s="0" t="n">
        <f aca="false">IF(IF((C$3*10^12-$A85)*(C$3*10^12-$A84)*-1&lt;0,0,1)*IF(ABS(C$3*10^12-$A85)&gt;(C$3*10^12-$A84),$A84,$A85)=C85,0,IF((C$3*10^12-$A85)*(C$3*10^12-$A84)*-1&lt;0,0,1)*IF(ABS(C$3*10^12-$A85)&gt;(C$3*10^12-$A84),$A84,$A85))</f>
        <v>0</v>
      </c>
      <c r="D84" s="0" t="n">
        <f aca="false">IF(IF((D$3*10^12-$A85)*(D$3*10^12-$A84)*-1&lt;0,0,1)*IF(ABS(D$3*10^12-$A85)&gt;(D$3*10^12-$A84),$A84,$A85)=D85,0,IF((D$3*10^12-$A85)*(D$3*10^12-$A84)*-1&lt;0,0,1)*IF(ABS(D$3*10^12-$A85)&gt;(D$3*10^12-$A84),$A84,$A85))</f>
        <v>0</v>
      </c>
      <c r="E84" s="0" t="n">
        <f aca="false">IF(IF((E$3*10^12-$A85)*(E$3*10^12-$A84)*-1&lt;0,0,1)*IF(ABS(E$3*10^12-$A85)&gt;(E$3*10^12-$A84),$A84,$A85)=E85,0,IF((E$3*10^12-$A85)*(E$3*10^12-$A84)*-1&lt;0,0,1)*IF(ABS(E$3*10^12-$A85)&gt;(E$3*10^12-$A84),$A84,$A85))</f>
        <v>0</v>
      </c>
      <c r="F84" s="0" t="n">
        <f aca="false">IF(IF((F$3*10^12-$A85)*(F$3*10^12-$A84)*-1&lt;0,0,1)*IF(ABS(F$3*10^12-$A85)&gt;(F$3*10^12-$A84),$A84,$A85)=F85,0,IF((F$3*10^12-$A85)*(F$3*10^12-$A84)*-1&lt;0,0,1)*IF(ABS(F$3*10^12-$A85)&gt;(F$3*10^12-$A84),$A84,$A85))</f>
        <v>0</v>
      </c>
      <c r="G84" s="0" t="n">
        <f aca="false">IF(IF((G$3*10^12-$A85)*(G$3*10^12-$A84)*-1&lt;0,0,1)*IF(ABS(G$3*10^12-$A85)&gt;(G$3*10^12-$A84),$A84,$A85)=G85,0,IF((G$3*10^12-$A85)*(G$3*10^12-$A84)*-1&lt;0,0,1)*IF(ABS(G$3*10^12-$A85)&gt;(G$3*10^12-$A84),$A84,$A85))</f>
        <v>0</v>
      </c>
      <c r="H84" s="0" t="n">
        <f aca="false">IF(IF((H$3*10^12-$A85)*(H$3*10^12-$A84)*-1&lt;0,0,1)*IF(ABS(H$3*10^12-$A85)&gt;(H$3*10^12-$A84),$A84,$A85)=H85,0,IF((H$3*10^12-$A85)*(H$3*10^12-$A84)*-1&lt;0,0,1)*IF(ABS(H$3*10^12-$A85)&gt;(H$3*10^12-$A84),$A84,$A85))</f>
        <v>0</v>
      </c>
      <c r="I84" s="0" t="n">
        <f aca="false">IF(IF((I$3*10^12-$A85)*(I$3*10^12-$A84)*-1&lt;0,0,1)*IF(ABS(I$3*10^12-$A85)&gt;(I$3*10^12-$A84),$A84,$A85)=I85,0,IF((I$3*10^12-$A85)*(I$3*10^12-$A84)*-1&lt;0,0,1)*IF(ABS(I$3*10^12-$A85)&gt;(I$3*10^12-$A84),$A84,$A85))</f>
        <v>0</v>
      </c>
      <c r="J84" s="0" t="n">
        <f aca="false">IF(IF((J$3*10^12-$A85)*(J$3*10^12-$A84)*-1&lt;0,0,1)*IF(ABS(J$3*10^12-$A85)&gt;(J$3*10^12-$A84),$A84,$A85)=J85,0,IF((J$3*10^12-$A85)*(J$3*10^12-$A84)*-1&lt;0,0,1)*IF(ABS(J$3*10^12-$A85)&gt;(J$3*10^12-$A84),$A84,$A85))</f>
        <v>0</v>
      </c>
      <c r="K84" s="0" t="n">
        <f aca="false">IF(IF((K$3*10^12-$A85)*(K$3*10^12-$A84)*-1&lt;0,0,1)*IF(ABS(K$3*10^12-$A85)&gt;(K$3*10^12-$A84),$A84,$A85)=K85,0,IF((K$3*10^12-$A85)*(K$3*10^12-$A84)*-1&lt;0,0,1)*IF(ABS(K$3*10^12-$A85)&gt;(K$3*10^12-$A84),$A84,$A85))</f>
        <v>0</v>
      </c>
      <c r="L84" s="0" t="n">
        <f aca="false">IF(IF((L$3*10^12-$A85)*(L$3*10^12-$A84)*-1&lt;0,0,1)*IF(ABS(L$3*10^12-$A85)&gt;(L$3*10^12-$A84),$A84,$A85)=L85,0,IF((L$3*10^12-$A85)*(L$3*10^12-$A84)*-1&lt;0,0,1)*IF(ABS(L$3*10^12-$A85)&gt;(L$3*10^12-$A84),$A84,$A85))</f>
        <v>0</v>
      </c>
      <c r="M84" s="0" t="n">
        <f aca="false">IF(IF((M$3*10^12-$A85)*(M$3*10^12-$A84)*-1&lt;0,0,1)*IF(ABS(M$3*10^12-$A85)&gt;(M$3*10^12-$A84),$A84,$A85)=M85,0,IF((M$3*10^12-$A85)*(M$3*10^12-$A84)*-1&lt;0,0,1)*IF(ABS(M$3*10^12-$A85)&gt;(M$3*10^12-$A84),$A84,$A85))</f>
        <v>0</v>
      </c>
      <c r="N84" s="0" t="e">
        <f aca="false">IF(IF((N$3*10^12-$A85)*(N$3*10^12-$A84)*-1&lt;0,0,1)*IF(ABS(N$3*10^12-$A85)&gt;(N$3*10^12-$A84),$A84,$A85)=N85,0,IF((N$3*10^12-$A85)*(N$3*10^12-$A84)*-1&lt;0,0,1)*IF(ABS(N$3*10^12-$A85)&gt;(N$3*10^12-$A84),$A84,$A85))</f>
        <v>#VALUE!</v>
      </c>
    </row>
    <row r="85" customFormat="false" ht="12.75" hidden="false" customHeight="false" outlineLevel="0" collapsed="false">
      <c r="A85" s="0" t="n">
        <f aca="false">A73*10</f>
        <v>1800000</v>
      </c>
      <c r="B85" s="0" t="n">
        <f aca="false">IF(IF((B$3*10^12-$A86)*(B$3*10^12-$A85)*-1&lt;0,0,1)*IF(ABS(B$3*10^12-$A86)&gt;(B$3*10^12-$A85),$A85,$A86)=B86,0,IF((B$3*10^12-$A86)*(B$3*10^12-$A85)*-1&lt;0,0,1)*IF(ABS(B$3*10^12-$A86)&gt;(B$3*10^12-$A85),$A85,$A86))</f>
        <v>0</v>
      </c>
      <c r="C85" s="0" t="n">
        <f aca="false">IF(IF((C$3*10^12-$A86)*(C$3*10^12-$A85)*-1&lt;0,0,1)*IF(ABS(C$3*10^12-$A86)&gt;(C$3*10^12-$A85),$A85,$A86)=C86,0,IF((C$3*10^12-$A86)*(C$3*10^12-$A85)*-1&lt;0,0,1)*IF(ABS(C$3*10^12-$A86)&gt;(C$3*10^12-$A85),$A85,$A86))</f>
        <v>0</v>
      </c>
      <c r="D85" s="0" t="n">
        <f aca="false">IF(IF((D$3*10^12-$A86)*(D$3*10^12-$A85)*-1&lt;0,0,1)*IF(ABS(D$3*10^12-$A86)&gt;(D$3*10^12-$A85),$A85,$A86)=D86,0,IF((D$3*10^12-$A86)*(D$3*10^12-$A85)*-1&lt;0,0,1)*IF(ABS(D$3*10^12-$A86)&gt;(D$3*10^12-$A85),$A85,$A86))</f>
        <v>0</v>
      </c>
      <c r="E85" s="0" t="n">
        <f aca="false">IF(IF((E$3*10^12-$A86)*(E$3*10^12-$A85)*-1&lt;0,0,1)*IF(ABS(E$3*10^12-$A86)&gt;(E$3*10^12-$A85),$A85,$A86)=E86,0,IF((E$3*10^12-$A86)*(E$3*10^12-$A85)*-1&lt;0,0,1)*IF(ABS(E$3*10^12-$A86)&gt;(E$3*10^12-$A85),$A85,$A86))</f>
        <v>0</v>
      </c>
      <c r="F85" s="0" t="n">
        <f aca="false">IF(IF((F$3*10^12-$A86)*(F$3*10^12-$A85)*-1&lt;0,0,1)*IF(ABS(F$3*10^12-$A86)&gt;(F$3*10^12-$A85),$A85,$A86)=F86,0,IF((F$3*10^12-$A86)*(F$3*10^12-$A85)*-1&lt;0,0,1)*IF(ABS(F$3*10^12-$A86)&gt;(F$3*10^12-$A85),$A85,$A86))</f>
        <v>2200000</v>
      </c>
      <c r="G85" s="0" t="n">
        <f aca="false">IF(IF((G$3*10^12-$A86)*(G$3*10^12-$A85)*-1&lt;0,0,1)*IF(ABS(G$3*10^12-$A86)&gt;(G$3*10^12-$A85),$A85,$A86)=G86,0,IF((G$3*10^12-$A86)*(G$3*10^12-$A85)*-1&lt;0,0,1)*IF(ABS(G$3*10^12-$A86)&gt;(G$3*10^12-$A85),$A85,$A86))</f>
        <v>0</v>
      </c>
      <c r="H85" s="0" t="n">
        <f aca="false">IF(IF((H$3*10^12-$A86)*(H$3*10^12-$A85)*-1&lt;0,0,1)*IF(ABS(H$3*10^12-$A86)&gt;(H$3*10^12-$A85),$A85,$A86)=H86,0,IF((H$3*10^12-$A86)*(H$3*10^12-$A85)*-1&lt;0,0,1)*IF(ABS(H$3*10^12-$A86)&gt;(H$3*10^12-$A85),$A85,$A86))</f>
        <v>0</v>
      </c>
      <c r="I85" s="0" t="n">
        <f aca="false">IF(IF((I$3*10^12-$A86)*(I$3*10^12-$A85)*-1&lt;0,0,1)*IF(ABS(I$3*10^12-$A86)&gt;(I$3*10^12-$A85),$A85,$A86)=I86,0,IF((I$3*10^12-$A86)*(I$3*10^12-$A85)*-1&lt;0,0,1)*IF(ABS(I$3*10^12-$A86)&gt;(I$3*10^12-$A85),$A85,$A86))</f>
        <v>0</v>
      </c>
      <c r="J85" s="0" t="n">
        <f aca="false">IF(IF((J$3*10^12-$A86)*(J$3*10^12-$A85)*-1&lt;0,0,1)*IF(ABS(J$3*10^12-$A86)&gt;(J$3*10^12-$A85),$A85,$A86)=J86,0,IF((J$3*10^12-$A86)*(J$3*10^12-$A85)*-1&lt;0,0,1)*IF(ABS(J$3*10^12-$A86)&gt;(J$3*10^12-$A85),$A85,$A86))</f>
        <v>0</v>
      </c>
      <c r="K85" s="0" t="n">
        <f aca="false">IF(IF((K$3*10^12-$A86)*(K$3*10^12-$A85)*-1&lt;0,0,1)*IF(ABS(K$3*10^12-$A86)&gt;(K$3*10^12-$A85),$A85,$A86)=K86,0,IF((K$3*10^12-$A86)*(K$3*10^12-$A85)*-1&lt;0,0,1)*IF(ABS(K$3*10^12-$A86)&gt;(K$3*10^12-$A85),$A85,$A86))</f>
        <v>0</v>
      </c>
      <c r="L85" s="0" t="n">
        <f aca="false">IF(IF((L$3*10^12-$A86)*(L$3*10^12-$A85)*-1&lt;0,0,1)*IF(ABS(L$3*10^12-$A86)&gt;(L$3*10^12-$A85),$A85,$A86)=L86,0,IF((L$3*10^12-$A86)*(L$3*10^12-$A85)*-1&lt;0,0,1)*IF(ABS(L$3*10^12-$A86)&gt;(L$3*10^12-$A85),$A85,$A86))</f>
        <v>0</v>
      </c>
      <c r="M85" s="0" t="n">
        <f aca="false">IF(IF((M$3*10^12-$A86)*(M$3*10^12-$A85)*-1&lt;0,0,1)*IF(ABS(M$3*10^12-$A86)&gt;(M$3*10^12-$A85),$A85,$A86)=M86,0,IF((M$3*10^12-$A86)*(M$3*10^12-$A85)*-1&lt;0,0,1)*IF(ABS(M$3*10^12-$A86)&gt;(M$3*10^12-$A85),$A85,$A86))</f>
        <v>0</v>
      </c>
      <c r="N85" s="0" t="e">
        <f aca="false">IF(IF((N$3*10^12-$A86)*(N$3*10^12-$A85)*-1&lt;0,0,1)*IF(ABS(N$3*10^12-$A86)&gt;(N$3*10^12-$A85),$A85,$A86)=N86,0,IF((N$3*10^12-$A86)*(N$3*10^12-$A85)*-1&lt;0,0,1)*IF(ABS(N$3*10^12-$A86)&gt;(N$3*10^12-$A85),$A85,$A86))</f>
        <v>#VALUE!</v>
      </c>
    </row>
    <row r="86" customFormat="false" ht="12.75" hidden="false" customHeight="false" outlineLevel="0" collapsed="false">
      <c r="A86" s="0" t="n">
        <f aca="false">A74*10</f>
        <v>2200000</v>
      </c>
      <c r="B86" s="0" t="n">
        <f aca="false">IF(IF((B$3*10^12-$A87)*(B$3*10^12-$A86)*-1&lt;0,0,1)*IF(ABS(B$3*10^12-$A87)&gt;(B$3*10^12-$A86),$A86,$A87)=B87,0,IF((B$3*10^12-$A87)*(B$3*10^12-$A86)*-1&lt;0,0,1)*IF(ABS(B$3*10^12-$A87)&gt;(B$3*10^12-$A86),$A86,$A87))</f>
        <v>0</v>
      </c>
      <c r="C86" s="0" t="n">
        <f aca="false">IF(IF((C$3*10^12-$A87)*(C$3*10^12-$A86)*-1&lt;0,0,1)*IF(ABS(C$3*10^12-$A87)&gt;(C$3*10^12-$A86),$A86,$A87)=C87,0,IF((C$3*10^12-$A87)*(C$3*10^12-$A86)*-1&lt;0,0,1)*IF(ABS(C$3*10^12-$A87)&gt;(C$3*10^12-$A86),$A86,$A87))</f>
        <v>0</v>
      </c>
      <c r="D86" s="0" t="n">
        <f aca="false">IF(IF((D$3*10^12-$A87)*(D$3*10^12-$A86)*-1&lt;0,0,1)*IF(ABS(D$3*10^12-$A87)&gt;(D$3*10^12-$A86),$A86,$A87)=D87,0,IF((D$3*10^12-$A87)*(D$3*10^12-$A86)*-1&lt;0,0,1)*IF(ABS(D$3*10^12-$A87)&gt;(D$3*10^12-$A86),$A86,$A87))</f>
        <v>0</v>
      </c>
      <c r="E86" s="0" t="n">
        <f aca="false">IF(IF((E$3*10^12-$A87)*(E$3*10^12-$A86)*-1&lt;0,0,1)*IF(ABS(E$3*10^12-$A87)&gt;(E$3*10^12-$A86),$A86,$A87)=E87,0,IF((E$3*10^12-$A87)*(E$3*10^12-$A86)*-1&lt;0,0,1)*IF(ABS(E$3*10^12-$A87)&gt;(E$3*10^12-$A86),$A86,$A87))</f>
        <v>0</v>
      </c>
      <c r="F86" s="0" t="n">
        <f aca="false">IF(IF((F$3*10^12-$A87)*(F$3*10^12-$A86)*-1&lt;0,0,1)*IF(ABS(F$3*10^12-$A87)&gt;(F$3*10^12-$A86),$A86,$A87)=F87,0,IF((F$3*10^12-$A87)*(F$3*10^12-$A86)*-1&lt;0,0,1)*IF(ABS(F$3*10^12-$A87)&gt;(F$3*10^12-$A86),$A86,$A87))</f>
        <v>0</v>
      </c>
      <c r="G86" s="0" t="n">
        <f aca="false">IF(IF((G$3*10^12-$A87)*(G$3*10^12-$A86)*-1&lt;0,0,1)*IF(ABS(G$3*10^12-$A87)&gt;(G$3*10^12-$A86),$A86,$A87)=G87,0,IF((G$3*10^12-$A87)*(G$3*10^12-$A86)*-1&lt;0,0,1)*IF(ABS(G$3*10^12-$A87)&gt;(G$3*10^12-$A86),$A86,$A87))</f>
        <v>0</v>
      </c>
      <c r="H86" s="0" t="n">
        <f aca="false">IF(IF((H$3*10^12-$A87)*(H$3*10^12-$A86)*-1&lt;0,0,1)*IF(ABS(H$3*10^12-$A87)&gt;(H$3*10^12-$A86),$A86,$A87)=H87,0,IF((H$3*10^12-$A87)*(H$3*10^12-$A86)*-1&lt;0,0,1)*IF(ABS(H$3*10^12-$A87)&gt;(H$3*10^12-$A86),$A86,$A87))</f>
        <v>0</v>
      </c>
      <c r="I86" s="0" t="n">
        <f aca="false">IF(IF((I$3*10^12-$A87)*(I$3*10^12-$A86)*-1&lt;0,0,1)*IF(ABS(I$3*10^12-$A87)&gt;(I$3*10^12-$A86),$A86,$A87)=I87,0,IF((I$3*10^12-$A87)*(I$3*10^12-$A86)*-1&lt;0,0,1)*IF(ABS(I$3*10^12-$A87)&gt;(I$3*10^12-$A86),$A86,$A87))</f>
        <v>0</v>
      </c>
      <c r="J86" s="0" t="n">
        <f aca="false">IF(IF((J$3*10^12-$A87)*(J$3*10^12-$A86)*-1&lt;0,0,1)*IF(ABS(J$3*10^12-$A87)&gt;(J$3*10^12-$A86),$A86,$A87)=J87,0,IF((J$3*10^12-$A87)*(J$3*10^12-$A86)*-1&lt;0,0,1)*IF(ABS(J$3*10^12-$A87)&gt;(J$3*10^12-$A86),$A86,$A87))</f>
        <v>0</v>
      </c>
      <c r="K86" s="0" t="n">
        <f aca="false">IF(IF((K$3*10^12-$A87)*(K$3*10^12-$A86)*-1&lt;0,0,1)*IF(ABS(K$3*10^12-$A87)&gt;(K$3*10^12-$A86),$A86,$A87)=K87,0,IF((K$3*10^12-$A87)*(K$3*10^12-$A86)*-1&lt;0,0,1)*IF(ABS(K$3*10^12-$A87)&gt;(K$3*10^12-$A86),$A86,$A87))</f>
        <v>0</v>
      </c>
      <c r="L86" s="0" t="n">
        <f aca="false">IF(IF((L$3*10^12-$A87)*(L$3*10^12-$A86)*-1&lt;0,0,1)*IF(ABS(L$3*10^12-$A87)&gt;(L$3*10^12-$A86),$A86,$A87)=L87,0,IF((L$3*10^12-$A87)*(L$3*10^12-$A86)*-1&lt;0,0,1)*IF(ABS(L$3*10^12-$A87)&gt;(L$3*10^12-$A86),$A86,$A87))</f>
        <v>0</v>
      </c>
      <c r="M86" s="0" t="n">
        <f aca="false">IF(IF((M$3*10^12-$A87)*(M$3*10^12-$A86)*-1&lt;0,0,1)*IF(ABS(M$3*10^12-$A87)&gt;(M$3*10^12-$A86),$A86,$A87)=M87,0,IF((M$3*10^12-$A87)*(M$3*10^12-$A86)*-1&lt;0,0,1)*IF(ABS(M$3*10^12-$A87)&gt;(M$3*10^12-$A86),$A86,$A87))</f>
        <v>0</v>
      </c>
      <c r="N86" s="0" t="e">
        <f aca="false">IF(IF((N$3*10^12-$A87)*(N$3*10^12-$A86)*-1&lt;0,0,1)*IF(ABS(N$3*10^12-$A87)&gt;(N$3*10^12-$A86),$A86,$A87)=N87,0,IF((N$3*10^12-$A87)*(N$3*10^12-$A86)*-1&lt;0,0,1)*IF(ABS(N$3*10^12-$A87)&gt;(N$3*10^12-$A86),$A86,$A87))</f>
        <v>#VALUE!</v>
      </c>
    </row>
    <row r="87" customFormat="false" ht="12.75" hidden="false" customHeight="false" outlineLevel="0" collapsed="false">
      <c r="A87" s="0" t="n">
        <f aca="false">A75*10</f>
        <v>2700000</v>
      </c>
      <c r="B87" s="0" t="n">
        <f aca="false">IF(IF((B$3*10^12-$A88)*(B$3*10^12-$A87)*-1&lt;0,0,1)*IF(ABS(B$3*10^12-$A88)&gt;(B$3*10^12-$A87),$A87,$A88)=B88,0,IF((B$3*10^12-$A88)*(B$3*10^12-$A87)*-1&lt;0,0,1)*IF(ABS(B$3*10^12-$A88)&gt;(B$3*10^12-$A87),$A87,$A88))</f>
        <v>0</v>
      </c>
      <c r="C87" s="0" t="n">
        <f aca="false">IF(IF((C$3*10^12-$A88)*(C$3*10^12-$A87)*-1&lt;0,0,1)*IF(ABS(C$3*10^12-$A88)&gt;(C$3*10^12-$A87),$A87,$A88)=C88,0,IF((C$3*10^12-$A88)*(C$3*10^12-$A87)*-1&lt;0,0,1)*IF(ABS(C$3*10^12-$A88)&gt;(C$3*10^12-$A87),$A87,$A88))</f>
        <v>0</v>
      </c>
      <c r="D87" s="0" t="n">
        <f aca="false">IF(IF((D$3*10^12-$A88)*(D$3*10^12-$A87)*-1&lt;0,0,1)*IF(ABS(D$3*10^12-$A88)&gt;(D$3*10^12-$A87),$A87,$A88)=D88,0,IF((D$3*10^12-$A88)*(D$3*10^12-$A87)*-1&lt;0,0,1)*IF(ABS(D$3*10^12-$A88)&gt;(D$3*10^12-$A87),$A87,$A88))</f>
        <v>0</v>
      </c>
      <c r="E87" s="0" t="n">
        <f aca="false">IF(IF((E$3*10^12-$A88)*(E$3*10^12-$A87)*-1&lt;0,0,1)*IF(ABS(E$3*10^12-$A88)&gt;(E$3*10^12-$A87),$A87,$A88)=E88,0,IF((E$3*10^12-$A88)*(E$3*10^12-$A87)*-1&lt;0,0,1)*IF(ABS(E$3*10^12-$A88)&gt;(E$3*10^12-$A87),$A87,$A88))</f>
        <v>0</v>
      </c>
      <c r="F87" s="0" t="n">
        <f aca="false">IF(IF((F$3*10^12-$A88)*(F$3*10^12-$A87)*-1&lt;0,0,1)*IF(ABS(F$3*10^12-$A88)&gt;(F$3*10^12-$A87),$A87,$A88)=F88,0,IF((F$3*10^12-$A88)*(F$3*10^12-$A87)*-1&lt;0,0,1)*IF(ABS(F$3*10^12-$A88)&gt;(F$3*10^12-$A87),$A87,$A88))</f>
        <v>0</v>
      </c>
      <c r="G87" s="0" t="n">
        <f aca="false">IF(IF((G$3*10^12-$A88)*(G$3*10^12-$A87)*-1&lt;0,0,1)*IF(ABS(G$3*10^12-$A88)&gt;(G$3*10^12-$A87),$A87,$A88)=G88,0,IF((G$3*10^12-$A88)*(G$3*10^12-$A87)*-1&lt;0,0,1)*IF(ABS(G$3*10^12-$A88)&gt;(G$3*10^12-$A87),$A87,$A88))</f>
        <v>0</v>
      </c>
      <c r="H87" s="0" t="n">
        <f aca="false">IF(IF((H$3*10^12-$A88)*(H$3*10^12-$A87)*-1&lt;0,0,1)*IF(ABS(H$3*10^12-$A88)&gt;(H$3*10^12-$A87),$A87,$A88)=H88,0,IF((H$3*10^12-$A88)*(H$3*10^12-$A87)*-1&lt;0,0,1)*IF(ABS(H$3*10^12-$A88)&gt;(H$3*10^12-$A87),$A87,$A88))</f>
        <v>0</v>
      </c>
      <c r="I87" s="0" t="n">
        <f aca="false">IF(IF((I$3*10^12-$A88)*(I$3*10^12-$A87)*-1&lt;0,0,1)*IF(ABS(I$3*10^12-$A88)&gt;(I$3*10^12-$A87),$A87,$A88)=I88,0,IF((I$3*10^12-$A88)*(I$3*10^12-$A87)*-1&lt;0,0,1)*IF(ABS(I$3*10^12-$A88)&gt;(I$3*10^12-$A87),$A87,$A88))</f>
        <v>0</v>
      </c>
      <c r="J87" s="0" t="n">
        <f aca="false">IF(IF((J$3*10^12-$A88)*(J$3*10^12-$A87)*-1&lt;0,0,1)*IF(ABS(J$3*10^12-$A88)&gt;(J$3*10^12-$A87),$A87,$A88)=J88,0,IF((J$3*10^12-$A88)*(J$3*10^12-$A87)*-1&lt;0,0,1)*IF(ABS(J$3*10^12-$A88)&gt;(J$3*10^12-$A87),$A87,$A88))</f>
        <v>0</v>
      </c>
      <c r="K87" s="0" t="n">
        <f aca="false">IF(IF((K$3*10^12-$A88)*(K$3*10^12-$A87)*-1&lt;0,0,1)*IF(ABS(K$3*10^12-$A88)&gt;(K$3*10^12-$A87),$A87,$A88)=K88,0,IF((K$3*10^12-$A88)*(K$3*10^12-$A87)*-1&lt;0,0,1)*IF(ABS(K$3*10^12-$A88)&gt;(K$3*10^12-$A87),$A87,$A88))</f>
        <v>0</v>
      </c>
      <c r="L87" s="0" t="n">
        <f aca="false">IF(IF((L$3*10^12-$A88)*(L$3*10^12-$A87)*-1&lt;0,0,1)*IF(ABS(L$3*10^12-$A88)&gt;(L$3*10^12-$A87),$A87,$A88)=L88,0,IF((L$3*10^12-$A88)*(L$3*10^12-$A87)*-1&lt;0,0,1)*IF(ABS(L$3*10^12-$A88)&gt;(L$3*10^12-$A87),$A87,$A88))</f>
        <v>0</v>
      </c>
      <c r="M87" s="0" t="n">
        <f aca="false">IF(IF((M$3*10^12-$A88)*(M$3*10^12-$A87)*-1&lt;0,0,1)*IF(ABS(M$3*10^12-$A88)&gt;(M$3*10^12-$A87),$A87,$A88)=M88,0,IF((M$3*10^12-$A88)*(M$3*10^12-$A87)*-1&lt;0,0,1)*IF(ABS(M$3*10^12-$A88)&gt;(M$3*10^12-$A87),$A87,$A88))</f>
        <v>0</v>
      </c>
      <c r="N87" s="0" t="e">
        <f aca="false">IF(IF((N$3*10^12-$A88)*(N$3*10^12-$A87)*-1&lt;0,0,1)*IF(ABS(N$3*10^12-$A88)&gt;(N$3*10^12-$A87),$A87,$A88)=N88,0,IF((N$3*10^12-$A88)*(N$3*10^12-$A87)*-1&lt;0,0,1)*IF(ABS(N$3*10^12-$A88)&gt;(N$3*10^12-$A87),$A87,$A88))</f>
        <v>#VALUE!</v>
      </c>
    </row>
    <row r="88" customFormat="false" ht="12.75" hidden="false" customHeight="false" outlineLevel="0" collapsed="false">
      <c r="A88" s="0" t="n">
        <f aca="false">A76*10</f>
        <v>3300000</v>
      </c>
      <c r="B88" s="0" t="n">
        <f aca="false">IF(IF((B$3*10^12-$A89)*(B$3*10^12-$A88)*-1&lt;0,0,1)*IF(ABS(B$3*10^12-$A89)&gt;(B$3*10^12-$A88),$A88,$A89)=B89,0,IF((B$3*10^12-$A89)*(B$3*10^12-$A88)*-1&lt;0,0,1)*IF(ABS(B$3*10^12-$A89)&gt;(B$3*10^12-$A88),$A88,$A89))</f>
        <v>0</v>
      </c>
      <c r="C88" s="0" t="n">
        <f aca="false">IF(IF((C$3*10^12-$A89)*(C$3*10^12-$A88)*-1&lt;0,0,1)*IF(ABS(C$3*10^12-$A89)&gt;(C$3*10^12-$A88),$A88,$A89)=C89,0,IF((C$3*10^12-$A89)*(C$3*10^12-$A88)*-1&lt;0,0,1)*IF(ABS(C$3*10^12-$A89)&gt;(C$3*10^12-$A88),$A88,$A89))</f>
        <v>0</v>
      </c>
      <c r="D88" s="0" t="n">
        <f aca="false">IF(IF((D$3*10^12-$A89)*(D$3*10^12-$A88)*-1&lt;0,0,1)*IF(ABS(D$3*10^12-$A89)&gt;(D$3*10^12-$A88),$A88,$A89)=D89,0,IF((D$3*10^12-$A89)*(D$3*10^12-$A88)*-1&lt;0,0,1)*IF(ABS(D$3*10^12-$A89)&gt;(D$3*10^12-$A88),$A88,$A89))</f>
        <v>0</v>
      </c>
      <c r="E88" s="0" t="n">
        <f aca="false">IF(IF((E$3*10^12-$A89)*(E$3*10^12-$A88)*-1&lt;0,0,1)*IF(ABS(E$3*10^12-$A89)&gt;(E$3*10^12-$A88),$A88,$A89)=E89,0,IF((E$3*10^12-$A89)*(E$3*10^12-$A88)*-1&lt;0,0,1)*IF(ABS(E$3*10^12-$A89)&gt;(E$3*10^12-$A88),$A88,$A89))</f>
        <v>0</v>
      </c>
      <c r="F88" s="0" t="n">
        <f aca="false">IF(IF((F$3*10^12-$A89)*(F$3*10^12-$A88)*-1&lt;0,0,1)*IF(ABS(F$3*10^12-$A89)&gt;(F$3*10^12-$A88),$A88,$A89)=F89,0,IF((F$3*10^12-$A89)*(F$3*10^12-$A88)*-1&lt;0,0,1)*IF(ABS(F$3*10^12-$A89)&gt;(F$3*10^12-$A88),$A88,$A89))</f>
        <v>0</v>
      </c>
      <c r="G88" s="0" t="n">
        <f aca="false">IF(IF((G$3*10^12-$A89)*(G$3*10^12-$A88)*-1&lt;0,0,1)*IF(ABS(G$3*10^12-$A89)&gt;(G$3*10^12-$A88),$A88,$A89)=G89,0,IF((G$3*10^12-$A89)*(G$3*10^12-$A88)*-1&lt;0,0,1)*IF(ABS(G$3*10^12-$A89)&gt;(G$3*10^12-$A88),$A88,$A89))</f>
        <v>0</v>
      </c>
      <c r="H88" s="0" t="n">
        <f aca="false">IF(IF((H$3*10^12-$A89)*(H$3*10^12-$A88)*-1&lt;0,0,1)*IF(ABS(H$3*10^12-$A89)&gt;(H$3*10^12-$A88),$A88,$A89)=H89,0,IF((H$3*10^12-$A89)*(H$3*10^12-$A88)*-1&lt;0,0,1)*IF(ABS(H$3*10^12-$A89)&gt;(H$3*10^12-$A88),$A88,$A89))</f>
        <v>0</v>
      </c>
      <c r="I88" s="0" t="n">
        <f aca="false">IF(IF((I$3*10^12-$A89)*(I$3*10^12-$A88)*-1&lt;0,0,1)*IF(ABS(I$3*10^12-$A89)&gt;(I$3*10^12-$A88),$A88,$A89)=I89,0,IF((I$3*10^12-$A89)*(I$3*10^12-$A88)*-1&lt;0,0,1)*IF(ABS(I$3*10^12-$A89)&gt;(I$3*10^12-$A88),$A88,$A89))</f>
        <v>0</v>
      </c>
      <c r="J88" s="0" t="n">
        <f aca="false">IF(IF((J$3*10^12-$A89)*(J$3*10^12-$A88)*-1&lt;0,0,1)*IF(ABS(J$3*10^12-$A89)&gt;(J$3*10^12-$A88),$A88,$A89)=J89,0,IF((J$3*10^12-$A89)*(J$3*10^12-$A88)*-1&lt;0,0,1)*IF(ABS(J$3*10^12-$A89)&gt;(J$3*10^12-$A88),$A88,$A89))</f>
        <v>0</v>
      </c>
      <c r="K88" s="0" t="n">
        <f aca="false">IF(IF((K$3*10^12-$A89)*(K$3*10^12-$A88)*-1&lt;0,0,1)*IF(ABS(K$3*10^12-$A89)&gt;(K$3*10^12-$A88),$A88,$A89)=K89,0,IF((K$3*10^12-$A89)*(K$3*10^12-$A88)*-1&lt;0,0,1)*IF(ABS(K$3*10^12-$A89)&gt;(K$3*10^12-$A88),$A88,$A89))</f>
        <v>0</v>
      </c>
      <c r="L88" s="0" t="n">
        <f aca="false">IF(IF((L$3*10^12-$A89)*(L$3*10^12-$A88)*-1&lt;0,0,1)*IF(ABS(L$3*10^12-$A89)&gt;(L$3*10^12-$A88),$A88,$A89)=L89,0,IF((L$3*10^12-$A89)*(L$3*10^12-$A88)*-1&lt;0,0,1)*IF(ABS(L$3*10^12-$A89)&gt;(L$3*10^12-$A88),$A88,$A89))</f>
        <v>0</v>
      </c>
      <c r="M88" s="0" t="n">
        <f aca="false">IF(IF((M$3*10^12-$A89)*(M$3*10^12-$A88)*-1&lt;0,0,1)*IF(ABS(M$3*10^12-$A89)&gt;(M$3*10^12-$A88),$A88,$A89)=M89,0,IF((M$3*10^12-$A89)*(M$3*10^12-$A88)*-1&lt;0,0,1)*IF(ABS(M$3*10^12-$A89)&gt;(M$3*10^12-$A88),$A88,$A89))</f>
        <v>0</v>
      </c>
      <c r="N88" s="0" t="e">
        <f aca="false">IF(IF((N$3*10^12-$A89)*(N$3*10^12-$A88)*-1&lt;0,0,1)*IF(ABS(N$3*10^12-$A89)&gt;(N$3*10^12-$A88),$A88,$A89)=N89,0,IF((N$3*10^12-$A89)*(N$3*10^12-$A88)*-1&lt;0,0,1)*IF(ABS(N$3*10^12-$A89)&gt;(N$3*10^12-$A88),$A88,$A89))</f>
        <v>#VALUE!</v>
      </c>
    </row>
    <row r="89" customFormat="false" ht="12.75" hidden="false" customHeight="false" outlineLevel="0" collapsed="false">
      <c r="A89" s="0" t="n">
        <f aca="false">A77*10</f>
        <v>3900000</v>
      </c>
      <c r="B89" s="0" t="n">
        <f aca="false">IF(IF((B$3*10^12-$A90)*(B$3*10^12-$A89)*-1&lt;0,0,1)*IF(ABS(B$3*10^12-$A90)&gt;(B$3*10^12-$A89),$A89,$A90)=B90,0,IF((B$3*10^12-$A90)*(B$3*10^12-$A89)*-1&lt;0,0,1)*IF(ABS(B$3*10^12-$A90)&gt;(B$3*10^12-$A89),$A89,$A90))</f>
        <v>0</v>
      </c>
      <c r="C89" s="0" t="n">
        <f aca="false">IF(IF((C$3*10^12-$A90)*(C$3*10^12-$A89)*-1&lt;0,0,1)*IF(ABS(C$3*10^12-$A90)&gt;(C$3*10^12-$A89),$A89,$A90)=C90,0,IF((C$3*10^12-$A90)*(C$3*10^12-$A89)*-1&lt;0,0,1)*IF(ABS(C$3*10^12-$A90)&gt;(C$3*10^12-$A89),$A89,$A90))</f>
        <v>0</v>
      </c>
      <c r="D89" s="0" t="n">
        <f aca="false">IF(IF((D$3*10^12-$A90)*(D$3*10^12-$A89)*-1&lt;0,0,1)*IF(ABS(D$3*10^12-$A90)&gt;(D$3*10^12-$A89),$A89,$A90)=D90,0,IF((D$3*10^12-$A90)*(D$3*10^12-$A89)*-1&lt;0,0,1)*IF(ABS(D$3*10^12-$A90)&gt;(D$3*10^12-$A89),$A89,$A90))</f>
        <v>0</v>
      </c>
      <c r="E89" s="0" t="n">
        <f aca="false">IF(IF((E$3*10^12-$A90)*(E$3*10^12-$A89)*-1&lt;0,0,1)*IF(ABS(E$3*10^12-$A90)&gt;(E$3*10^12-$A89),$A89,$A90)=E90,0,IF((E$3*10^12-$A90)*(E$3*10^12-$A89)*-1&lt;0,0,1)*IF(ABS(E$3*10^12-$A90)&gt;(E$3*10^12-$A89),$A89,$A90))</f>
        <v>0</v>
      </c>
      <c r="F89" s="0" t="n">
        <f aca="false">IF(IF((F$3*10^12-$A90)*(F$3*10^12-$A89)*-1&lt;0,0,1)*IF(ABS(F$3*10^12-$A90)&gt;(F$3*10^12-$A89),$A89,$A90)=F90,0,IF((F$3*10^12-$A90)*(F$3*10^12-$A89)*-1&lt;0,0,1)*IF(ABS(F$3*10^12-$A90)&gt;(F$3*10^12-$A89),$A89,$A90))</f>
        <v>0</v>
      </c>
      <c r="G89" s="0" t="n">
        <f aca="false">IF(IF((G$3*10^12-$A90)*(G$3*10^12-$A89)*-1&lt;0,0,1)*IF(ABS(G$3*10^12-$A90)&gt;(G$3*10^12-$A89),$A89,$A90)=G90,0,IF((G$3*10^12-$A90)*(G$3*10^12-$A89)*-1&lt;0,0,1)*IF(ABS(G$3*10^12-$A90)&gt;(G$3*10^12-$A89),$A89,$A90))</f>
        <v>0</v>
      </c>
      <c r="H89" s="0" t="n">
        <f aca="false">IF(IF((H$3*10^12-$A90)*(H$3*10^12-$A89)*-1&lt;0,0,1)*IF(ABS(H$3*10^12-$A90)&gt;(H$3*10^12-$A89),$A89,$A90)=H90,0,IF((H$3*10^12-$A90)*(H$3*10^12-$A89)*-1&lt;0,0,1)*IF(ABS(H$3*10^12-$A90)&gt;(H$3*10^12-$A89),$A89,$A90))</f>
        <v>0</v>
      </c>
      <c r="I89" s="0" t="n">
        <f aca="false">IF(IF((I$3*10^12-$A90)*(I$3*10^12-$A89)*-1&lt;0,0,1)*IF(ABS(I$3*10^12-$A90)&gt;(I$3*10^12-$A89),$A89,$A90)=I90,0,IF((I$3*10^12-$A90)*(I$3*10^12-$A89)*-1&lt;0,0,1)*IF(ABS(I$3*10^12-$A90)&gt;(I$3*10^12-$A89),$A89,$A90))</f>
        <v>0</v>
      </c>
      <c r="J89" s="0" t="n">
        <f aca="false">IF(IF((J$3*10^12-$A90)*(J$3*10^12-$A89)*-1&lt;0,0,1)*IF(ABS(J$3*10^12-$A90)&gt;(J$3*10^12-$A89),$A89,$A90)=J90,0,IF((J$3*10^12-$A90)*(J$3*10^12-$A89)*-1&lt;0,0,1)*IF(ABS(J$3*10^12-$A90)&gt;(J$3*10^12-$A89),$A89,$A90))</f>
        <v>0</v>
      </c>
      <c r="K89" s="0" t="n">
        <f aca="false">IF(IF((K$3*10^12-$A90)*(K$3*10^12-$A89)*-1&lt;0,0,1)*IF(ABS(K$3*10^12-$A90)&gt;(K$3*10^12-$A89),$A89,$A90)=K90,0,IF((K$3*10^12-$A90)*(K$3*10^12-$A89)*-1&lt;0,0,1)*IF(ABS(K$3*10^12-$A90)&gt;(K$3*10^12-$A89),$A89,$A90))</f>
        <v>0</v>
      </c>
      <c r="L89" s="0" t="n">
        <f aca="false">IF(IF((L$3*10^12-$A90)*(L$3*10^12-$A89)*-1&lt;0,0,1)*IF(ABS(L$3*10^12-$A90)&gt;(L$3*10^12-$A89),$A89,$A90)=L90,0,IF((L$3*10^12-$A90)*(L$3*10^12-$A89)*-1&lt;0,0,1)*IF(ABS(L$3*10^12-$A90)&gt;(L$3*10^12-$A89),$A89,$A90))</f>
        <v>0</v>
      </c>
      <c r="M89" s="0" t="n">
        <f aca="false">IF(IF((M$3*10^12-$A90)*(M$3*10^12-$A89)*-1&lt;0,0,1)*IF(ABS(M$3*10^12-$A90)&gt;(M$3*10^12-$A89),$A89,$A90)=M90,0,IF((M$3*10^12-$A90)*(M$3*10^12-$A89)*-1&lt;0,0,1)*IF(ABS(M$3*10^12-$A90)&gt;(M$3*10^12-$A89),$A89,$A90))</f>
        <v>0</v>
      </c>
      <c r="N89" s="0" t="e">
        <f aca="false">IF(IF((N$3*10^12-$A90)*(N$3*10^12-$A89)*-1&lt;0,0,1)*IF(ABS(N$3*10^12-$A90)&gt;(N$3*10^12-$A89),$A89,$A90)=N90,0,IF((N$3*10^12-$A90)*(N$3*10^12-$A89)*-1&lt;0,0,1)*IF(ABS(N$3*10^12-$A90)&gt;(N$3*10^12-$A89),$A89,$A90))</f>
        <v>#VALUE!</v>
      </c>
    </row>
    <row r="90" customFormat="false" ht="12.75" hidden="false" customHeight="false" outlineLevel="0" collapsed="false">
      <c r="A90" s="0" t="n">
        <f aca="false">A78*10</f>
        <v>4700000</v>
      </c>
      <c r="B90" s="0" t="n">
        <f aca="false">IF(IF((B$3*10^12-$A91)*(B$3*10^12-$A90)*-1&lt;0,0,1)*IF(ABS(B$3*10^12-$A91)&gt;(B$3*10^12-$A90),$A90,$A91)=B91,0,IF((B$3*10^12-$A91)*(B$3*10^12-$A90)*-1&lt;0,0,1)*IF(ABS(B$3*10^12-$A91)&gt;(B$3*10^12-$A90),$A90,$A91))</f>
        <v>0</v>
      </c>
      <c r="C90" s="0" t="n">
        <f aca="false">IF(IF((C$3*10^12-$A91)*(C$3*10^12-$A90)*-1&lt;0,0,1)*IF(ABS(C$3*10^12-$A91)&gt;(C$3*10^12-$A90),$A90,$A91)=C91,0,IF((C$3*10^12-$A91)*(C$3*10^12-$A90)*-1&lt;0,0,1)*IF(ABS(C$3*10^12-$A91)&gt;(C$3*10^12-$A90),$A90,$A91))</f>
        <v>0</v>
      </c>
      <c r="D90" s="0" t="n">
        <f aca="false">IF(IF((D$3*10^12-$A91)*(D$3*10^12-$A90)*-1&lt;0,0,1)*IF(ABS(D$3*10^12-$A91)&gt;(D$3*10^12-$A90),$A90,$A91)=D91,0,IF((D$3*10^12-$A91)*(D$3*10^12-$A90)*-1&lt;0,0,1)*IF(ABS(D$3*10^12-$A91)&gt;(D$3*10^12-$A90),$A90,$A91))</f>
        <v>0</v>
      </c>
      <c r="E90" s="0" t="n">
        <f aca="false">IF(IF((E$3*10^12-$A91)*(E$3*10^12-$A90)*-1&lt;0,0,1)*IF(ABS(E$3*10^12-$A91)&gt;(E$3*10^12-$A90),$A90,$A91)=E91,0,IF((E$3*10^12-$A91)*(E$3*10^12-$A90)*-1&lt;0,0,1)*IF(ABS(E$3*10^12-$A91)&gt;(E$3*10^12-$A90),$A90,$A91))</f>
        <v>0</v>
      </c>
      <c r="F90" s="0" t="n">
        <f aca="false">IF(IF((F$3*10^12-$A91)*(F$3*10^12-$A90)*-1&lt;0,0,1)*IF(ABS(F$3*10^12-$A91)&gt;(F$3*10^12-$A90),$A90,$A91)=F91,0,IF((F$3*10^12-$A91)*(F$3*10^12-$A90)*-1&lt;0,0,1)*IF(ABS(F$3*10^12-$A91)&gt;(F$3*10^12-$A90),$A90,$A91))</f>
        <v>0</v>
      </c>
      <c r="G90" s="0" t="n">
        <f aca="false">IF(IF((G$3*10^12-$A91)*(G$3*10^12-$A90)*-1&lt;0,0,1)*IF(ABS(G$3*10^12-$A91)&gt;(G$3*10^12-$A90),$A90,$A91)=G91,0,IF((G$3*10^12-$A91)*(G$3*10^12-$A90)*-1&lt;0,0,1)*IF(ABS(G$3*10^12-$A91)&gt;(G$3*10^12-$A90),$A90,$A91))</f>
        <v>0</v>
      </c>
      <c r="H90" s="0" t="n">
        <f aca="false">IF(IF((H$3*10^12-$A91)*(H$3*10^12-$A90)*-1&lt;0,0,1)*IF(ABS(H$3*10^12-$A91)&gt;(H$3*10^12-$A90),$A90,$A91)=H91,0,IF((H$3*10^12-$A91)*(H$3*10^12-$A90)*-1&lt;0,0,1)*IF(ABS(H$3*10^12-$A91)&gt;(H$3*10^12-$A90),$A90,$A91))</f>
        <v>0</v>
      </c>
      <c r="I90" s="0" t="n">
        <f aca="false">IF(IF((I$3*10^12-$A91)*(I$3*10^12-$A90)*-1&lt;0,0,1)*IF(ABS(I$3*10^12-$A91)&gt;(I$3*10^12-$A90),$A90,$A91)=I91,0,IF((I$3*10^12-$A91)*(I$3*10^12-$A90)*-1&lt;0,0,1)*IF(ABS(I$3*10^12-$A91)&gt;(I$3*10^12-$A90),$A90,$A91))</f>
        <v>0</v>
      </c>
      <c r="J90" s="0" t="n">
        <f aca="false">IF(IF((J$3*10^12-$A91)*(J$3*10^12-$A90)*-1&lt;0,0,1)*IF(ABS(J$3*10^12-$A91)&gt;(J$3*10^12-$A90),$A90,$A91)=J91,0,IF((J$3*10^12-$A91)*(J$3*10^12-$A90)*-1&lt;0,0,1)*IF(ABS(J$3*10^12-$A91)&gt;(J$3*10^12-$A90),$A90,$A91))</f>
        <v>0</v>
      </c>
      <c r="K90" s="0" t="n">
        <f aca="false">IF(IF((K$3*10^12-$A91)*(K$3*10^12-$A90)*-1&lt;0,0,1)*IF(ABS(K$3*10^12-$A91)&gt;(K$3*10^12-$A90),$A90,$A91)=K91,0,IF((K$3*10^12-$A91)*(K$3*10^12-$A90)*-1&lt;0,0,1)*IF(ABS(K$3*10^12-$A91)&gt;(K$3*10^12-$A90),$A90,$A91))</f>
        <v>0</v>
      </c>
      <c r="L90" s="0" t="n">
        <f aca="false">IF(IF((L$3*10^12-$A91)*(L$3*10^12-$A90)*-1&lt;0,0,1)*IF(ABS(L$3*10^12-$A91)&gt;(L$3*10^12-$A90),$A90,$A91)=L91,0,IF((L$3*10^12-$A91)*(L$3*10^12-$A90)*-1&lt;0,0,1)*IF(ABS(L$3*10^12-$A91)&gt;(L$3*10^12-$A90),$A90,$A91))</f>
        <v>0</v>
      </c>
      <c r="M90" s="0" t="n">
        <f aca="false">IF(IF((M$3*10^12-$A91)*(M$3*10^12-$A90)*-1&lt;0,0,1)*IF(ABS(M$3*10^12-$A91)&gt;(M$3*10^12-$A90),$A90,$A91)=M91,0,IF((M$3*10^12-$A91)*(M$3*10^12-$A90)*-1&lt;0,0,1)*IF(ABS(M$3*10^12-$A91)&gt;(M$3*10^12-$A90),$A90,$A91))</f>
        <v>0</v>
      </c>
      <c r="N90" s="0" t="e">
        <f aca="false">IF(IF((N$3*10^12-$A91)*(N$3*10^12-$A90)*-1&lt;0,0,1)*IF(ABS(N$3*10^12-$A91)&gt;(N$3*10^12-$A90),$A90,$A91)=N91,0,IF((N$3*10^12-$A91)*(N$3*10^12-$A90)*-1&lt;0,0,1)*IF(ABS(N$3*10^12-$A91)&gt;(N$3*10^12-$A90),$A90,$A91))</f>
        <v>#VALUE!</v>
      </c>
    </row>
    <row r="91" customFormat="false" ht="12.75" hidden="false" customHeight="false" outlineLevel="0" collapsed="false">
      <c r="A91" s="0" t="n">
        <f aca="false">A79*10</f>
        <v>5600000</v>
      </c>
      <c r="B91" s="0" t="n">
        <f aca="false">IF(IF((B$3*10^12-$A92)*(B$3*10^12-$A91)*-1&lt;0,0,1)*IF(ABS(B$3*10^12-$A92)&gt;(B$3*10^12-$A91),$A91,$A92)=B92,0,IF((B$3*10^12-$A92)*(B$3*10^12-$A91)*-1&lt;0,0,1)*IF(ABS(B$3*10^12-$A92)&gt;(B$3*10^12-$A91),$A91,$A92))</f>
        <v>0</v>
      </c>
      <c r="C91" s="0" t="n">
        <f aca="false">IF(IF((C$3*10^12-$A92)*(C$3*10^12-$A91)*-1&lt;0,0,1)*IF(ABS(C$3*10^12-$A92)&gt;(C$3*10^12-$A91),$A91,$A92)=C92,0,IF((C$3*10^12-$A92)*(C$3*10^12-$A91)*-1&lt;0,0,1)*IF(ABS(C$3*10^12-$A92)&gt;(C$3*10^12-$A91),$A91,$A92))</f>
        <v>0</v>
      </c>
      <c r="D91" s="0" t="n">
        <f aca="false">IF(IF((D$3*10^12-$A92)*(D$3*10^12-$A91)*-1&lt;0,0,1)*IF(ABS(D$3*10^12-$A92)&gt;(D$3*10^12-$A91),$A91,$A92)=D92,0,IF((D$3*10^12-$A92)*(D$3*10^12-$A91)*-1&lt;0,0,1)*IF(ABS(D$3*10^12-$A92)&gt;(D$3*10^12-$A91),$A91,$A92))</f>
        <v>0</v>
      </c>
      <c r="E91" s="0" t="n">
        <f aca="false">IF(IF((E$3*10^12-$A92)*(E$3*10^12-$A91)*-1&lt;0,0,1)*IF(ABS(E$3*10^12-$A92)&gt;(E$3*10^12-$A91),$A91,$A92)=E92,0,IF((E$3*10^12-$A92)*(E$3*10^12-$A91)*-1&lt;0,0,1)*IF(ABS(E$3*10^12-$A92)&gt;(E$3*10^12-$A91),$A91,$A92))</f>
        <v>0</v>
      </c>
      <c r="F91" s="0" t="n">
        <f aca="false">IF(IF((F$3*10^12-$A92)*(F$3*10^12-$A91)*-1&lt;0,0,1)*IF(ABS(F$3*10^12-$A92)&gt;(F$3*10^12-$A91),$A91,$A92)=F92,0,IF((F$3*10^12-$A92)*(F$3*10^12-$A91)*-1&lt;0,0,1)*IF(ABS(F$3*10^12-$A92)&gt;(F$3*10^12-$A91),$A91,$A92))</f>
        <v>0</v>
      </c>
      <c r="G91" s="0" t="n">
        <f aca="false">IF(IF((G$3*10^12-$A92)*(G$3*10^12-$A91)*-1&lt;0,0,1)*IF(ABS(G$3*10^12-$A92)&gt;(G$3*10^12-$A91),$A91,$A92)=G92,0,IF((G$3*10^12-$A92)*(G$3*10^12-$A91)*-1&lt;0,0,1)*IF(ABS(G$3*10^12-$A92)&gt;(G$3*10^12-$A91),$A91,$A92))</f>
        <v>0</v>
      </c>
      <c r="H91" s="0" t="n">
        <f aca="false">IF(IF((H$3*10^12-$A92)*(H$3*10^12-$A91)*-1&lt;0,0,1)*IF(ABS(H$3*10^12-$A92)&gt;(H$3*10^12-$A91),$A91,$A92)=H92,0,IF((H$3*10^12-$A92)*(H$3*10^12-$A91)*-1&lt;0,0,1)*IF(ABS(H$3*10^12-$A92)&gt;(H$3*10^12-$A91),$A91,$A92))</f>
        <v>0</v>
      </c>
      <c r="I91" s="0" t="n">
        <f aca="false">IF(IF((I$3*10^12-$A92)*(I$3*10^12-$A91)*-1&lt;0,0,1)*IF(ABS(I$3*10^12-$A92)&gt;(I$3*10^12-$A91),$A91,$A92)=I92,0,IF((I$3*10^12-$A92)*(I$3*10^12-$A91)*-1&lt;0,0,1)*IF(ABS(I$3*10^12-$A92)&gt;(I$3*10^12-$A91),$A91,$A92))</f>
        <v>0</v>
      </c>
      <c r="J91" s="0" t="n">
        <f aca="false">IF(IF((J$3*10^12-$A92)*(J$3*10^12-$A91)*-1&lt;0,0,1)*IF(ABS(J$3*10^12-$A92)&gt;(J$3*10^12-$A91),$A91,$A92)=J92,0,IF((J$3*10^12-$A92)*(J$3*10^12-$A91)*-1&lt;0,0,1)*IF(ABS(J$3*10^12-$A92)&gt;(J$3*10^12-$A91),$A91,$A92))</f>
        <v>0</v>
      </c>
      <c r="K91" s="0" t="n">
        <f aca="false">IF(IF((K$3*10^12-$A92)*(K$3*10^12-$A91)*-1&lt;0,0,1)*IF(ABS(K$3*10^12-$A92)&gt;(K$3*10^12-$A91),$A91,$A92)=K92,0,IF((K$3*10^12-$A92)*(K$3*10^12-$A91)*-1&lt;0,0,1)*IF(ABS(K$3*10^12-$A92)&gt;(K$3*10^12-$A91),$A91,$A92))</f>
        <v>0</v>
      </c>
      <c r="L91" s="0" t="n">
        <f aca="false">IF(IF((L$3*10^12-$A92)*(L$3*10^12-$A91)*-1&lt;0,0,1)*IF(ABS(L$3*10^12-$A92)&gt;(L$3*10^12-$A91),$A91,$A92)=L92,0,IF((L$3*10^12-$A92)*(L$3*10^12-$A91)*-1&lt;0,0,1)*IF(ABS(L$3*10^12-$A92)&gt;(L$3*10^12-$A91),$A91,$A92))</f>
        <v>0</v>
      </c>
      <c r="M91" s="0" t="n">
        <f aca="false">IF(IF((M$3*10^12-$A92)*(M$3*10^12-$A91)*-1&lt;0,0,1)*IF(ABS(M$3*10^12-$A92)&gt;(M$3*10^12-$A91),$A91,$A92)=M92,0,IF((M$3*10^12-$A92)*(M$3*10^12-$A91)*-1&lt;0,0,1)*IF(ABS(M$3*10^12-$A92)&gt;(M$3*10^12-$A91),$A91,$A92))</f>
        <v>0</v>
      </c>
      <c r="N91" s="0" t="e">
        <f aca="false">IF(IF((N$3*10^12-$A92)*(N$3*10^12-$A91)*-1&lt;0,0,1)*IF(ABS(N$3*10^12-$A92)&gt;(N$3*10^12-$A91),$A91,$A92)=N92,0,IF((N$3*10^12-$A92)*(N$3*10^12-$A91)*-1&lt;0,0,1)*IF(ABS(N$3*10^12-$A92)&gt;(N$3*10^12-$A91),$A91,$A92))</f>
        <v>#VALUE!</v>
      </c>
    </row>
    <row r="92" customFormat="false" ht="12.75" hidden="false" customHeight="false" outlineLevel="0" collapsed="false">
      <c r="A92" s="0" t="n">
        <f aca="false">A80*10</f>
        <v>6800000</v>
      </c>
      <c r="B92" s="0" t="n">
        <f aca="false">IF(IF((B$3*10^12-$A93)*(B$3*10^12-$A92)*-1&lt;0,0,1)*IF(ABS(B$3*10^12-$A93)&gt;(B$3*10^12-$A92),$A92,$A93)=B93,0,IF((B$3*10^12-$A93)*(B$3*10^12-$A92)*-1&lt;0,0,1)*IF(ABS(B$3*10^12-$A93)&gt;(B$3*10^12-$A92),$A92,$A93))</f>
        <v>0</v>
      </c>
      <c r="C92" s="0" t="n">
        <f aca="false">IF(IF((C$3*10^12-$A93)*(C$3*10^12-$A92)*-1&lt;0,0,1)*IF(ABS(C$3*10^12-$A93)&gt;(C$3*10^12-$A92),$A92,$A93)=C93,0,IF((C$3*10^12-$A93)*(C$3*10^12-$A92)*-1&lt;0,0,1)*IF(ABS(C$3*10^12-$A93)&gt;(C$3*10^12-$A92),$A92,$A93))</f>
        <v>0</v>
      </c>
      <c r="D92" s="0" t="n">
        <f aca="false">IF(IF((D$3*10^12-$A93)*(D$3*10^12-$A92)*-1&lt;0,0,1)*IF(ABS(D$3*10^12-$A93)&gt;(D$3*10^12-$A92),$A92,$A93)=D93,0,IF((D$3*10^12-$A93)*(D$3*10^12-$A92)*-1&lt;0,0,1)*IF(ABS(D$3*10^12-$A93)&gt;(D$3*10^12-$A92),$A92,$A93))</f>
        <v>0</v>
      </c>
      <c r="E92" s="0" t="n">
        <f aca="false">IF(IF((E$3*10^12-$A93)*(E$3*10^12-$A92)*-1&lt;0,0,1)*IF(ABS(E$3*10^12-$A93)&gt;(E$3*10^12-$A92),$A92,$A93)=E93,0,IF((E$3*10^12-$A93)*(E$3*10^12-$A92)*-1&lt;0,0,1)*IF(ABS(E$3*10^12-$A93)&gt;(E$3*10^12-$A92),$A92,$A93))</f>
        <v>0</v>
      </c>
      <c r="F92" s="0" t="n">
        <f aca="false">IF(IF((F$3*10^12-$A93)*(F$3*10^12-$A92)*-1&lt;0,0,1)*IF(ABS(F$3*10^12-$A93)&gt;(F$3*10^12-$A92),$A92,$A93)=F93,0,IF((F$3*10^12-$A93)*(F$3*10^12-$A92)*-1&lt;0,0,1)*IF(ABS(F$3*10^12-$A93)&gt;(F$3*10^12-$A92),$A92,$A93))</f>
        <v>0</v>
      </c>
      <c r="G92" s="0" t="n">
        <f aca="false">IF(IF((G$3*10^12-$A93)*(G$3*10^12-$A92)*-1&lt;0,0,1)*IF(ABS(G$3*10^12-$A93)&gt;(G$3*10^12-$A92),$A92,$A93)=G93,0,IF((G$3*10^12-$A93)*(G$3*10^12-$A92)*-1&lt;0,0,1)*IF(ABS(G$3*10^12-$A93)&gt;(G$3*10^12-$A92),$A92,$A93))</f>
        <v>0</v>
      </c>
      <c r="H92" s="0" t="n">
        <f aca="false">IF(IF((H$3*10^12-$A93)*(H$3*10^12-$A92)*-1&lt;0,0,1)*IF(ABS(H$3*10^12-$A93)&gt;(H$3*10^12-$A92),$A92,$A93)=H93,0,IF((H$3*10^12-$A93)*(H$3*10^12-$A92)*-1&lt;0,0,1)*IF(ABS(H$3*10^12-$A93)&gt;(H$3*10^12-$A92),$A92,$A93))</f>
        <v>0</v>
      </c>
      <c r="I92" s="0" t="n">
        <f aca="false">IF(IF((I$3*10^12-$A93)*(I$3*10^12-$A92)*-1&lt;0,0,1)*IF(ABS(I$3*10^12-$A93)&gt;(I$3*10^12-$A92),$A92,$A93)=I93,0,IF((I$3*10^12-$A93)*(I$3*10^12-$A92)*-1&lt;0,0,1)*IF(ABS(I$3*10^12-$A93)&gt;(I$3*10^12-$A92),$A92,$A93))</f>
        <v>0</v>
      </c>
      <c r="J92" s="0" t="n">
        <f aca="false">IF(IF((J$3*10^12-$A93)*(J$3*10^12-$A92)*-1&lt;0,0,1)*IF(ABS(J$3*10^12-$A93)&gt;(J$3*10^12-$A92),$A92,$A93)=J93,0,IF((J$3*10^12-$A93)*(J$3*10^12-$A92)*-1&lt;0,0,1)*IF(ABS(J$3*10^12-$A93)&gt;(J$3*10^12-$A92),$A92,$A93))</f>
        <v>0</v>
      </c>
      <c r="K92" s="0" t="n">
        <f aca="false">IF(IF((K$3*10^12-$A93)*(K$3*10^12-$A92)*-1&lt;0,0,1)*IF(ABS(K$3*10^12-$A93)&gt;(K$3*10^12-$A92),$A92,$A93)=K93,0,IF((K$3*10^12-$A93)*(K$3*10^12-$A92)*-1&lt;0,0,1)*IF(ABS(K$3*10^12-$A93)&gt;(K$3*10^12-$A92),$A92,$A93))</f>
        <v>0</v>
      </c>
      <c r="L92" s="0" t="n">
        <f aca="false">IF(IF((L$3*10^12-$A93)*(L$3*10^12-$A92)*-1&lt;0,0,1)*IF(ABS(L$3*10^12-$A93)&gt;(L$3*10^12-$A92),$A92,$A93)=L93,0,IF((L$3*10^12-$A93)*(L$3*10^12-$A92)*-1&lt;0,0,1)*IF(ABS(L$3*10^12-$A93)&gt;(L$3*10^12-$A92),$A92,$A93))</f>
        <v>0</v>
      </c>
      <c r="M92" s="0" t="n">
        <f aca="false">IF(IF((M$3*10^12-$A93)*(M$3*10^12-$A92)*-1&lt;0,0,1)*IF(ABS(M$3*10^12-$A93)&gt;(M$3*10^12-$A92),$A92,$A93)=M93,0,IF((M$3*10^12-$A93)*(M$3*10^12-$A92)*-1&lt;0,0,1)*IF(ABS(M$3*10^12-$A93)&gt;(M$3*10^12-$A92),$A92,$A93))</f>
        <v>0</v>
      </c>
      <c r="N92" s="0" t="e">
        <f aca="false">IF(IF((N$3*10^12-$A93)*(N$3*10^12-$A92)*-1&lt;0,0,1)*IF(ABS(N$3*10^12-$A93)&gt;(N$3*10^12-$A92),$A92,$A93)=N93,0,IF((N$3*10^12-$A93)*(N$3*10^12-$A92)*-1&lt;0,0,1)*IF(ABS(N$3*10^12-$A93)&gt;(N$3*10^12-$A92),$A92,$A93))</f>
        <v>#VALUE!</v>
      </c>
    </row>
    <row r="93" customFormat="false" ht="12.75" hidden="false" customHeight="false" outlineLevel="0" collapsed="false">
      <c r="A93" s="0" t="n">
        <f aca="false">A81*10</f>
        <v>8200000</v>
      </c>
      <c r="B93" s="0" t="n">
        <f aca="false">IF(IF((B$3*10^12-$A94)*(B$3*10^12-$A93)*-1&lt;0,0,1)*IF(ABS(B$3*10^12-$A94)&gt;(B$3*10^12-$A93),$A93,$A94)=B94,0,IF((B$3*10^12-$A94)*(B$3*10^12-$A93)*-1&lt;0,0,1)*IF(ABS(B$3*10^12-$A94)&gt;(B$3*10^12-$A93),$A93,$A94))</f>
        <v>0</v>
      </c>
      <c r="C93" s="0" t="n">
        <f aca="false">IF(IF((C$3*10^12-$A94)*(C$3*10^12-$A93)*-1&lt;0,0,1)*IF(ABS(C$3*10^12-$A94)&gt;(C$3*10^12-$A93),$A93,$A94)=C94,0,IF((C$3*10^12-$A94)*(C$3*10^12-$A93)*-1&lt;0,0,1)*IF(ABS(C$3*10^12-$A94)&gt;(C$3*10^12-$A93),$A93,$A94))</f>
        <v>0</v>
      </c>
      <c r="D93" s="0" t="n">
        <f aca="false">IF(IF((D$3*10^12-$A94)*(D$3*10^12-$A93)*-1&lt;0,0,1)*IF(ABS(D$3*10^12-$A94)&gt;(D$3*10^12-$A93),$A93,$A94)=D94,0,IF((D$3*10^12-$A94)*(D$3*10^12-$A93)*-1&lt;0,0,1)*IF(ABS(D$3*10^12-$A94)&gt;(D$3*10^12-$A93),$A93,$A94))</f>
        <v>0</v>
      </c>
      <c r="E93" s="0" t="n">
        <f aca="false">IF(IF((E$3*10^12-$A94)*(E$3*10^12-$A93)*-1&lt;0,0,1)*IF(ABS(E$3*10^12-$A94)&gt;(E$3*10^12-$A93),$A93,$A94)=E94,0,IF((E$3*10^12-$A94)*(E$3*10^12-$A93)*-1&lt;0,0,1)*IF(ABS(E$3*10^12-$A94)&gt;(E$3*10^12-$A93),$A93,$A94))</f>
        <v>0</v>
      </c>
      <c r="F93" s="0" t="n">
        <f aca="false">IF(IF((F$3*10^12-$A94)*(F$3*10^12-$A93)*-1&lt;0,0,1)*IF(ABS(F$3*10^12-$A94)&gt;(F$3*10^12-$A93),$A93,$A94)=F94,0,IF((F$3*10^12-$A94)*(F$3*10^12-$A93)*-1&lt;0,0,1)*IF(ABS(F$3*10^12-$A94)&gt;(F$3*10^12-$A93),$A93,$A94))</f>
        <v>0</v>
      </c>
      <c r="G93" s="0" t="n">
        <f aca="false">IF(IF((G$3*10^12-$A94)*(G$3*10^12-$A93)*-1&lt;0,0,1)*IF(ABS(G$3*10^12-$A94)&gt;(G$3*10^12-$A93),$A93,$A94)=G94,0,IF((G$3*10^12-$A94)*(G$3*10^12-$A93)*-1&lt;0,0,1)*IF(ABS(G$3*10^12-$A94)&gt;(G$3*10^12-$A93),$A93,$A94))</f>
        <v>0</v>
      </c>
      <c r="H93" s="0" t="n">
        <f aca="false">IF(IF((H$3*10^12-$A94)*(H$3*10^12-$A93)*-1&lt;0,0,1)*IF(ABS(H$3*10^12-$A94)&gt;(H$3*10^12-$A93),$A93,$A94)=H94,0,IF((H$3*10^12-$A94)*(H$3*10^12-$A93)*-1&lt;0,0,1)*IF(ABS(H$3*10^12-$A94)&gt;(H$3*10^12-$A93),$A93,$A94))</f>
        <v>0</v>
      </c>
      <c r="I93" s="0" t="n">
        <f aca="false">IF(IF((I$3*10^12-$A94)*(I$3*10^12-$A93)*-1&lt;0,0,1)*IF(ABS(I$3*10^12-$A94)&gt;(I$3*10^12-$A93),$A93,$A94)=I94,0,IF((I$3*10^12-$A94)*(I$3*10^12-$A93)*-1&lt;0,0,1)*IF(ABS(I$3*10^12-$A94)&gt;(I$3*10^12-$A93),$A93,$A94))</f>
        <v>0</v>
      </c>
      <c r="J93" s="0" t="n">
        <f aca="false">IF(IF((J$3*10^12-$A94)*(J$3*10^12-$A93)*-1&lt;0,0,1)*IF(ABS(J$3*10^12-$A94)&gt;(J$3*10^12-$A93),$A93,$A94)=J94,0,IF((J$3*10^12-$A94)*(J$3*10^12-$A93)*-1&lt;0,0,1)*IF(ABS(J$3*10^12-$A94)&gt;(J$3*10^12-$A93),$A93,$A94))</f>
        <v>0</v>
      </c>
      <c r="K93" s="0" t="n">
        <f aca="false">IF(IF((K$3*10^12-$A94)*(K$3*10^12-$A93)*-1&lt;0,0,1)*IF(ABS(K$3*10^12-$A94)&gt;(K$3*10^12-$A93),$A93,$A94)=K94,0,IF((K$3*10^12-$A94)*(K$3*10^12-$A93)*-1&lt;0,0,1)*IF(ABS(K$3*10^12-$A94)&gt;(K$3*10^12-$A93),$A93,$A94))</f>
        <v>0</v>
      </c>
      <c r="L93" s="0" t="n">
        <f aca="false">IF(IF((L$3*10^12-$A94)*(L$3*10^12-$A93)*-1&lt;0,0,1)*IF(ABS(L$3*10^12-$A94)&gt;(L$3*10^12-$A93),$A93,$A94)=L94,0,IF((L$3*10^12-$A94)*(L$3*10^12-$A93)*-1&lt;0,0,1)*IF(ABS(L$3*10^12-$A94)&gt;(L$3*10^12-$A93),$A93,$A94))</f>
        <v>0</v>
      </c>
      <c r="M93" s="0" t="n">
        <f aca="false">IF(IF((M$3*10^12-$A94)*(M$3*10^12-$A93)*-1&lt;0,0,1)*IF(ABS(M$3*10^12-$A94)&gt;(M$3*10^12-$A93),$A93,$A94)=M94,0,IF((M$3*10^12-$A94)*(M$3*10^12-$A93)*-1&lt;0,0,1)*IF(ABS(M$3*10^12-$A94)&gt;(M$3*10^12-$A93),$A93,$A94))</f>
        <v>0</v>
      </c>
      <c r="N93" s="0" t="e">
        <f aca="false">IF(IF((N$3*10^12-$A94)*(N$3*10^12-$A93)*-1&lt;0,0,1)*IF(ABS(N$3*10^12-$A94)&gt;(N$3*10^12-$A93),$A93,$A94)=N94,0,IF((N$3*10^12-$A94)*(N$3*10^12-$A93)*-1&lt;0,0,1)*IF(ABS(N$3*10^12-$A94)&gt;(N$3*10^12-$A93),$A93,$A94))</f>
        <v>#VALUE!</v>
      </c>
    </row>
    <row r="94" customFormat="false" ht="12.75" hidden="false" customHeight="false" outlineLevel="0" collapsed="false">
      <c r="A94" s="0" t="n">
        <f aca="false">A82*10</f>
        <v>10000000</v>
      </c>
      <c r="B94" s="0" t="n">
        <f aca="false">IF(IF((B$3*10^12-$A95)*(B$3*10^12-$A94)*-1&lt;0,0,1)*IF(ABS(B$3*10^12-$A95)&gt;(B$3*10^12-$A94),$A94,$A95)=B95,0,IF((B$3*10^12-$A95)*(B$3*10^12-$A94)*-1&lt;0,0,1)*IF(ABS(B$3*10^12-$A95)&gt;(B$3*10^12-$A94),$A94,$A95))</f>
        <v>0</v>
      </c>
      <c r="C94" s="0" t="n">
        <f aca="false">IF(IF((C$3*10^12-$A95)*(C$3*10^12-$A94)*-1&lt;0,0,1)*IF(ABS(C$3*10^12-$A95)&gt;(C$3*10^12-$A94),$A94,$A95)=C95,0,IF((C$3*10^12-$A95)*(C$3*10^12-$A94)*-1&lt;0,0,1)*IF(ABS(C$3*10^12-$A95)&gt;(C$3*10^12-$A94),$A94,$A95))</f>
        <v>0</v>
      </c>
      <c r="D94" s="0" t="n">
        <f aca="false">IF(IF((D$3*10^12-$A95)*(D$3*10^12-$A94)*-1&lt;0,0,1)*IF(ABS(D$3*10^12-$A95)&gt;(D$3*10^12-$A94),$A94,$A95)=D95,0,IF((D$3*10^12-$A95)*(D$3*10^12-$A94)*-1&lt;0,0,1)*IF(ABS(D$3*10^12-$A95)&gt;(D$3*10^12-$A94),$A94,$A95))</f>
        <v>0</v>
      </c>
      <c r="E94" s="0" t="n">
        <f aca="false">IF(IF((E$3*10^12-$A95)*(E$3*10^12-$A94)*-1&lt;0,0,1)*IF(ABS(E$3*10^12-$A95)&gt;(E$3*10^12-$A94),$A94,$A95)=E95,0,IF((E$3*10^12-$A95)*(E$3*10^12-$A94)*-1&lt;0,0,1)*IF(ABS(E$3*10^12-$A95)&gt;(E$3*10^12-$A94),$A94,$A95))</f>
        <v>0</v>
      </c>
      <c r="F94" s="0" t="n">
        <f aca="false">IF(IF((F$3*10^12-$A95)*(F$3*10^12-$A94)*-1&lt;0,0,1)*IF(ABS(F$3*10^12-$A95)&gt;(F$3*10^12-$A94),$A94,$A95)=F95,0,IF((F$3*10^12-$A95)*(F$3*10^12-$A94)*-1&lt;0,0,1)*IF(ABS(F$3*10^12-$A95)&gt;(F$3*10^12-$A94),$A94,$A95))</f>
        <v>0</v>
      </c>
      <c r="G94" s="0" t="n">
        <f aca="false">IF(IF((G$3*10^12-$A95)*(G$3*10^12-$A94)*-1&lt;0,0,1)*IF(ABS(G$3*10^12-$A95)&gt;(G$3*10^12-$A94),$A94,$A95)=G95,0,IF((G$3*10^12-$A95)*(G$3*10^12-$A94)*-1&lt;0,0,1)*IF(ABS(G$3*10^12-$A95)&gt;(G$3*10^12-$A94),$A94,$A95))</f>
        <v>10000000</v>
      </c>
      <c r="H94" s="0" t="n">
        <f aca="false">IF(IF((H$3*10^12-$A95)*(H$3*10^12-$A94)*-1&lt;0,0,1)*IF(ABS(H$3*10^12-$A95)&gt;(H$3*10^12-$A94),$A94,$A95)=H95,0,IF((H$3*10^12-$A95)*(H$3*10^12-$A94)*-1&lt;0,0,1)*IF(ABS(H$3*10^12-$A95)&gt;(H$3*10^12-$A94),$A94,$A95))</f>
        <v>0</v>
      </c>
      <c r="I94" s="0" t="n">
        <f aca="false">IF(IF((I$3*10^12-$A95)*(I$3*10^12-$A94)*-1&lt;0,0,1)*IF(ABS(I$3*10^12-$A95)&gt;(I$3*10^12-$A94),$A94,$A95)=I95,0,IF((I$3*10^12-$A95)*(I$3*10^12-$A94)*-1&lt;0,0,1)*IF(ABS(I$3*10^12-$A95)&gt;(I$3*10^12-$A94),$A94,$A95))</f>
        <v>0</v>
      </c>
      <c r="J94" s="0" t="n">
        <f aca="false">IF(IF((J$3*10^12-$A95)*(J$3*10^12-$A94)*-1&lt;0,0,1)*IF(ABS(J$3*10^12-$A95)&gt;(J$3*10^12-$A94),$A94,$A95)=J95,0,IF((J$3*10^12-$A95)*(J$3*10^12-$A94)*-1&lt;0,0,1)*IF(ABS(J$3*10^12-$A95)&gt;(J$3*10^12-$A94),$A94,$A95))</f>
        <v>0</v>
      </c>
      <c r="K94" s="0" t="n">
        <f aca="false">IF(IF((K$3*10^12-$A95)*(K$3*10^12-$A94)*-1&lt;0,0,1)*IF(ABS(K$3*10^12-$A95)&gt;(K$3*10^12-$A94),$A94,$A95)=K95,0,IF((K$3*10^12-$A95)*(K$3*10^12-$A94)*-1&lt;0,0,1)*IF(ABS(K$3*10^12-$A95)&gt;(K$3*10^12-$A94),$A94,$A95))</f>
        <v>0</v>
      </c>
      <c r="L94" s="0" t="n">
        <f aca="false">IF(IF((L$3*10^12-$A95)*(L$3*10^12-$A94)*-1&lt;0,0,1)*IF(ABS(L$3*10^12-$A95)&gt;(L$3*10^12-$A94),$A94,$A95)=L95,0,IF((L$3*10^12-$A95)*(L$3*10^12-$A94)*-1&lt;0,0,1)*IF(ABS(L$3*10^12-$A95)&gt;(L$3*10^12-$A94),$A94,$A95))</f>
        <v>0</v>
      </c>
      <c r="M94" s="0" t="n">
        <f aca="false">IF(IF((M$3*10^12-$A95)*(M$3*10^12-$A94)*-1&lt;0,0,1)*IF(ABS(M$3*10^12-$A95)&gt;(M$3*10^12-$A94),$A94,$A95)=M95,0,IF((M$3*10^12-$A95)*(M$3*10^12-$A94)*-1&lt;0,0,1)*IF(ABS(M$3*10^12-$A95)&gt;(M$3*10^12-$A94),$A94,$A95))</f>
        <v>0</v>
      </c>
      <c r="N94" s="0" t="e">
        <f aca="false">IF(IF((N$3*10^12-$A95)*(N$3*10^12-$A94)*-1&lt;0,0,1)*IF(ABS(N$3*10^12-$A95)&gt;(N$3*10^12-$A94),$A94,$A95)=N95,0,IF((N$3*10^12-$A95)*(N$3*10^12-$A94)*-1&lt;0,0,1)*IF(ABS(N$3*10^12-$A95)&gt;(N$3*10^12-$A94),$A94,$A95))</f>
        <v>#VALUE!</v>
      </c>
    </row>
    <row r="95" customFormat="false" ht="12.75" hidden="false" customHeight="false" outlineLevel="0" collapsed="false">
      <c r="A95" s="0" t="n">
        <f aca="false">A83*10</f>
        <v>12000000</v>
      </c>
      <c r="B95" s="0" t="n">
        <f aca="false">IF(IF((B$3*10^12-$A96)*(B$3*10^12-$A95)*-1&lt;0,0,1)*IF(ABS(B$3*10^12-$A96)&gt;(B$3*10^12-$A95),$A95,$A96)=B96,0,IF((B$3*10^12-$A96)*(B$3*10^12-$A95)*-1&lt;0,0,1)*IF(ABS(B$3*10^12-$A96)&gt;(B$3*10^12-$A95),$A95,$A96))</f>
        <v>0</v>
      </c>
      <c r="C95" s="0" t="n">
        <f aca="false">IF(IF((C$3*10^12-$A96)*(C$3*10^12-$A95)*-1&lt;0,0,1)*IF(ABS(C$3*10^12-$A96)&gt;(C$3*10^12-$A95),$A95,$A96)=C96,0,IF((C$3*10^12-$A96)*(C$3*10^12-$A95)*-1&lt;0,0,1)*IF(ABS(C$3*10^12-$A96)&gt;(C$3*10^12-$A95),$A95,$A96))</f>
        <v>0</v>
      </c>
      <c r="D95" s="0" t="n">
        <f aca="false">IF(IF((D$3*10^12-$A96)*(D$3*10^12-$A95)*-1&lt;0,0,1)*IF(ABS(D$3*10^12-$A96)&gt;(D$3*10^12-$A95),$A95,$A96)=D96,0,IF((D$3*10^12-$A96)*(D$3*10^12-$A95)*-1&lt;0,0,1)*IF(ABS(D$3*10^12-$A96)&gt;(D$3*10^12-$A95),$A95,$A96))</f>
        <v>0</v>
      </c>
      <c r="E95" s="0" t="n">
        <f aca="false">IF(IF((E$3*10^12-$A96)*(E$3*10^12-$A95)*-1&lt;0,0,1)*IF(ABS(E$3*10^12-$A96)&gt;(E$3*10^12-$A95),$A95,$A96)=E96,0,IF((E$3*10^12-$A96)*(E$3*10^12-$A95)*-1&lt;0,0,1)*IF(ABS(E$3*10^12-$A96)&gt;(E$3*10^12-$A95),$A95,$A96))</f>
        <v>0</v>
      </c>
      <c r="F95" s="0" t="n">
        <f aca="false">IF(IF((F$3*10^12-$A96)*(F$3*10^12-$A95)*-1&lt;0,0,1)*IF(ABS(F$3*10^12-$A96)&gt;(F$3*10^12-$A95),$A95,$A96)=F96,0,IF((F$3*10^12-$A96)*(F$3*10^12-$A95)*-1&lt;0,0,1)*IF(ABS(F$3*10^12-$A96)&gt;(F$3*10^12-$A95),$A95,$A96))</f>
        <v>0</v>
      </c>
      <c r="G95" s="0" t="n">
        <f aca="false">IF(IF((G$3*10^12-$A96)*(G$3*10^12-$A95)*-1&lt;0,0,1)*IF(ABS(G$3*10^12-$A96)&gt;(G$3*10^12-$A95),$A95,$A96)=G96,0,IF((G$3*10^12-$A96)*(G$3*10^12-$A95)*-1&lt;0,0,1)*IF(ABS(G$3*10^12-$A96)&gt;(G$3*10^12-$A95),$A95,$A96))</f>
        <v>0</v>
      </c>
      <c r="H95" s="0" t="n">
        <f aca="false">IF(IF((H$3*10^12-$A96)*(H$3*10^12-$A95)*-1&lt;0,0,1)*IF(ABS(H$3*10^12-$A96)&gt;(H$3*10^12-$A95),$A95,$A96)=H96,0,IF((H$3*10^12-$A96)*(H$3*10^12-$A95)*-1&lt;0,0,1)*IF(ABS(H$3*10^12-$A96)&gt;(H$3*10^12-$A95),$A95,$A96))</f>
        <v>0</v>
      </c>
      <c r="I95" s="0" t="n">
        <f aca="false">IF(IF((I$3*10^12-$A96)*(I$3*10^12-$A95)*-1&lt;0,0,1)*IF(ABS(I$3*10^12-$A96)&gt;(I$3*10^12-$A95),$A95,$A96)=I96,0,IF((I$3*10^12-$A96)*(I$3*10^12-$A95)*-1&lt;0,0,1)*IF(ABS(I$3*10^12-$A96)&gt;(I$3*10^12-$A95),$A95,$A96))</f>
        <v>0</v>
      </c>
      <c r="J95" s="0" t="n">
        <f aca="false">IF(IF((J$3*10^12-$A96)*(J$3*10^12-$A95)*-1&lt;0,0,1)*IF(ABS(J$3*10^12-$A96)&gt;(J$3*10^12-$A95),$A95,$A96)=J96,0,IF((J$3*10^12-$A96)*(J$3*10^12-$A95)*-1&lt;0,0,1)*IF(ABS(J$3*10^12-$A96)&gt;(J$3*10^12-$A95),$A95,$A96))</f>
        <v>0</v>
      </c>
      <c r="K95" s="0" t="n">
        <f aca="false">IF(IF((K$3*10^12-$A96)*(K$3*10^12-$A95)*-1&lt;0,0,1)*IF(ABS(K$3*10^12-$A96)&gt;(K$3*10^12-$A95),$A95,$A96)=K96,0,IF((K$3*10^12-$A96)*(K$3*10^12-$A95)*-1&lt;0,0,1)*IF(ABS(K$3*10^12-$A96)&gt;(K$3*10^12-$A95),$A95,$A96))</f>
        <v>0</v>
      </c>
      <c r="L95" s="0" t="n">
        <f aca="false">IF(IF((L$3*10^12-$A96)*(L$3*10^12-$A95)*-1&lt;0,0,1)*IF(ABS(L$3*10^12-$A96)&gt;(L$3*10^12-$A95),$A95,$A96)=L96,0,IF((L$3*10^12-$A96)*(L$3*10^12-$A95)*-1&lt;0,0,1)*IF(ABS(L$3*10^12-$A96)&gt;(L$3*10^12-$A95),$A95,$A96))</f>
        <v>0</v>
      </c>
      <c r="M95" s="0" t="n">
        <f aca="false">IF(IF((M$3*10^12-$A96)*(M$3*10^12-$A95)*-1&lt;0,0,1)*IF(ABS(M$3*10^12-$A96)&gt;(M$3*10^12-$A95),$A95,$A96)=M96,0,IF((M$3*10^12-$A96)*(M$3*10^12-$A95)*-1&lt;0,0,1)*IF(ABS(M$3*10^12-$A96)&gt;(M$3*10^12-$A95),$A95,$A96))</f>
        <v>0</v>
      </c>
      <c r="N95" s="0" t="e">
        <f aca="false">IF(IF((N$3*10^12-$A96)*(N$3*10^12-$A95)*-1&lt;0,0,1)*IF(ABS(N$3*10^12-$A96)&gt;(N$3*10^12-$A95),$A95,$A96)=N96,0,IF((N$3*10^12-$A96)*(N$3*10^12-$A95)*-1&lt;0,0,1)*IF(ABS(N$3*10^12-$A96)&gt;(N$3*10^12-$A95),$A95,$A96))</f>
        <v>#VALUE!</v>
      </c>
    </row>
    <row r="96" customFormat="false" ht="12.75" hidden="false" customHeight="false" outlineLevel="0" collapsed="false">
      <c r="A96" s="0" t="n">
        <f aca="false">A84*10</f>
        <v>15000000</v>
      </c>
      <c r="B96" s="0" t="n">
        <f aca="false">IF(IF((B$3*10^12-$A97)*(B$3*10^12-$A96)*-1&lt;0,0,1)*IF(ABS(B$3*10^12-$A97)&gt;(B$3*10^12-$A96),$A96,$A97)=B97,0,IF((B$3*10^12-$A97)*(B$3*10^12-$A96)*-1&lt;0,0,1)*IF(ABS(B$3*10^12-$A97)&gt;(B$3*10^12-$A96),$A96,$A97))</f>
        <v>0</v>
      </c>
      <c r="C96" s="0" t="n">
        <f aca="false">IF(IF((C$3*10^12-$A97)*(C$3*10^12-$A96)*-1&lt;0,0,1)*IF(ABS(C$3*10^12-$A97)&gt;(C$3*10^12-$A96),$A96,$A97)=C97,0,IF((C$3*10^12-$A97)*(C$3*10^12-$A96)*-1&lt;0,0,1)*IF(ABS(C$3*10^12-$A97)&gt;(C$3*10^12-$A96),$A96,$A97))</f>
        <v>0</v>
      </c>
      <c r="D96" s="0" t="n">
        <f aca="false">IF(IF((D$3*10^12-$A97)*(D$3*10^12-$A96)*-1&lt;0,0,1)*IF(ABS(D$3*10^12-$A97)&gt;(D$3*10^12-$A96),$A96,$A97)=D97,0,IF((D$3*10^12-$A97)*(D$3*10^12-$A96)*-1&lt;0,0,1)*IF(ABS(D$3*10^12-$A97)&gt;(D$3*10^12-$A96),$A96,$A97))</f>
        <v>0</v>
      </c>
      <c r="E96" s="0" t="n">
        <f aca="false">IF(IF((E$3*10^12-$A97)*(E$3*10^12-$A96)*-1&lt;0,0,1)*IF(ABS(E$3*10^12-$A97)&gt;(E$3*10^12-$A96),$A96,$A97)=E97,0,IF((E$3*10^12-$A97)*(E$3*10^12-$A96)*-1&lt;0,0,1)*IF(ABS(E$3*10^12-$A97)&gt;(E$3*10^12-$A96),$A96,$A97))</f>
        <v>0</v>
      </c>
      <c r="F96" s="0" t="n">
        <f aca="false">IF(IF((F$3*10^12-$A97)*(F$3*10^12-$A96)*-1&lt;0,0,1)*IF(ABS(F$3*10^12-$A97)&gt;(F$3*10^12-$A96),$A96,$A97)=F97,0,IF((F$3*10^12-$A97)*(F$3*10^12-$A96)*-1&lt;0,0,1)*IF(ABS(F$3*10^12-$A97)&gt;(F$3*10^12-$A96),$A96,$A97))</f>
        <v>0</v>
      </c>
      <c r="G96" s="0" t="n">
        <f aca="false">IF(IF((G$3*10^12-$A97)*(G$3*10^12-$A96)*-1&lt;0,0,1)*IF(ABS(G$3*10^12-$A97)&gt;(G$3*10^12-$A96),$A96,$A97)=G97,0,IF((G$3*10^12-$A97)*(G$3*10^12-$A96)*-1&lt;0,0,1)*IF(ABS(G$3*10^12-$A97)&gt;(G$3*10^12-$A96),$A96,$A97))</f>
        <v>0</v>
      </c>
      <c r="H96" s="0" t="n">
        <f aca="false">IF(IF((H$3*10^12-$A97)*(H$3*10^12-$A96)*-1&lt;0,0,1)*IF(ABS(H$3*10^12-$A97)&gt;(H$3*10^12-$A96),$A96,$A97)=H97,0,IF((H$3*10^12-$A97)*(H$3*10^12-$A96)*-1&lt;0,0,1)*IF(ABS(H$3*10^12-$A97)&gt;(H$3*10^12-$A96),$A96,$A97))</f>
        <v>0</v>
      </c>
      <c r="I96" s="0" t="n">
        <f aca="false">IF(IF((I$3*10^12-$A97)*(I$3*10^12-$A96)*-1&lt;0,0,1)*IF(ABS(I$3*10^12-$A97)&gt;(I$3*10^12-$A96),$A96,$A97)=I97,0,IF((I$3*10^12-$A97)*(I$3*10^12-$A96)*-1&lt;0,0,1)*IF(ABS(I$3*10^12-$A97)&gt;(I$3*10^12-$A96),$A96,$A97))</f>
        <v>0</v>
      </c>
      <c r="J96" s="0" t="n">
        <f aca="false">IF(IF((J$3*10^12-$A97)*(J$3*10^12-$A96)*-1&lt;0,0,1)*IF(ABS(J$3*10^12-$A97)&gt;(J$3*10^12-$A96),$A96,$A97)=J97,0,IF((J$3*10^12-$A97)*(J$3*10^12-$A96)*-1&lt;0,0,1)*IF(ABS(J$3*10^12-$A97)&gt;(J$3*10^12-$A96),$A96,$A97))</f>
        <v>0</v>
      </c>
      <c r="K96" s="0" t="n">
        <f aca="false">IF(IF((K$3*10^12-$A97)*(K$3*10^12-$A96)*-1&lt;0,0,1)*IF(ABS(K$3*10^12-$A97)&gt;(K$3*10^12-$A96),$A96,$A97)=K97,0,IF((K$3*10^12-$A97)*(K$3*10^12-$A96)*-1&lt;0,0,1)*IF(ABS(K$3*10^12-$A97)&gt;(K$3*10^12-$A96),$A96,$A97))</f>
        <v>0</v>
      </c>
      <c r="L96" s="0" t="n">
        <f aca="false">IF(IF((L$3*10^12-$A97)*(L$3*10^12-$A96)*-1&lt;0,0,1)*IF(ABS(L$3*10^12-$A97)&gt;(L$3*10^12-$A96),$A96,$A97)=L97,0,IF((L$3*10^12-$A97)*(L$3*10^12-$A96)*-1&lt;0,0,1)*IF(ABS(L$3*10^12-$A97)&gt;(L$3*10^12-$A96),$A96,$A97))</f>
        <v>0</v>
      </c>
      <c r="M96" s="0" t="n">
        <f aca="false">IF(IF((M$3*10^12-$A97)*(M$3*10^12-$A96)*-1&lt;0,0,1)*IF(ABS(M$3*10^12-$A97)&gt;(M$3*10^12-$A96),$A96,$A97)=M97,0,IF((M$3*10^12-$A97)*(M$3*10^12-$A96)*-1&lt;0,0,1)*IF(ABS(M$3*10^12-$A97)&gt;(M$3*10^12-$A96),$A96,$A97))</f>
        <v>0</v>
      </c>
      <c r="N96" s="0" t="e">
        <f aca="false">IF(IF((N$3*10^12-$A97)*(N$3*10^12-$A96)*-1&lt;0,0,1)*IF(ABS(N$3*10^12-$A97)&gt;(N$3*10^12-$A96),$A96,$A97)=N97,0,IF((N$3*10^12-$A97)*(N$3*10^12-$A96)*-1&lt;0,0,1)*IF(ABS(N$3*10^12-$A97)&gt;(N$3*10^12-$A96),$A96,$A97))</f>
        <v>#VALUE!</v>
      </c>
    </row>
    <row r="97" customFormat="false" ht="12.75" hidden="false" customHeight="false" outlineLevel="0" collapsed="false">
      <c r="A97" s="0" t="n">
        <f aca="false">A85*10</f>
        <v>18000000</v>
      </c>
      <c r="B97" s="0" t="n">
        <f aca="false">IF(IF((B$3*10^12-$A98)*(B$3*10^12-$A97)*-1&lt;0,0,1)*IF(ABS(B$3*10^12-$A98)&gt;(B$3*10^12-$A97),$A97,$A98)=B98,0,IF((B$3*10^12-$A98)*(B$3*10^12-$A97)*-1&lt;0,0,1)*IF(ABS(B$3*10^12-$A98)&gt;(B$3*10^12-$A97),$A97,$A98))</f>
        <v>0</v>
      </c>
      <c r="C97" s="0" t="n">
        <f aca="false">IF(IF((C$3*10^12-$A98)*(C$3*10^12-$A97)*-1&lt;0,0,1)*IF(ABS(C$3*10^12-$A98)&gt;(C$3*10^12-$A97),$A97,$A98)=C98,0,IF((C$3*10^12-$A98)*(C$3*10^12-$A97)*-1&lt;0,0,1)*IF(ABS(C$3*10^12-$A98)&gt;(C$3*10^12-$A97),$A97,$A98))</f>
        <v>0</v>
      </c>
      <c r="D97" s="0" t="n">
        <f aca="false">IF(IF((D$3*10^12-$A98)*(D$3*10^12-$A97)*-1&lt;0,0,1)*IF(ABS(D$3*10^12-$A98)&gt;(D$3*10^12-$A97),$A97,$A98)=D98,0,IF((D$3*10^12-$A98)*(D$3*10^12-$A97)*-1&lt;0,0,1)*IF(ABS(D$3*10^12-$A98)&gt;(D$3*10^12-$A97),$A97,$A98))</f>
        <v>0</v>
      </c>
      <c r="E97" s="0" t="n">
        <f aca="false">IF(IF((E$3*10^12-$A98)*(E$3*10^12-$A97)*-1&lt;0,0,1)*IF(ABS(E$3*10^12-$A98)&gt;(E$3*10^12-$A97),$A97,$A98)=E98,0,IF((E$3*10^12-$A98)*(E$3*10^12-$A97)*-1&lt;0,0,1)*IF(ABS(E$3*10^12-$A98)&gt;(E$3*10^12-$A97),$A97,$A98))</f>
        <v>0</v>
      </c>
      <c r="F97" s="0" t="n">
        <f aca="false">IF(IF((F$3*10^12-$A98)*(F$3*10^12-$A97)*-1&lt;0,0,1)*IF(ABS(F$3*10^12-$A98)&gt;(F$3*10^12-$A97),$A97,$A98)=F98,0,IF((F$3*10^12-$A98)*(F$3*10^12-$A97)*-1&lt;0,0,1)*IF(ABS(F$3*10^12-$A98)&gt;(F$3*10^12-$A97),$A97,$A98))</f>
        <v>0</v>
      </c>
      <c r="G97" s="0" t="n">
        <f aca="false">IF(IF((G$3*10^12-$A98)*(G$3*10^12-$A97)*-1&lt;0,0,1)*IF(ABS(G$3*10^12-$A98)&gt;(G$3*10^12-$A97),$A97,$A98)=G98,0,IF((G$3*10^12-$A98)*(G$3*10^12-$A97)*-1&lt;0,0,1)*IF(ABS(G$3*10^12-$A98)&gt;(G$3*10^12-$A97),$A97,$A98))</f>
        <v>0</v>
      </c>
      <c r="H97" s="0" t="n">
        <f aca="false">IF(IF((H$3*10^12-$A98)*(H$3*10^12-$A97)*-1&lt;0,0,1)*IF(ABS(H$3*10^12-$A98)&gt;(H$3*10^12-$A97),$A97,$A98)=H98,0,IF((H$3*10^12-$A98)*(H$3*10^12-$A97)*-1&lt;0,0,1)*IF(ABS(H$3*10^12-$A98)&gt;(H$3*10^12-$A97),$A97,$A98))</f>
        <v>0</v>
      </c>
      <c r="I97" s="0" t="n">
        <f aca="false">IF(IF((I$3*10^12-$A98)*(I$3*10^12-$A97)*-1&lt;0,0,1)*IF(ABS(I$3*10^12-$A98)&gt;(I$3*10^12-$A97),$A97,$A98)=I98,0,IF((I$3*10^12-$A98)*(I$3*10^12-$A97)*-1&lt;0,0,1)*IF(ABS(I$3*10^12-$A98)&gt;(I$3*10^12-$A97),$A97,$A98))</f>
        <v>0</v>
      </c>
      <c r="J97" s="0" t="n">
        <f aca="false">IF(IF((J$3*10^12-$A98)*(J$3*10^12-$A97)*-1&lt;0,0,1)*IF(ABS(J$3*10^12-$A98)&gt;(J$3*10^12-$A97),$A97,$A98)=J98,0,IF((J$3*10^12-$A98)*(J$3*10^12-$A97)*-1&lt;0,0,1)*IF(ABS(J$3*10^12-$A98)&gt;(J$3*10^12-$A97),$A97,$A98))</f>
        <v>0</v>
      </c>
      <c r="K97" s="0" t="n">
        <f aca="false">IF(IF((K$3*10^12-$A98)*(K$3*10^12-$A97)*-1&lt;0,0,1)*IF(ABS(K$3*10^12-$A98)&gt;(K$3*10^12-$A97),$A97,$A98)=K98,0,IF((K$3*10^12-$A98)*(K$3*10^12-$A97)*-1&lt;0,0,1)*IF(ABS(K$3*10^12-$A98)&gt;(K$3*10^12-$A97),$A97,$A98))</f>
        <v>0</v>
      </c>
      <c r="L97" s="0" t="n">
        <f aca="false">IF(IF((L$3*10^12-$A98)*(L$3*10^12-$A97)*-1&lt;0,0,1)*IF(ABS(L$3*10^12-$A98)&gt;(L$3*10^12-$A97),$A97,$A98)=L98,0,IF((L$3*10^12-$A98)*(L$3*10^12-$A97)*-1&lt;0,0,1)*IF(ABS(L$3*10^12-$A98)&gt;(L$3*10^12-$A97),$A97,$A98))</f>
        <v>0</v>
      </c>
      <c r="M97" s="0" t="n">
        <f aca="false">IF(IF((M$3*10^12-$A98)*(M$3*10^12-$A97)*-1&lt;0,0,1)*IF(ABS(M$3*10^12-$A98)&gt;(M$3*10^12-$A97),$A97,$A98)=M98,0,IF((M$3*10^12-$A98)*(M$3*10^12-$A97)*-1&lt;0,0,1)*IF(ABS(M$3*10^12-$A98)&gt;(M$3*10^12-$A97),$A97,$A98))</f>
        <v>0</v>
      </c>
      <c r="N97" s="0" t="e">
        <f aca="false">IF(IF((N$3*10^12-$A98)*(N$3*10^12-$A97)*-1&lt;0,0,1)*IF(ABS(N$3*10^12-$A98)&gt;(N$3*10^12-$A97),$A97,$A98)=N98,0,IF((N$3*10^12-$A98)*(N$3*10^12-$A97)*-1&lt;0,0,1)*IF(ABS(N$3*10^12-$A98)&gt;(N$3*10^12-$A97),$A97,$A98))</f>
        <v>#VALUE!</v>
      </c>
    </row>
    <row r="98" customFormat="false" ht="12.75" hidden="false" customHeight="false" outlineLevel="0" collapsed="false">
      <c r="A98" s="0" t="n">
        <f aca="false">A86*10</f>
        <v>22000000</v>
      </c>
      <c r="B98" s="0" t="n">
        <f aca="false">IF(IF((B$3*10^12-$A99)*(B$3*10^12-$A98)*-1&lt;0,0,1)*IF(ABS(B$3*10^12-$A99)&gt;(B$3*10^12-$A98),$A98,$A99)=B99,0,IF((B$3*10^12-$A99)*(B$3*10^12-$A98)*-1&lt;0,0,1)*IF(ABS(B$3*10^12-$A99)&gt;(B$3*10^12-$A98),$A98,$A99))</f>
        <v>0</v>
      </c>
      <c r="C98" s="0" t="n">
        <f aca="false">IF(IF((C$3*10^12-$A99)*(C$3*10^12-$A98)*-1&lt;0,0,1)*IF(ABS(C$3*10^12-$A99)&gt;(C$3*10^12-$A98),$A98,$A99)=C99,0,IF((C$3*10^12-$A99)*(C$3*10^12-$A98)*-1&lt;0,0,1)*IF(ABS(C$3*10^12-$A99)&gt;(C$3*10^12-$A98),$A98,$A99))</f>
        <v>0</v>
      </c>
      <c r="D98" s="0" t="n">
        <f aca="false">IF(IF((D$3*10^12-$A99)*(D$3*10^12-$A98)*-1&lt;0,0,1)*IF(ABS(D$3*10^12-$A99)&gt;(D$3*10^12-$A98),$A98,$A99)=D99,0,IF((D$3*10^12-$A99)*(D$3*10^12-$A98)*-1&lt;0,0,1)*IF(ABS(D$3*10^12-$A99)&gt;(D$3*10^12-$A98),$A98,$A99))</f>
        <v>0</v>
      </c>
      <c r="E98" s="0" t="n">
        <f aca="false">IF(IF((E$3*10^12-$A99)*(E$3*10^12-$A98)*-1&lt;0,0,1)*IF(ABS(E$3*10^12-$A99)&gt;(E$3*10^12-$A98),$A98,$A99)=E99,0,IF((E$3*10^12-$A99)*(E$3*10^12-$A98)*-1&lt;0,0,1)*IF(ABS(E$3*10^12-$A99)&gt;(E$3*10^12-$A98),$A98,$A99))</f>
        <v>0</v>
      </c>
      <c r="F98" s="0" t="n">
        <f aca="false">IF(IF((F$3*10^12-$A99)*(F$3*10^12-$A98)*-1&lt;0,0,1)*IF(ABS(F$3*10^12-$A99)&gt;(F$3*10^12-$A98),$A98,$A99)=F99,0,IF((F$3*10^12-$A99)*(F$3*10^12-$A98)*-1&lt;0,0,1)*IF(ABS(F$3*10^12-$A99)&gt;(F$3*10^12-$A98),$A98,$A99))</f>
        <v>0</v>
      </c>
      <c r="G98" s="0" t="n">
        <f aca="false">IF(IF((G$3*10^12-$A99)*(G$3*10^12-$A98)*-1&lt;0,0,1)*IF(ABS(G$3*10^12-$A99)&gt;(G$3*10^12-$A98),$A98,$A99)=G99,0,IF((G$3*10^12-$A99)*(G$3*10^12-$A98)*-1&lt;0,0,1)*IF(ABS(G$3*10^12-$A99)&gt;(G$3*10^12-$A98),$A98,$A99))</f>
        <v>0</v>
      </c>
      <c r="H98" s="0" t="n">
        <f aca="false">IF(IF((H$3*10^12-$A99)*(H$3*10^12-$A98)*-1&lt;0,0,1)*IF(ABS(H$3*10^12-$A99)&gt;(H$3*10^12-$A98),$A98,$A99)=H99,0,IF((H$3*10^12-$A99)*(H$3*10^12-$A98)*-1&lt;0,0,1)*IF(ABS(H$3*10^12-$A99)&gt;(H$3*10^12-$A98),$A98,$A99))</f>
        <v>0</v>
      </c>
      <c r="I98" s="0" t="n">
        <f aca="false">IF(IF((I$3*10^12-$A99)*(I$3*10^12-$A98)*-1&lt;0,0,1)*IF(ABS(I$3*10^12-$A99)&gt;(I$3*10^12-$A98),$A98,$A99)=I99,0,IF((I$3*10^12-$A99)*(I$3*10^12-$A98)*-1&lt;0,0,1)*IF(ABS(I$3*10^12-$A99)&gt;(I$3*10^12-$A98),$A98,$A99))</f>
        <v>0</v>
      </c>
      <c r="J98" s="0" t="n">
        <f aca="false">IF(IF((J$3*10^12-$A99)*(J$3*10^12-$A98)*-1&lt;0,0,1)*IF(ABS(J$3*10^12-$A99)&gt;(J$3*10^12-$A98),$A98,$A99)=J99,0,IF((J$3*10^12-$A99)*(J$3*10^12-$A98)*-1&lt;0,0,1)*IF(ABS(J$3*10^12-$A99)&gt;(J$3*10^12-$A98),$A98,$A99))</f>
        <v>0</v>
      </c>
      <c r="K98" s="0" t="n">
        <f aca="false">IF(IF((K$3*10^12-$A99)*(K$3*10^12-$A98)*-1&lt;0,0,1)*IF(ABS(K$3*10^12-$A99)&gt;(K$3*10^12-$A98),$A98,$A99)=K99,0,IF((K$3*10^12-$A99)*(K$3*10^12-$A98)*-1&lt;0,0,1)*IF(ABS(K$3*10^12-$A99)&gt;(K$3*10^12-$A98),$A98,$A99))</f>
        <v>0</v>
      </c>
      <c r="L98" s="0" t="n">
        <f aca="false">IF(IF((L$3*10^12-$A99)*(L$3*10^12-$A98)*-1&lt;0,0,1)*IF(ABS(L$3*10^12-$A99)&gt;(L$3*10^12-$A98),$A98,$A99)=L99,0,IF((L$3*10^12-$A99)*(L$3*10^12-$A98)*-1&lt;0,0,1)*IF(ABS(L$3*10^12-$A99)&gt;(L$3*10^12-$A98),$A98,$A99))</f>
        <v>0</v>
      </c>
      <c r="M98" s="0" t="n">
        <f aca="false">IF(IF((M$3*10^12-$A99)*(M$3*10^12-$A98)*-1&lt;0,0,1)*IF(ABS(M$3*10^12-$A99)&gt;(M$3*10^12-$A98),$A98,$A99)=M99,0,IF((M$3*10^12-$A99)*(M$3*10^12-$A98)*-1&lt;0,0,1)*IF(ABS(M$3*10^12-$A99)&gt;(M$3*10^12-$A98),$A98,$A99))</f>
        <v>0</v>
      </c>
      <c r="N98" s="0" t="e">
        <f aca="false">IF(IF((N$3*10^12-$A99)*(N$3*10^12-$A98)*-1&lt;0,0,1)*IF(ABS(N$3*10^12-$A99)&gt;(N$3*10^12-$A98),$A98,$A99)=N99,0,IF((N$3*10^12-$A99)*(N$3*10^12-$A98)*-1&lt;0,0,1)*IF(ABS(N$3*10^12-$A99)&gt;(N$3*10^12-$A98),$A98,$A99))</f>
        <v>#VALUE!</v>
      </c>
    </row>
    <row r="99" customFormat="false" ht="12.75" hidden="false" customHeight="false" outlineLevel="0" collapsed="false">
      <c r="A99" s="0" t="n">
        <f aca="false">A87*10</f>
        <v>27000000</v>
      </c>
      <c r="B99" s="0" t="n">
        <f aca="false">IF(IF((B$3*10^12-$A100)*(B$3*10^12-$A99)*-1&lt;0,0,1)*IF(ABS(B$3*10^12-$A100)&gt;(B$3*10^12-$A99),$A99,$A100)=B100,0,IF((B$3*10^12-$A100)*(B$3*10^12-$A99)*-1&lt;0,0,1)*IF(ABS(B$3*10^12-$A100)&gt;(B$3*10^12-$A99),$A99,$A100))</f>
        <v>0</v>
      </c>
      <c r="C99" s="0" t="n">
        <f aca="false">IF(IF((C$3*10^12-$A100)*(C$3*10^12-$A99)*-1&lt;0,0,1)*IF(ABS(C$3*10^12-$A100)&gt;(C$3*10^12-$A99),$A99,$A100)=C100,0,IF((C$3*10^12-$A100)*(C$3*10^12-$A99)*-1&lt;0,0,1)*IF(ABS(C$3*10^12-$A100)&gt;(C$3*10^12-$A99),$A99,$A100))</f>
        <v>0</v>
      </c>
      <c r="D99" s="0" t="n">
        <f aca="false">IF(IF((D$3*10^12-$A100)*(D$3*10^12-$A99)*-1&lt;0,0,1)*IF(ABS(D$3*10^12-$A100)&gt;(D$3*10^12-$A99),$A99,$A100)=D100,0,IF((D$3*10^12-$A100)*(D$3*10^12-$A99)*-1&lt;0,0,1)*IF(ABS(D$3*10^12-$A100)&gt;(D$3*10^12-$A99),$A99,$A100))</f>
        <v>0</v>
      </c>
      <c r="E99" s="0" t="n">
        <f aca="false">IF(IF((E$3*10^12-$A100)*(E$3*10^12-$A99)*-1&lt;0,0,1)*IF(ABS(E$3*10^12-$A100)&gt;(E$3*10^12-$A99),$A99,$A100)=E100,0,IF((E$3*10^12-$A100)*(E$3*10^12-$A99)*-1&lt;0,0,1)*IF(ABS(E$3*10^12-$A100)&gt;(E$3*10^12-$A99),$A99,$A100))</f>
        <v>0</v>
      </c>
      <c r="F99" s="0" t="n">
        <f aca="false">IF(IF((F$3*10^12-$A100)*(F$3*10^12-$A99)*-1&lt;0,0,1)*IF(ABS(F$3*10^12-$A100)&gt;(F$3*10^12-$A99),$A99,$A100)=F100,0,IF((F$3*10^12-$A100)*(F$3*10^12-$A99)*-1&lt;0,0,1)*IF(ABS(F$3*10^12-$A100)&gt;(F$3*10^12-$A99),$A99,$A100))</f>
        <v>0</v>
      </c>
      <c r="G99" s="0" t="n">
        <f aca="false">IF(IF((G$3*10^12-$A100)*(G$3*10^12-$A99)*-1&lt;0,0,1)*IF(ABS(G$3*10^12-$A100)&gt;(G$3*10^12-$A99),$A99,$A100)=G100,0,IF((G$3*10^12-$A100)*(G$3*10^12-$A99)*-1&lt;0,0,1)*IF(ABS(G$3*10^12-$A100)&gt;(G$3*10^12-$A99),$A99,$A100))</f>
        <v>0</v>
      </c>
      <c r="H99" s="0" t="n">
        <f aca="false">IF(IF((H$3*10^12-$A100)*(H$3*10^12-$A99)*-1&lt;0,0,1)*IF(ABS(H$3*10^12-$A100)&gt;(H$3*10^12-$A99),$A99,$A100)=H100,0,IF((H$3*10^12-$A100)*(H$3*10^12-$A99)*-1&lt;0,0,1)*IF(ABS(H$3*10^12-$A100)&gt;(H$3*10^12-$A99),$A99,$A100))</f>
        <v>0</v>
      </c>
      <c r="I99" s="0" t="n">
        <f aca="false">IF(IF((I$3*10^12-$A100)*(I$3*10^12-$A99)*-1&lt;0,0,1)*IF(ABS(I$3*10^12-$A100)&gt;(I$3*10^12-$A99),$A99,$A100)=I100,0,IF((I$3*10^12-$A100)*(I$3*10^12-$A99)*-1&lt;0,0,1)*IF(ABS(I$3*10^12-$A100)&gt;(I$3*10^12-$A99),$A99,$A100))</f>
        <v>0</v>
      </c>
      <c r="J99" s="0" t="n">
        <f aca="false">IF(IF((J$3*10^12-$A100)*(J$3*10^12-$A99)*-1&lt;0,0,1)*IF(ABS(J$3*10^12-$A100)&gt;(J$3*10^12-$A99),$A99,$A100)=J100,0,IF((J$3*10^12-$A100)*(J$3*10^12-$A99)*-1&lt;0,0,1)*IF(ABS(J$3*10^12-$A100)&gt;(J$3*10^12-$A99),$A99,$A100))</f>
        <v>0</v>
      </c>
      <c r="K99" s="0" t="n">
        <f aca="false">IF(IF((K$3*10^12-$A100)*(K$3*10^12-$A99)*-1&lt;0,0,1)*IF(ABS(K$3*10^12-$A100)&gt;(K$3*10^12-$A99),$A99,$A100)=K100,0,IF((K$3*10^12-$A100)*(K$3*10^12-$A99)*-1&lt;0,0,1)*IF(ABS(K$3*10^12-$A100)&gt;(K$3*10^12-$A99),$A99,$A100))</f>
        <v>0</v>
      </c>
      <c r="L99" s="0" t="n">
        <f aca="false">IF(IF((L$3*10^12-$A100)*(L$3*10^12-$A99)*-1&lt;0,0,1)*IF(ABS(L$3*10^12-$A100)&gt;(L$3*10^12-$A99),$A99,$A100)=L100,0,IF((L$3*10^12-$A100)*(L$3*10^12-$A99)*-1&lt;0,0,1)*IF(ABS(L$3*10^12-$A100)&gt;(L$3*10^12-$A99),$A99,$A100))</f>
        <v>0</v>
      </c>
      <c r="M99" s="0" t="n">
        <f aca="false">IF(IF((M$3*10^12-$A100)*(M$3*10^12-$A99)*-1&lt;0,0,1)*IF(ABS(M$3*10^12-$A100)&gt;(M$3*10^12-$A99),$A99,$A100)=M100,0,IF((M$3*10^12-$A100)*(M$3*10^12-$A99)*-1&lt;0,0,1)*IF(ABS(M$3*10^12-$A100)&gt;(M$3*10^12-$A99),$A99,$A100))</f>
        <v>0</v>
      </c>
      <c r="N99" s="0" t="e">
        <f aca="false">IF(IF((N$3*10^12-$A100)*(N$3*10^12-$A99)*-1&lt;0,0,1)*IF(ABS(N$3*10^12-$A100)&gt;(N$3*10^12-$A99),$A99,$A100)=N100,0,IF((N$3*10^12-$A100)*(N$3*10^12-$A99)*-1&lt;0,0,1)*IF(ABS(N$3*10^12-$A100)&gt;(N$3*10^12-$A99),$A99,$A100))</f>
        <v>#VALUE!</v>
      </c>
    </row>
    <row r="100" customFormat="false" ht="12.75" hidden="false" customHeight="false" outlineLevel="0" collapsed="false">
      <c r="A100" s="0" t="n">
        <f aca="false">A88*10</f>
        <v>33000000</v>
      </c>
      <c r="B100" s="0" t="n">
        <f aca="false">IF(IF((B$3*10^12-$A101)*(B$3*10^12-$A100)*-1&lt;0,0,1)*IF(ABS(B$3*10^12-$A101)&gt;(B$3*10^12-$A100),$A100,$A101)=B101,0,IF((B$3*10^12-$A101)*(B$3*10^12-$A100)*-1&lt;0,0,1)*IF(ABS(B$3*10^12-$A101)&gt;(B$3*10^12-$A100),$A100,$A101))</f>
        <v>0</v>
      </c>
      <c r="C100" s="0" t="n">
        <f aca="false">IF(IF((C$3*10^12-$A101)*(C$3*10^12-$A100)*-1&lt;0,0,1)*IF(ABS(C$3*10^12-$A101)&gt;(C$3*10^12-$A100),$A100,$A101)=C101,0,IF((C$3*10^12-$A101)*(C$3*10^12-$A100)*-1&lt;0,0,1)*IF(ABS(C$3*10^12-$A101)&gt;(C$3*10^12-$A100),$A100,$A101))</f>
        <v>0</v>
      </c>
      <c r="D100" s="0" t="n">
        <f aca="false">IF(IF((D$3*10^12-$A101)*(D$3*10^12-$A100)*-1&lt;0,0,1)*IF(ABS(D$3*10^12-$A101)&gt;(D$3*10^12-$A100),$A100,$A101)=D101,0,IF((D$3*10^12-$A101)*(D$3*10^12-$A100)*-1&lt;0,0,1)*IF(ABS(D$3*10^12-$A101)&gt;(D$3*10^12-$A100),$A100,$A101))</f>
        <v>0</v>
      </c>
      <c r="E100" s="0" t="n">
        <f aca="false">IF(IF((E$3*10^12-$A101)*(E$3*10^12-$A100)*-1&lt;0,0,1)*IF(ABS(E$3*10^12-$A101)&gt;(E$3*10^12-$A100),$A100,$A101)=E101,0,IF((E$3*10^12-$A101)*(E$3*10^12-$A100)*-1&lt;0,0,1)*IF(ABS(E$3*10^12-$A101)&gt;(E$3*10^12-$A100),$A100,$A101))</f>
        <v>0</v>
      </c>
      <c r="F100" s="0" t="n">
        <f aca="false">IF(IF((F$3*10^12-$A101)*(F$3*10^12-$A100)*-1&lt;0,0,1)*IF(ABS(F$3*10^12-$A101)&gt;(F$3*10^12-$A100),$A100,$A101)=F101,0,IF((F$3*10^12-$A101)*(F$3*10^12-$A100)*-1&lt;0,0,1)*IF(ABS(F$3*10^12-$A101)&gt;(F$3*10^12-$A100),$A100,$A101))</f>
        <v>0</v>
      </c>
      <c r="G100" s="0" t="n">
        <f aca="false">IF(IF((G$3*10^12-$A101)*(G$3*10^12-$A100)*-1&lt;0,0,1)*IF(ABS(G$3*10^12-$A101)&gt;(G$3*10^12-$A100),$A100,$A101)=G101,0,IF((G$3*10^12-$A101)*(G$3*10^12-$A100)*-1&lt;0,0,1)*IF(ABS(G$3*10^12-$A101)&gt;(G$3*10^12-$A100),$A100,$A101))</f>
        <v>0</v>
      </c>
      <c r="H100" s="0" t="n">
        <f aca="false">IF(IF((H$3*10^12-$A101)*(H$3*10^12-$A100)*-1&lt;0,0,1)*IF(ABS(H$3*10^12-$A101)&gt;(H$3*10^12-$A100),$A100,$A101)=H101,0,IF((H$3*10^12-$A101)*(H$3*10^12-$A100)*-1&lt;0,0,1)*IF(ABS(H$3*10^12-$A101)&gt;(H$3*10^12-$A100),$A100,$A101))</f>
        <v>0</v>
      </c>
      <c r="I100" s="0" t="n">
        <f aca="false">IF(IF((I$3*10^12-$A101)*(I$3*10^12-$A100)*-1&lt;0,0,1)*IF(ABS(I$3*10^12-$A101)&gt;(I$3*10^12-$A100),$A100,$A101)=I101,0,IF((I$3*10^12-$A101)*(I$3*10^12-$A100)*-1&lt;0,0,1)*IF(ABS(I$3*10^12-$A101)&gt;(I$3*10^12-$A100),$A100,$A101))</f>
        <v>0</v>
      </c>
      <c r="J100" s="0" t="n">
        <f aca="false">IF(IF((J$3*10^12-$A101)*(J$3*10^12-$A100)*-1&lt;0,0,1)*IF(ABS(J$3*10^12-$A101)&gt;(J$3*10^12-$A100),$A100,$A101)=J101,0,IF((J$3*10^12-$A101)*(J$3*10^12-$A100)*-1&lt;0,0,1)*IF(ABS(J$3*10^12-$A101)&gt;(J$3*10^12-$A100),$A100,$A101))</f>
        <v>0</v>
      </c>
      <c r="K100" s="0" t="n">
        <f aca="false">IF(IF((K$3*10^12-$A101)*(K$3*10^12-$A100)*-1&lt;0,0,1)*IF(ABS(K$3*10^12-$A101)&gt;(K$3*10^12-$A100),$A100,$A101)=K101,0,IF((K$3*10^12-$A101)*(K$3*10^12-$A100)*-1&lt;0,0,1)*IF(ABS(K$3*10^12-$A101)&gt;(K$3*10^12-$A100),$A100,$A101))</f>
        <v>0</v>
      </c>
      <c r="L100" s="0" t="n">
        <f aca="false">IF(IF((L$3*10^12-$A101)*(L$3*10^12-$A100)*-1&lt;0,0,1)*IF(ABS(L$3*10^12-$A101)&gt;(L$3*10^12-$A100),$A100,$A101)=L101,0,IF((L$3*10^12-$A101)*(L$3*10^12-$A100)*-1&lt;0,0,1)*IF(ABS(L$3*10^12-$A101)&gt;(L$3*10^12-$A100),$A100,$A101))</f>
        <v>0</v>
      </c>
      <c r="M100" s="0" t="n">
        <f aca="false">IF(IF((M$3*10^12-$A101)*(M$3*10^12-$A100)*-1&lt;0,0,1)*IF(ABS(M$3*10^12-$A101)&gt;(M$3*10^12-$A100),$A100,$A101)=M101,0,IF((M$3*10^12-$A101)*(M$3*10^12-$A100)*-1&lt;0,0,1)*IF(ABS(M$3*10^12-$A101)&gt;(M$3*10^12-$A100),$A100,$A101))</f>
        <v>0</v>
      </c>
      <c r="N100" s="0" t="e">
        <f aca="false">IF(IF((N$3*10^12-$A101)*(N$3*10^12-$A100)*-1&lt;0,0,1)*IF(ABS(N$3*10^12-$A101)&gt;(N$3*10^12-$A100),$A100,$A101)=N101,0,IF((N$3*10^12-$A101)*(N$3*10^12-$A100)*-1&lt;0,0,1)*IF(ABS(N$3*10^12-$A101)&gt;(N$3*10^12-$A100),$A100,$A101))</f>
        <v>#VALUE!</v>
      </c>
    </row>
    <row r="101" customFormat="false" ht="12.75" hidden="false" customHeight="false" outlineLevel="0" collapsed="false">
      <c r="A101" s="0" t="n">
        <f aca="false">A89*10</f>
        <v>39000000</v>
      </c>
      <c r="B101" s="0" t="n">
        <f aca="false">IF(IF((B$3*10^12-$A102)*(B$3*10^12-$A101)*-1&lt;0,0,1)*IF(ABS(B$3*10^12-$A102)&gt;(B$3*10^12-$A101),$A101,$A102)=B102,0,IF((B$3*10^12-$A102)*(B$3*10^12-$A101)*-1&lt;0,0,1)*IF(ABS(B$3*10^12-$A102)&gt;(B$3*10^12-$A101),$A101,$A102))</f>
        <v>0</v>
      </c>
      <c r="C101" s="0" t="n">
        <f aca="false">IF(IF((C$3*10^12-$A102)*(C$3*10^12-$A101)*-1&lt;0,0,1)*IF(ABS(C$3*10^12-$A102)&gt;(C$3*10^12-$A101),$A101,$A102)=C102,0,IF((C$3*10^12-$A102)*(C$3*10^12-$A101)*-1&lt;0,0,1)*IF(ABS(C$3*10^12-$A102)&gt;(C$3*10^12-$A101),$A101,$A102))</f>
        <v>0</v>
      </c>
      <c r="D101" s="0" t="n">
        <f aca="false">IF(IF((D$3*10^12-$A102)*(D$3*10^12-$A101)*-1&lt;0,0,1)*IF(ABS(D$3*10^12-$A102)&gt;(D$3*10^12-$A101),$A101,$A102)=D102,0,IF((D$3*10^12-$A102)*(D$3*10^12-$A101)*-1&lt;0,0,1)*IF(ABS(D$3*10^12-$A102)&gt;(D$3*10^12-$A101),$A101,$A102))</f>
        <v>0</v>
      </c>
      <c r="E101" s="0" t="n">
        <f aca="false">IF(IF((E$3*10^12-$A102)*(E$3*10^12-$A101)*-1&lt;0,0,1)*IF(ABS(E$3*10^12-$A102)&gt;(E$3*10^12-$A101),$A101,$A102)=E102,0,IF((E$3*10^12-$A102)*(E$3*10^12-$A101)*-1&lt;0,0,1)*IF(ABS(E$3*10^12-$A102)&gt;(E$3*10^12-$A101),$A101,$A102))</f>
        <v>0</v>
      </c>
      <c r="F101" s="0" t="n">
        <f aca="false">IF(IF((F$3*10^12-$A102)*(F$3*10^12-$A101)*-1&lt;0,0,1)*IF(ABS(F$3*10^12-$A102)&gt;(F$3*10^12-$A101),$A101,$A102)=F102,0,IF((F$3*10^12-$A102)*(F$3*10^12-$A101)*-1&lt;0,0,1)*IF(ABS(F$3*10^12-$A102)&gt;(F$3*10^12-$A101),$A101,$A102))</f>
        <v>0</v>
      </c>
      <c r="G101" s="0" t="n">
        <f aca="false">IF(IF((G$3*10^12-$A102)*(G$3*10^12-$A101)*-1&lt;0,0,1)*IF(ABS(G$3*10^12-$A102)&gt;(G$3*10^12-$A101),$A101,$A102)=G102,0,IF((G$3*10^12-$A102)*(G$3*10^12-$A101)*-1&lt;0,0,1)*IF(ABS(G$3*10^12-$A102)&gt;(G$3*10^12-$A101),$A101,$A102))</f>
        <v>0</v>
      </c>
      <c r="H101" s="0" t="n">
        <f aca="false">IF(IF((H$3*10^12-$A102)*(H$3*10^12-$A101)*-1&lt;0,0,1)*IF(ABS(H$3*10^12-$A102)&gt;(H$3*10^12-$A101),$A101,$A102)=H102,0,IF((H$3*10^12-$A102)*(H$3*10^12-$A101)*-1&lt;0,0,1)*IF(ABS(H$3*10^12-$A102)&gt;(H$3*10^12-$A101),$A101,$A102))</f>
        <v>0</v>
      </c>
      <c r="I101" s="0" t="n">
        <f aca="false">IF(IF((I$3*10^12-$A102)*(I$3*10^12-$A101)*-1&lt;0,0,1)*IF(ABS(I$3*10^12-$A102)&gt;(I$3*10^12-$A101),$A101,$A102)=I102,0,IF((I$3*10^12-$A102)*(I$3*10^12-$A101)*-1&lt;0,0,1)*IF(ABS(I$3*10^12-$A102)&gt;(I$3*10^12-$A101),$A101,$A102))</f>
        <v>0</v>
      </c>
      <c r="J101" s="0" t="n">
        <f aca="false">IF(IF((J$3*10^12-$A102)*(J$3*10^12-$A101)*-1&lt;0,0,1)*IF(ABS(J$3*10^12-$A102)&gt;(J$3*10^12-$A101),$A101,$A102)=J102,0,IF((J$3*10^12-$A102)*(J$3*10^12-$A101)*-1&lt;0,0,1)*IF(ABS(J$3*10^12-$A102)&gt;(J$3*10^12-$A101),$A101,$A102))</f>
        <v>0</v>
      </c>
      <c r="K101" s="0" t="n">
        <f aca="false">IF(IF((K$3*10^12-$A102)*(K$3*10^12-$A101)*-1&lt;0,0,1)*IF(ABS(K$3*10^12-$A102)&gt;(K$3*10^12-$A101),$A101,$A102)=K102,0,IF((K$3*10^12-$A102)*(K$3*10^12-$A101)*-1&lt;0,0,1)*IF(ABS(K$3*10^12-$A102)&gt;(K$3*10^12-$A101),$A101,$A102))</f>
        <v>0</v>
      </c>
      <c r="L101" s="0" t="n">
        <f aca="false">IF(IF((L$3*10^12-$A102)*(L$3*10^12-$A101)*-1&lt;0,0,1)*IF(ABS(L$3*10^12-$A102)&gt;(L$3*10^12-$A101),$A101,$A102)=L102,0,IF((L$3*10^12-$A102)*(L$3*10^12-$A101)*-1&lt;0,0,1)*IF(ABS(L$3*10^12-$A102)&gt;(L$3*10^12-$A101),$A101,$A102))</f>
        <v>0</v>
      </c>
      <c r="M101" s="0" t="n">
        <f aca="false">IF(IF((M$3*10^12-$A102)*(M$3*10^12-$A101)*-1&lt;0,0,1)*IF(ABS(M$3*10^12-$A102)&gt;(M$3*10^12-$A101),$A101,$A102)=M102,0,IF((M$3*10^12-$A102)*(M$3*10^12-$A101)*-1&lt;0,0,1)*IF(ABS(M$3*10^12-$A102)&gt;(M$3*10^12-$A101),$A101,$A102))</f>
        <v>0</v>
      </c>
      <c r="N101" s="0" t="e">
        <f aca="false">IF(IF((N$3*10^12-$A102)*(N$3*10^12-$A101)*-1&lt;0,0,1)*IF(ABS(N$3*10^12-$A102)&gt;(N$3*10^12-$A101),$A101,$A102)=N102,0,IF((N$3*10^12-$A102)*(N$3*10^12-$A101)*-1&lt;0,0,1)*IF(ABS(N$3*10^12-$A102)&gt;(N$3*10^12-$A101),$A101,$A102))</f>
        <v>#VALUE!</v>
      </c>
    </row>
    <row r="102" customFormat="false" ht="12.75" hidden="false" customHeight="false" outlineLevel="0" collapsed="false">
      <c r="A102" s="0" t="n">
        <f aca="false">A90*10</f>
        <v>47000000</v>
      </c>
      <c r="B102" s="0" t="n">
        <f aca="false">IF(IF((B$3*10^12-$A103)*(B$3*10^12-$A102)*-1&lt;0,0,1)*IF(ABS(B$3*10^12-$A103)&gt;(B$3*10^12-$A102),$A102,$A103)=B103,0,IF((B$3*10^12-$A103)*(B$3*10^12-$A102)*-1&lt;0,0,1)*IF(ABS(B$3*10^12-$A103)&gt;(B$3*10^12-$A102),$A102,$A103))</f>
        <v>0</v>
      </c>
      <c r="C102" s="0" t="n">
        <f aca="false">IF(IF((C$3*10^12-$A103)*(C$3*10^12-$A102)*-1&lt;0,0,1)*IF(ABS(C$3*10^12-$A103)&gt;(C$3*10^12-$A102),$A102,$A103)=C103,0,IF((C$3*10^12-$A103)*(C$3*10^12-$A102)*-1&lt;0,0,1)*IF(ABS(C$3*10^12-$A103)&gt;(C$3*10^12-$A102),$A102,$A103))</f>
        <v>0</v>
      </c>
      <c r="D102" s="0" t="n">
        <f aca="false">IF(IF((D$3*10^12-$A103)*(D$3*10^12-$A102)*-1&lt;0,0,1)*IF(ABS(D$3*10^12-$A103)&gt;(D$3*10^12-$A102),$A102,$A103)=D103,0,IF((D$3*10^12-$A103)*(D$3*10^12-$A102)*-1&lt;0,0,1)*IF(ABS(D$3*10^12-$A103)&gt;(D$3*10^12-$A102),$A102,$A103))</f>
        <v>0</v>
      </c>
      <c r="E102" s="0" t="n">
        <f aca="false">IF(IF((E$3*10^12-$A103)*(E$3*10^12-$A102)*-1&lt;0,0,1)*IF(ABS(E$3*10^12-$A103)&gt;(E$3*10^12-$A102),$A102,$A103)=E103,0,IF((E$3*10^12-$A103)*(E$3*10^12-$A102)*-1&lt;0,0,1)*IF(ABS(E$3*10^12-$A103)&gt;(E$3*10^12-$A102),$A102,$A103))</f>
        <v>0</v>
      </c>
      <c r="F102" s="0" t="n">
        <f aca="false">IF(IF((F$3*10^12-$A103)*(F$3*10^12-$A102)*-1&lt;0,0,1)*IF(ABS(F$3*10^12-$A103)&gt;(F$3*10^12-$A102),$A102,$A103)=F103,0,IF((F$3*10^12-$A103)*(F$3*10^12-$A102)*-1&lt;0,0,1)*IF(ABS(F$3*10^12-$A103)&gt;(F$3*10^12-$A102),$A102,$A103))</f>
        <v>0</v>
      </c>
      <c r="G102" s="0" t="n">
        <f aca="false">IF(IF((G$3*10^12-$A103)*(G$3*10^12-$A102)*-1&lt;0,0,1)*IF(ABS(G$3*10^12-$A103)&gt;(G$3*10^12-$A102),$A102,$A103)=G103,0,IF((G$3*10^12-$A103)*(G$3*10^12-$A102)*-1&lt;0,0,1)*IF(ABS(G$3*10^12-$A103)&gt;(G$3*10^12-$A102),$A102,$A103))</f>
        <v>0</v>
      </c>
      <c r="H102" s="0" t="n">
        <f aca="false">IF(IF((H$3*10^12-$A103)*(H$3*10^12-$A102)*-1&lt;0,0,1)*IF(ABS(H$3*10^12-$A103)&gt;(H$3*10^12-$A102),$A102,$A103)=H103,0,IF((H$3*10^12-$A103)*(H$3*10^12-$A102)*-1&lt;0,0,1)*IF(ABS(H$3*10^12-$A103)&gt;(H$3*10^12-$A102),$A102,$A103))</f>
        <v>0</v>
      </c>
      <c r="I102" s="0" t="n">
        <f aca="false">IF(IF((I$3*10^12-$A103)*(I$3*10^12-$A102)*-1&lt;0,0,1)*IF(ABS(I$3*10^12-$A103)&gt;(I$3*10^12-$A102),$A102,$A103)=I103,0,IF((I$3*10^12-$A103)*(I$3*10^12-$A102)*-1&lt;0,0,1)*IF(ABS(I$3*10^12-$A103)&gt;(I$3*10^12-$A102),$A102,$A103))</f>
        <v>0</v>
      </c>
      <c r="J102" s="0" t="n">
        <f aca="false">IF(IF((J$3*10^12-$A103)*(J$3*10^12-$A102)*-1&lt;0,0,1)*IF(ABS(J$3*10^12-$A103)&gt;(J$3*10^12-$A102),$A102,$A103)=J103,0,IF((J$3*10^12-$A103)*(J$3*10^12-$A102)*-1&lt;0,0,1)*IF(ABS(J$3*10^12-$A103)&gt;(J$3*10^12-$A102),$A102,$A103))</f>
        <v>0</v>
      </c>
      <c r="K102" s="0" t="n">
        <f aca="false">IF(IF((K$3*10^12-$A103)*(K$3*10^12-$A102)*-1&lt;0,0,1)*IF(ABS(K$3*10^12-$A103)&gt;(K$3*10^12-$A102),$A102,$A103)=K103,0,IF((K$3*10^12-$A103)*(K$3*10^12-$A102)*-1&lt;0,0,1)*IF(ABS(K$3*10^12-$A103)&gt;(K$3*10^12-$A102),$A102,$A103))</f>
        <v>0</v>
      </c>
      <c r="L102" s="0" t="n">
        <f aca="false">IF(IF((L$3*10^12-$A103)*(L$3*10^12-$A102)*-1&lt;0,0,1)*IF(ABS(L$3*10^12-$A103)&gt;(L$3*10^12-$A102),$A102,$A103)=L103,0,IF((L$3*10^12-$A103)*(L$3*10^12-$A102)*-1&lt;0,0,1)*IF(ABS(L$3*10^12-$A103)&gt;(L$3*10^12-$A102),$A102,$A103))</f>
        <v>0</v>
      </c>
      <c r="M102" s="0" t="n">
        <f aca="false">IF(IF((M$3*10^12-$A103)*(M$3*10^12-$A102)*-1&lt;0,0,1)*IF(ABS(M$3*10^12-$A103)&gt;(M$3*10^12-$A102),$A102,$A103)=M103,0,IF((M$3*10^12-$A103)*(M$3*10^12-$A102)*-1&lt;0,0,1)*IF(ABS(M$3*10^12-$A103)&gt;(M$3*10^12-$A102),$A102,$A103))</f>
        <v>0</v>
      </c>
      <c r="N102" s="0" t="e">
        <f aca="false">IF(IF((N$3*10^12-$A103)*(N$3*10^12-$A102)*-1&lt;0,0,1)*IF(ABS(N$3*10^12-$A103)&gt;(N$3*10^12-$A102),$A102,$A103)=N103,0,IF((N$3*10^12-$A103)*(N$3*10^12-$A102)*-1&lt;0,0,1)*IF(ABS(N$3*10^12-$A103)&gt;(N$3*10^12-$A102),$A102,$A103))</f>
        <v>#VALUE!</v>
      </c>
    </row>
    <row r="103" customFormat="false" ht="12.75" hidden="false" customHeight="false" outlineLevel="0" collapsed="false">
      <c r="A103" s="0" t="n">
        <f aca="false">A91*10</f>
        <v>56000000</v>
      </c>
      <c r="B103" s="0" t="n">
        <f aca="false">IF(IF((B$3*10^12-$A104)*(B$3*10^12-$A103)*-1&lt;0,0,1)*IF(ABS(B$3*10^12-$A104)&gt;(B$3*10^12-$A103),$A103,$A104)=B104,0,IF((B$3*10^12-$A104)*(B$3*10^12-$A103)*-1&lt;0,0,1)*IF(ABS(B$3*10^12-$A104)&gt;(B$3*10^12-$A103),$A103,$A104))</f>
        <v>0</v>
      </c>
      <c r="C103" s="0" t="n">
        <f aca="false">IF(IF((C$3*10^12-$A104)*(C$3*10^12-$A103)*-1&lt;0,0,1)*IF(ABS(C$3*10^12-$A104)&gt;(C$3*10^12-$A103),$A103,$A104)=C104,0,IF((C$3*10^12-$A104)*(C$3*10^12-$A103)*-1&lt;0,0,1)*IF(ABS(C$3*10^12-$A104)&gt;(C$3*10^12-$A103),$A103,$A104))</f>
        <v>0</v>
      </c>
      <c r="D103" s="0" t="n">
        <f aca="false">IF(IF((D$3*10^12-$A104)*(D$3*10^12-$A103)*-1&lt;0,0,1)*IF(ABS(D$3*10^12-$A104)&gt;(D$3*10^12-$A103),$A103,$A104)=D104,0,IF((D$3*10^12-$A104)*(D$3*10^12-$A103)*-1&lt;0,0,1)*IF(ABS(D$3*10^12-$A104)&gt;(D$3*10^12-$A103),$A103,$A104))</f>
        <v>0</v>
      </c>
      <c r="E103" s="0" t="n">
        <f aca="false">IF(IF((E$3*10^12-$A104)*(E$3*10^12-$A103)*-1&lt;0,0,1)*IF(ABS(E$3*10^12-$A104)&gt;(E$3*10^12-$A103),$A103,$A104)=E104,0,IF((E$3*10^12-$A104)*(E$3*10^12-$A103)*-1&lt;0,0,1)*IF(ABS(E$3*10^12-$A104)&gt;(E$3*10^12-$A103),$A103,$A104))</f>
        <v>0</v>
      </c>
      <c r="F103" s="0" t="n">
        <f aca="false">IF(IF((F$3*10^12-$A104)*(F$3*10^12-$A103)*-1&lt;0,0,1)*IF(ABS(F$3*10^12-$A104)&gt;(F$3*10^12-$A103),$A103,$A104)=F104,0,IF((F$3*10^12-$A104)*(F$3*10^12-$A103)*-1&lt;0,0,1)*IF(ABS(F$3*10^12-$A104)&gt;(F$3*10^12-$A103),$A103,$A104))</f>
        <v>0</v>
      </c>
      <c r="G103" s="0" t="n">
        <f aca="false">IF(IF((G$3*10^12-$A104)*(G$3*10^12-$A103)*-1&lt;0,0,1)*IF(ABS(G$3*10^12-$A104)&gt;(G$3*10^12-$A103),$A103,$A104)=G104,0,IF((G$3*10^12-$A104)*(G$3*10^12-$A103)*-1&lt;0,0,1)*IF(ABS(G$3*10^12-$A104)&gt;(G$3*10^12-$A103),$A103,$A104))</f>
        <v>0</v>
      </c>
      <c r="H103" s="0" t="n">
        <f aca="false">IF(IF((H$3*10^12-$A104)*(H$3*10^12-$A103)*-1&lt;0,0,1)*IF(ABS(H$3*10^12-$A104)&gt;(H$3*10^12-$A103),$A103,$A104)=H104,0,IF((H$3*10^12-$A104)*(H$3*10^12-$A103)*-1&lt;0,0,1)*IF(ABS(H$3*10^12-$A104)&gt;(H$3*10^12-$A103),$A103,$A104))</f>
        <v>0</v>
      </c>
      <c r="I103" s="0" t="n">
        <f aca="false">IF(IF((I$3*10^12-$A104)*(I$3*10^12-$A103)*-1&lt;0,0,1)*IF(ABS(I$3*10^12-$A104)&gt;(I$3*10^12-$A103),$A103,$A104)=I104,0,IF((I$3*10^12-$A104)*(I$3*10^12-$A103)*-1&lt;0,0,1)*IF(ABS(I$3*10^12-$A104)&gt;(I$3*10^12-$A103),$A103,$A104))</f>
        <v>0</v>
      </c>
      <c r="J103" s="0" t="n">
        <f aca="false">IF(IF((J$3*10^12-$A104)*(J$3*10^12-$A103)*-1&lt;0,0,1)*IF(ABS(J$3*10^12-$A104)&gt;(J$3*10^12-$A103),$A103,$A104)=J104,0,IF((J$3*10^12-$A104)*(J$3*10^12-$A103)*-1&lt;0,0,1)*IF(ABS(J$3*10^12-$A104)&gt;(J$3*10^12-$A103),$A103,$A104))</f>
        <v>0</v>
      </c>
      <c r="K103" s="0" t="n">
        <f aca="false">IF(IF((K$3*10^12-$A104)*(K$3*10^12-$A103)*-1&lt;0,0,1)*IF(ABS(K$3*10^12-$A104)&gt;(K$3*10^12-$A103),$A103,$A104)=K104,0,IF((K$3*10^12-$A104)*(K$3*10^12-$A103)*-1&lt;0,0,1)*IF(ABS(K$3*10^12-$A104)&gt;(K$3*10^12-$A103),$A103,$A104))</f>
        <v>0</v>
      </c>
      <c r="L103" s="0" t="n">
        <f aca="false">IF(IF((L$3*10^12-$A104)*(L$3*10^12-$A103)*-1&lt;0,0,1)*IF(ABS(L$3*10^12-$A104)&gt;(L$3*10^12-$A103),$A103,$A104)=L104,0,IF((L$3*10^12-$A104)*(L$3*10^12-$A103)*-1&lt;0,0,1)*IF(ABS(L$3*10^12-$A104)&gt;(L$3*10^12-$A103),$A103,$A104))</f>
        <v>0</v>
      </c>
      <c r="M103" s="0" t="n">
        <f aca="false">IF(IF((M$3*10^12-$A104)*(M$3*10^12-$A103)*-1&lt;0,0,1)*IF(ABS(M$3*10^12-$A104)&gt;(M$3*10^12-$A103),$A103,$A104)=M104,0,IF((M$3*10^12-$A104)*(M$3*10^12-$A103)*-1&lt;0,0,1)*IF(ABS(M$3*10^12-$A104)&gt;(M$3*10^12-$A103),$A103,$A104))</f>
        <v>0</v>
      </c>
      <c r="N103" s="0" t="e">
        <f aca="false">IF(IF((N$3*10^12-$A104)*(N$3*10^12-$A103)*-1&lt;0,0,1)*IF(ABS(N$3*10^12-$A104)&gt;(N$3*10^12-$A103),$A103,$A104)=N104,0,IF((N$3*10^12-$A104)*(N$3*10^12-$A103)*-1&lt;0,0,1)*IF(ABS(N$3*10^12-$A104)&gt;(N$3*10^12-$A103),$A103,$A104))</f>
        <v>#VALUE!</v>
      </c>
    </row>
    <row r="104" customFormat="false" ht="12.75" hidden="false" customHeight="false" outlineLevel="0" collapsed="false">
      <c r="A104" s="0" t="n">
        <f aca="false">A92*10</f>
        <v>68000000</v>
      </c>
      <c r="B104" s="0" t="n">
        <f aca="false">IF(IF((B$3*10^12-$A105)*(B$3*10^12-$A104)*-1&lt;0,0,1)*IF(ABS(B$3*10^12-$A105)&gt;(B$3*10^12-$A104),$A104,$A105)=B105,0,IF((B$3*10^12-$A105)*(B$3*10^12-$A104)*-1&lt;0,0,1)*IF(ABS(B$3*10^12-$A105)&gt;(B$3*10^12-$A104),$A104,$A105))</f>
        <v>0</v>
      </c>
      <c r="C104" s="0" t="n">
        <f aca="false">IF(IF((C$3*10^12-$A105)*(C$3*10^12-$A104)*-1&lt;0,0,1)*IF(ABS(C$3*10^12-$A105)&gt;(C$3*10^12-$A104),$A104,$A105)=C105,0,IF((C$3*10^12-$A105)*(C$3*10^12-$A104)*-1&lt;0,0,1)*IF(ABS(C$3*10^12-$A105)&gt;(C$3*10^12-$A104),$A104,$A105))</f>
        <v>0</v>
      </c>
      <c r="D104" s="0" t="n">
        <f aca="false">IF(IF((D$3*10^12-$A105)*(D$3*10^12-$A104)*-1&lt;0,0,1)*IF(ABS(D$3*10^12-$A105)&gt;(D$3*10^12-$A104),$A104,$A105)=D105,0,IF((D$3*10^12-$A105)*(D$3*10^12-$A104)*-1&lt;0,0,1)*IF(ABS(D$3*10^12-$A105)&gt;(D$3*10^12-$A104),$A104,$A105))</f>
        <v>0</v>
      </c>
      <c r="E104" s="0" t="n">
        <f aca="false">IF(IF((E$3*10^12-$A105)*(E$3*10^12-$A104)*-1&lt;0,0,1)*IF(ABS(E$3*10^12-$A105)&gt;(E$3*10^12-$A104),$A104,$A105)=E105,0,IF((E$3*10^12-$A105)*(E$3*10^12-$A104)*-1&lt;0,0,1)*IF(ABS(E$3*10^12-$A105)&gt;(E$3*10^12-$A104),$A104,$A105))</f>
        <v>0</v>
      </c>
      <c r="F104" s="0" t="n">
        <f aca="false">IF(IF((F$3*10^12-$A105)*(F$3*10^12-$A104)*-1&lt;0,0,1)*IF(ABS(F$3*10^12-$A105)&gt;(F$3*10^12-$A104),$A104,$A105)=F105,0,IF((F$3*10^12-$A105)*(F$3*10^12-$A104)*-1&lt;0,0,1)*IF(ABS(F$3*10^12-$A105)&gt;(F$3*10^12-$A104),$A104,$A105))</f>
        <v>0</v>
      </c>
      <c r="G104" s="0" t="n">
        <f aca="false">IF(IF((G$3*10^12-$A105)*(G$3*10^12-$A104)*-1&lt;0,0,1)*IF(ABS(G$3*10^12-$A105)&gt;(G$3*10^12-$A104),$A104,$A105)=G105,0,IF((G$3*10^12-$A105)*(G$3*10^12-$A104)*-1&lt;0,0,1)*IF(ABS(G$3*10^12-$A105)&gt;(G$3*10^12-$A104),$A104,$A105))</f>
        <v>0</v>
      </c>
      <c r="H104" s="0" t="n">
        <f aca="false">IF(IF((H$3*10^12-$A105)*(H$3*10^12-$A104)*-1&lt;0,0,1)*IF(ABS(H$3*10^12-$A105)&gt;(H$3*10^12-$A104),$A104,$A105)=H105,0,IF((H$3*10^12-$A105)*(H$3*10^12-$A104)*-1&lt;0,0,1)*IF(ABS(H$3*10^12-$A105)&gt;(H$3*10^12-$A104),$A104,$A105))</f>
        <v>0</v>
      </c>
      <c r="I104" s="0" t="n">
        <f aca="false">IF(IF((I$3*10^12-$A105)*(I$3*10^12-$A104)*-1&lt;0,0,1)*IF(ABS(I$3*10^12-$A105)&gt;(I$3*10^12-$A104),$A104,$A105)=I105,0,IF((I$3*10^12-$A105)*(I$3*10^12-$A104)*-1&lt;0,0,1)*IF(ABS(I$3*10^12-$A105)&gt;(I$3*10^12-$A104),$A104,$A105))</f>
        <v>0</v>
      </c>
      <c r="J104" s="0" t="n">
        <f aca="false">IF(IF((J$3*10^12-$A105)*(J$3*10^12-$A104)*-1&lt;0,0,1)*IF(ABS(J$3*10^12-$A105)&gt;(J$3*10^12-$A104),$A104,$A105)=J105,0,IF((J$3*10^12-$A105)*(J$3*10^12-$A104)*-1&lt;0,0,1)*IF(ABS(J$3*10^12-$A105)&gt;(J$3*10^12-$A104),$A104,$A105))</f>
        <v>0</v>
      </c>
      <c r="K104" s="0" t="n">
        <f aca="false">IF(IF((K$3*10^12-$A105)*(K$3*10^12-$A104)*-1&lt;0,0,1)*IF(ABS(K$3*10^12-$A105)&gt;(K$3*10^12-$A104),$A104,$A105)=K105,0,IF((K$3*10^12-$A105)*(K$3*10^12-$A104)*-1&lt;0,0,1)*IF(ABS(K$3*10^12-$A105)&gt;(K$3*10^12-$A104),$A104,$A105))</f>
        <v>0</v>
      </c>
      <c r="L104" s="0" t="n">
        <f aca="false">IF(IF((L$3*10^12-$A105)*(L$3*10^12-$A104)*-1&lt;0,0,1)*IF(ABS(L$3*10^12-$A105)&gt;(L$3*10^12-$A104),$A104,$A105)=L105,0,IF((L$3*10^12-$A105)*(L$3*10^12-$A104)*-1&lt;0,0,1)*IF(ABS(L$3*10^12-$A105)&gt;(L$3*10^12-$A104),$A104,$A105))</f>
        <v>0</v>
      </c>
      <c r="M104" s="0" t="n">
        <f aca="false">IF(IF((M$3*10^12-$A105)*(M$3*10^12-$A104)*-1&lt;0,0,1)*IF(ABS(M$3*10^12-$A105)&gt;(M$3*10^12-$A104),$A104,$A105)=M105,0,IF((M$3*10^12-$A105)*(M$3*10^12-$A104)*-1&lt;0,0,1)*IF(ABS(M$3*10^12-$A105)&gt;(M$3*10^12-$A104),$A104,$A105))</f>
        <v>0</v>
      </c>
      <c r="N104" s="0" t="e">
        <f aca="false">IF(IF((N$3*10^12-$A105)*(N$3*10^12-$A104)*-1&lt;0,0,1)*IF(ABS(N$3*10^12-$A105)&gt;(N$3*10^12-$A104),$A104,$A105)=N105,0,IF((N$3*10^12-$A105)*(N$3*10^12-$A104)*-1&lt;0,0,1)*IF(ABS(N$3*10^12-$A105)&gt;(N$3*10^12-$A104),$A104,$A105))</f>
        <v>#VALUE!</v>
      </c>
    </row>
    <row r="105" customFormat="false" ht="12.75" hidden="false" customHeight="false" outlineLevel="0" collapsed="false">
      <c r="A105" s="0" t="n">
        <f aca="false">A93*10</f>
        <v>82000000</v>
      </c>
      <c r="B105" s="0" t="n">
        <f aca="false">IF(IF((B$3*10^12-$A106)*(B$3*10^12-$A105)*-1&lt;0,0,1)*IF(ABS(B$3*10^12-$A106)&gt;(B$3*10^12-$A105),$A105,$A106)=B106,0,IF((B$3*10^12-$A106)*(B$3*10^12-$A105)*-1&lt;0,0,1)*IF(ABS(B$3*10^12-$A106)&gt;(B$3*10^12-$A105),$A105,$A106))</f>
        <v>0</v>
      </c>
      <c r="C105" s="0" t="n">
        <f aca="false">IF(IF((C$3*10^12-$A106)*(C$3*10^12-$A105)*-1&lt;0,0,1)*IF(ABS(C$3*10^12-$A106)&gt;(C$3*10^12-$A105),$A105,$A106)=C106,0,IF((C$3*10^12-$A106)*(C$3*10^12-$A105)*-1&lt;0,0,1)*IF(ABS(C$3*10^12-$A106)&gt;(C$3*10^12-$A105),$A105,$A106))</f>
        <v>0</v>
      </c>
      <c r="D105" s="0" t="n">
        <f aca="false">IF(IF((D$3*10^12-$A106)*(D$3*10^12-$A105)*-1&lt;0,0,1)*IF(ABS(D$3*10^12-$A106)&gt;(D$3*10^12-$A105),$A105,$A106)=D106,0,IF((D$3*10^12-$A106)*(D$3*10^12-$A105)*-1&lt;0,0,1)*IF(ABS(D$3*10^12-$A106)&gt;(D$3*10^12-$A105),$A105,$A106))</f>
        <v>0</v>
      </c>
      <c r="E105" s="0" t="n">
        <f aca="false">IF(IF((E$3*10^12-$A106)*(E$3*10^12-$A105)*-1&lt;0,0,1)*IF(ABS(E$3*10^12-$A106)&gt;(E$3*10^12-$A105),$A105,$A106)=E106,0,IF((E$3*10^12-$A106)*(E$3*10^12-$A105)*-1&lt;0,0,1)*IF(ABS(E$3*10^12-$A106)&gt;(E$3*10^12-$A105),$A105,$A106))</f>
        <v>0</v>
      </c>
      <c r="F105" s="0" t="n">
        <f aca="false">IF(IF((F$3*10^12-$A106)*(F$3*10^12-$A105)*-1&lt;0,0,1)*IF(ABS(F$3*10^12-$A106)&gt;(F$3*10^12-$A105),$A105,$A106)=F106,0,IF((F$3*10^12-$A106)*(F$3*10^12-$A105)*-1&lt;0,0,1)*IF(ABS(F$3*10^12-$A106)&gt;(F$3*10^12-$A105),$A105,$A106))</f>
        <v>0</v>
      </c>
      <c r="G105" s="0" t="n">
        <f aca="false">IF(IF((G$3*10^12-$A106)*(G$3*10^12-$A105)*-1&lt;0,0,1)*IF(ABS(G$3*10^12-$A106)&gt;(G$3*10^12-$A105),$A105,$A106)=G106,0,IF((G$3*10^12-$A106)*(G$3*10^12-$A105)*-1&lt;0,0,1)*IF(ABS(G$3*10^12-$A106)&gt;(G$3*10^12-$A105),$A105,$A106))</f>
        <v>0</v>
      </c>
      <c r="H105" s="0" t="n">
        <f aca="false">IF(IF((H$3*10^12-$A106)*(H$3*10^12-$A105)*-1&lt;0,0,1)*IF(ABS(H$3*10^12-$A106)&gt;(H$3*10^12-$A105),$A105,$A106)=H106,0,IF((H$3*10^12-$A106)*(H$3*10^12-$A105)*-1&lt;0,0,1)*IF(ABS(H$3*10^12-$A106)&gt;(H$3*10^12-$A105),$A105,$A106))</f>
        <v>0</v>
      </c>
      <c r="I105" s="0" t="n">
        <f aca="false">IF(IF((I$3*10^12-$A106)*(I$3*10^12-$A105)*-1&lt;0,0,1)*IF(ABS(I$3*10^12-$A106)&gt;(I$3*10^12-$A105),$A105,$A106)=I106,0,IF((I$3*10^12-$A106)*(I$3*10^12-$A105)*-1&lt;0,0,1)*IF(ABS(I$3*10^12-$A106)&gt;(I$3*10^12-$A105),$A105,$A106))</f>
        <v>0</v>
      </c>
      <c r="J105" s="0" t="n">
        <f aca="false">IF(IF((J$3*10^12-$A106)*(J$3*10^12-$A105)*-1&lt;0,0,1)*IF(ABS(J$3*10^12-$A106)&gt;(J$3*10^12-$A105),$A105,$A106)=J106,0,IF((J$3*10^12-$A106)*(J$3*10^12-$A105)*-1&lt;0,0,1)*IF(ABS(J$3*10^12-$A106)&gt;(J$3*10^12-$A105),$A105,$A106))</f>
        <v>0</v>
      </c>
      <c r="K105" s="0" t="n">
        <f aca="false">IF(IF((K$3*10^12-$A106)*(K$3*10^12-$A105)*-1&lt;0,0,1)*IF(ABS(K$3*10^12-$A106)&gt;(K$3*10^12-$A105),$A105,$A106)=K106,0,IF((K$3*10^12-$A106)*(K$3*10^12-$A105)*-1&lt;0,0,1)*IF(ABS(K$3*10^12-$A106)&gt;(K$3*10^12-$A105),$A105,$A106))</f>
        <v>0</v>
      </c>
      <c r="L105" s="0" t="n">
        <f aca="false">IF(IF((L$3*10^12-$A106)*(L$3*10^12-$A105)*-1&lt;0,0,1)*IF(ABS(L$3*10^12-$A106)&gt;(L$3*10^12-$A105),$A105,$A106)=L106,0,IF((L$3*10^12-$A106)*(L$3*10^12-$A105)*-1&lt;0,0,1)*IF(ABS(L$3*10^12-$A106)&gt;(L$3*10^12-$A105),$A105,$A106))</f>
        <v>0</v>
      </c>
      <c r="M105" s="0" t="n">
        <f aca="false">IF(IF((M$3*10^12-$A106)*(M$3*10^12-$A105)*-1&lt;0,0,1)*IF(ABS(M$3*10^12-$A106)&gt;(M$3*10^12-$A105),$A105,$A106)=M106,0,IF((M$3*10^12-$A106)*(M$3*10^12-$A105)*-1&lt;0,0,1)*IF(ABS(M$3*10^12-$A106)&gt;(M$3*10^12-$A105),$A105,$A106))</f>
        <v>0</v>
      </c>
      <c r="N105" s="0" t="e">
        <f aca="false">IF(IF((N$3*10^12-$A106)*(N$3*10^12-$A105)*-1&lt;0,0,1)*IF(ABS(N$3*10^12-$A106)&gt;(N$3*10^12-$A105),$A105,$A106)=N106,0,IF((N$3*10^12-$A106)*(N$3*10^12-$A105)*-1&lt;0,0,1)*IF(ABS(N$3*10^12-$A106)&gt;(N$3*10^12-$A105),$A105,$A106))</f>
        <v>#VALUE!</v>
      </c>
    </row>
    <row r="106" customFormat="false" ht="12.75" hidden="false" customHeight="false" outlineLevel="0" collapsed="false">
      <c r="A106" s="0" t="n">
        <f aca="false">A94*10</f>
        <v>100000000</v>
      </c>
      <c r="B106" s="0" t="n">
        <f aca="false">IF(IF((B$3*10^12-$A107)*(B$3*10^12-$A106)*-1&lt;0,0,1)*IF(ABS(B$3*10^12-$A107)&gt;(B$3*10^12-$A106),$A106,$A107)=B107,0,IF((B$3*10^12-$A107)*(B$3*10^12-$A106)*-1&lt;0,0,1)*IF(ABS(B$3*10^12-$A107)&gt;(B$3*10^12-$A106),$A106,$A107))</f>
        <v>0</v>
      </c>
      <c r="C106" s="0" t="n">
        <f aca="false">IF(IF((C$3*10^12-$A107)*(C$3*10^12-$A106)*-1&lt;0,0,1)*IF(ABS(C$3*10^12-$A107)&gt;(C$3*10^12-$A106),$A106,$A107)=C107,0,IF((C$3*10^12-$A107)*(C$3*10^12-$A106)*-1&lt;0,0,1)*IF(ABS(C$3*10^12-$A107)&gt;(C$3*10^12-$A106),$A106,$A107))</f>
        <v>0</v>
      </c>
      <c r="D106" s="0" t="n">
        <f aca="false">IF(IF((D$3*10^12-$A107)*(D$3*10^12-$A106)*-1&lt;0,0,1)*IF(ABS(D$3*10^12-$A107)&gt;(D$3*10^12-$A106),$A106,$A107)=D107,0,IF((D$3*10^12-$A107)*(D$3*10^12-$A106)*-1&lt;0,0,1)*IF(ABS(D$3*10^12-$A107)&gt;(D$3*10^12-$A106),$A106,$A107))</f>
        <v>0</v>
      </c>
      <c r="E106" s="0" t="n">
        <f aca="false">IF(IF((E$3*10^12-$A107)*(E$3*10^12-$A106)*-1&lt;0,0,1)*IF(ABS(E$3*10^12-$A107)&gt;(E$3*10^12-$A106),$A106,$A107)=E107,0,IF((E$3*10^12-$A107)*(E$3*10^12-$A106)*-1&lt;0,0,1)*IF(ABS(E$3*10^12-$A107)&gt;(E$3*10^12-$A106),$A106,$A107))</f>
        <v>0</v>
      </c>
      <c r="F106" s="0" t="n">
        <f aca="false">IF(IF((F$3*10^12-$A107)*(F$3*10^12-$A106)*-1&lt;0,0,1)*IF(ABS(F$3*10^12-$A107)&gt;(F$3*10^12-$A106),$A106,$A107)=F107,0,IF((F$3*10^12-$A107)*(F$3*10^12-$A106)*-1&lt;0,0,1)*IF(ABS(F$3*10^12-$A107)&gt;(F$3*10^12-$A106),$A106,$A107))</f>
        <v>0</v>
      </c>
      <c r="G106" s="0" t="n">
        <f aca="false">IF(IF((G$3*10^12-$A107)*(G$3*10^12-$A106)*-1&lt;0,0,1)*IF(ABS(G$3*10^12-$A107)&gt;(G$3*10^12-$A106),$A106,$A107)=G107,0,IF((G$3*10^12-$A107)*(G$3*10^12-$A106)*-1&lt;0,0,1)*IF(ABS(G$3*10^12-$A107)&gt;(G$3*10^12-$A106),$A106,$A107))</f>
        <v>0</v>
      </c>
      <c r="H106" s="0" t="n">
        <f aca="false">IF(IF((H$3*10^12-$A107)*(H$3*10^12-$A106)*-1&lt;0,0,1)*IF(ABS(H$3*10^12-$A107)&gt;(H$3*10^12-$A106),$A106,$A107)=H107,0,IF((H$3*10^12-$A107)*(H$3*10^12-$A106)*-1&lt;0,0,1)*IF(ABS(H$3*10^12-$A107)&gt;(H$3*10^12-$A106),$A106,$A107))</f>
        <v>0</v>
      </c>
      <c r="I106" s="0" t="n">
        <f aca="false">IF(IF((I$3*10^12-$A107)*(I$3*10^12-$A106)*-1&lt;0,0,1)*IF(ABS(I$3*10^12-$A107)&gt;(I$3*10^12-$A106),$A106,$A107)=I107,0,IF((I$3*10^12-$A107)*(I$3*10^12-$A106)*-1&lt;0,0,1)*IF(ABS(I$3*10^12-$A107)&gt;(I$3*10^12-$A106),$A106,$A107))</f>
        <v>0</v>
      </c>
      <c r="J106" s="0" t="n">
        <f aca="false">IF(IF((J$3*10^12-$A107)*(J$3*10^12-$A106)*-1&lt;0,0,1)*IF(ABS(J$3*10^12-$A107)&gt;(J$3*10^12-$A106),$A106,$A107)=J107,0,IF((J$3*10^12-$A107)*(J$3*10^12-$A106)*-1&lt;0,0,1)*IF(ABS(J$3*10^12-$A107)&gt;(J$3*10^12-$A106),$A106,$A107))</f>
        <v>0</v>
      </c>
      <c r="K106" s="0" t="n">
        <f aca="false">IF(IF((K$3*10^12-$A107)*(K$3*10^12-$A106)*-1&lt;0,0,1)*IF(ABS(K$3*10^12-$A107)&gt;(K$3*10^12-$A106),$A106,$A107)=K107,0,IF((K$3*10^12-$A107)*(K$3*10^12-$A106)*-1&lt;0,0,1)*IF(ABS(K$3*10^12-$A107)&gt;(K$3*10^12-$A106),$A106,$A107))</f>
        <v>0</v>
      </c>
      <c r="L106" s="0" t="n">
        <f aca="false">IF(IF((L$3*10^12-$A107)*(L$3*10^12-$A106)*-1&lt;0,0,1)*IF(ABS(L$3*10^12-$A107)&gt;(L$3*10^12-$A106),$A106,$A107)=L107,0,IF((L$3*10^12-$A107)*(L$3*10^12-$A106)*-1&lt;0,0,1)*IF(ABS(L$3*10^12-$A107)&gt;(L$3*10^12-$A106),$A106,$A107))</f>
        <v>0</v>
      </c>
      <c r="M106" s="0" t="n">
        <f aca="false">IF(IF((M$3*10^12-$A107)*(M$3*10^12-$A106)*-1&lt;0,0,1)*IF(ABS(M$3*10^12-$A107)&gt;(M$3*10^12-$A106),$A106,$A107)=M107,0,IF((M$3*10^12-$A107)*(M$3*10^12-$A106)*-1&lt;0,0,1)*IF(ABS(M$3*10^12-$A107)&gt;(M$3*10^12-$A106),$A106,$A107))</f>
        <v>0</v>
      </c>
      <c r="N106" s="0" t="e">
        <f aca="false">IF(IF((N$3*10^12-$A107)*(N$3*10^12-$A106)*-1&lt;0,0,1)*IF(ABS(N$3*10^12-$A107)&gt;(N$3*10^12-$A106),$A106,$A107)=N107,0,IF((N$3*10^12-$A107)*(N$3*10^12-$A106)*-1&lt;0,0,1)*IF(ABS(N$3*10^12-$A107)&gt;(N$3*10^12-$A106),$A106,$A107))</f>
        <v>#VALUE!</v>
      </c>
    </row>
    <row r="107" customFormat="false" ht="12.75" hidden="false" customHeight="false" outlineLevel="0" collapsed="false">
      <c r="A107" s="0" t="n">
        <f aca="false">A95*10</f>
        <v>120000000</v>
      </c>
      <c r="B107" s="0" t="n">
        <f aca="false">IF(IF((B$3*10^12-$A108)*(B$3*10^12-$A107)*-1&lt;0,0,1)*IF(ABS(B$3*10^12-$A108)&gt;(B$3*10^12-$A107),$A107,$A108)=B108,0,IF((B$3*10^12-$A108)*(B$3*10^12-$A107)*-1&lt;0,0,1)*IF(ABS(B$3*10^12-$A108)&gt;(B$3*10^12-$A107),$A107,$A108))</f>
        <v>0</v>
      </c>
      <c r="C107" s="0" t="n">
        <f aca="false">IF(IF((C$3*10^12-$A108)*(C$3*10^12-$A107)*-1&lt;0,0,1)*IF(ABS(C$3*10^12-$A108)&gt;(C$3*10^12-$A107),$A107,$A108)=C108,0,IF((C$3*10^12-$A108)*(C$3*10^12-$A107)*-1&lt;0,0,1)*IF(ABS(C$3*10^12-$A108)&gt;(C$3*10^12-$A107),$A107,$A108))</f>
        <v>0</v>
      </c>
      <c r="D107" s="0" t="n">
        <f aca="false">IF(IF((D$3*10^12-$A108)*(D$3*10^12-$A107)*-1&lt;0,0,1)*IF(ABS(D$3*10^12-$A108)&gt;(D$3*10^12-$A107),$A107,$A108)=D108,0,IF((D$3*10^12-$A108)*(D$3*10^12-$A107)*-1&lt;0,0,1)*IF(ABS(D$3*10^12-$A108)&gt;(D$3*10^12-$A107),$A107,$A108))</f>
        <v>0</v>
      </c>
      <c r="E107" s="0" t="n">
        <f aca="false">IF(IF((E$3*10^12-$A108)*(E$3*10^12-$A107)*-1&lt;0,0,1)*IF(ABS(E$3*10^12-$A108)&gt;(E$3*10^12-$A107),$A107,$A108)=E108,0,IF((E$3*10^12-$A108)*(E$3*10^12-$A107)*-1&lt;0,0,1)*IF(ABS(E$3*10^12-$A108)&gt;(E$3*10^12-$A107),$A107,$A108))</f>
        <v>0</v>
      </c>
      <c r="F107" s="0" t="n">
        <f aca="false">IF(IF((F$3*10^12-$A108)*(F$3*10^12-$A107)*-1&lt;0,0,1)*IF(ABS(F$3*10^12-$A108)&gt;(F$3*10^12-$A107),$A107,$A108)=F108,0,IF((F$3*10^12-$A108)*(F$3*10^12-$A107)*-1&lt;0,0,1)*IF(ABS(F$3*10^12-$A108)&gt;(F$3*10^12-$A107),$A107,$A108))</f>
        <v>0</v>
      </c>
      <c r="G107" s="0" t="n">
        <f aca="false">IF(IF((G$3*10^12-$A108)*(G$3*10^12-$A107)*-1&lt;0,0,1)*IF(ABS(G$3*10^12-$A108)&gt;(G$3*10^12-$A107),$A107,$A108)=G108,0,IF((G$3*10^12-$A108)*(G$3*10^12-$A107)*-1&lt;0,0,1)*IF(ABS(G$3*10^12-$A108)&gt;(G$3*10^12-$A107),$A107,$A108))</f>
        <v>0</v>
      </c>
      <c r="H107" s="0" t="n">
        <f aca="false">IF(IF((H$3*10^12-$A108)*(H$3*10^12-$A107)*-1&lt;0,0,1)*IF(ABS(H$3*10^12-$A108)&gt;(H$3*10^12-$A107),$A107,$A108)=H108,0,IF((H$3*10^12-$A108)*(H$3*10^12-$A107)*-1&lt;0,0,1)*IF(ABS(H$3*10^12-$A108)&gt;(H$3*10^12-$A107),$A107,$A108))</f>
        <v>0</v>
      </c>
      <c r="I107" s="0" t="n">
        <f aca="false">IF(IF((I$3*10^12-$A108)*(I$3*10^12-$A107)*-1&lt;0,0,1)*IF(ABS(I$3*10^12-$A108)&gt;(I$3*10^12-$A107),$A107,$A108)=I108,0,IF((I$3*10^12-$A108)*(I$3*10^12-$A107)*-1&lt;0,0,1)*IF(ABS(I$3*10^12-$A108)&gt;(I$3*10^12-$A107),$A107,$A108))</f>
        <v>0</v>
      </c>
      <c r="J107" s="0" t="n">
        <f aca="false">IF(IF((J$3*10^12-$A108)*(J$3*10^12-$A107)*-1&lt;0,0,1)*IF(ABS(J$3*10^12-$A108)&gt;(J$3*10^12-$A107),$A107,$A108)=J108,0,IF((J$3*10^12-$A108)*(J$3*10^12-$A107)*-1&lt;0,0,1)*IF(ABS(J$3*10^12-$A108)&gt;(J$3*10^12-$A107),$A107,$A108))</f>
        <v>0</v>
      </c>
      <c r="K107" s="0" t="n">
        <f aca="false">IF(IF((K$3*10^12-$A108)*(K$3*10^12-$A107)*-1&lt;0,0,1)*IF(ABS(K$3*10^12-$A108)&gt;(K$3*10^12-$A107),$A107,$A108)=K108,0,IF((K$3*10^12-$A108)*(K$3*10^12-$A107)*-1&lt;0,0,1)*IF(ABS(K$3*10^12-$A108)&gt;(K$3*10^12-$A107),$A107,$A108))</f>
        <v>0</v>
      </c>
      <c r="L107" s="0" t="n">
        <f aca="false">IF(IF((L$3*10^12-$A108)*(L$3*10^12-$A107)*-1&lt;0,0,1)*IF(ABS(L$3*10^12-$A108)&gt;(L$3*10^12-$A107),$A107,$A108)=L108,0,IF((L$3*10^12-$A108)*(L$3*10^12-$A107)*-1&lt;0,0,1)*IF(ABS(L$3*10^12-$A108)&gt;(L$3*10^12-$A107),$A107,$A108))</f>
        <v>0</v>
      </c>
      <c r="M107" s="0" t="n">
        <f aca="false">IF(IF((M$3*10^12-$A108)*(M$3*10^12-$A107)*-1&lt;0,0,1)*IF(ABS(M$3*10^12-$A108)&gt;(M$3*10^12-$A107),$A107,$A108)=M108,0,IF((M$3*10^12-$A108)*(M$3*10^12-$A107)*-1&lt;0,0,1)*IF(ABS(M$3*10^12-$A108)&gt;(M$3*10^12-$A107),$A107,$A108))</f>
        <v>0</v>
      </c>
      <c r="N107" s="0" t="e">
        <f aca="false">IF(IF((N$3*10^12-$A108)*(N$3*10^12-$A107)*-1&lt;0,0,1)*IF(ABS(N$3*10^12-$A108)&gt;(N$3*10^12-$A107),$A107,$A108)=N108,0,IF((N$3*10^12-$A108)*(N$3*10^12-$A107)*-1&lt;0,0,1)*IF(ABS(N$3*10^12-$A108)&gt;(N$3*10^12-$A107),$A107,$A108))</f>
        <v>#VALUE!</v>
      </c>
    </row>
    <row r="108" customFormat="false" ht="12.75" hidden="false" customHeight="false" outlineLevel="0" collapsed="false">
      <c r="A108" s="0" t="n">
        <f aca="false">A96*10</f>
        <v>150000000</v>
      </c>
      <c r="B108" s="0" t="n">
        <f aca="false">IF(IF((B$3*10^12-$A109)*(B$3*10^12-$A108)*-1&lt;0,0,1)*IF(ABS(B$3*10^12-$A109)&gt;(B$3*10^12-$A108),$A108,$A109)=B109,0,IF((B$3*10^12-$A109)*(B$3*10^12-$A108)*-1&lt;0,0,1)*IF(ABS(B$3*10^12-$A109)&gt;(B$3*10^12-$A108),$A108,$A109))</f>
        <v>0</v>
      </c>
      <c r="C108" s="0" t="n">
        <f aca="false">IF(IF((C$3*10^12-$A109)*(C$3*10^12-$A108)*-1&lt;0,0,1)*IF(ABS(C$3*10^12-$A109)&gt;(C$3*10^12-$A108),$A108,$A109)=C109,0,IF((C$3*10^12-$A109)*(C$3*10^12-$A108)*-1&lt;0,0,1)*IF(ABS(C$3*10^12-$A109)&gt;(C$3*10^12-$A108),$A108,$A109))</f>
        <v>0</v>
      </c>
      <c r="D108" s="0" t="n">
        <f aca="false">IF(IF((D$3*10^12-$A109)*(D$3*10^12-$A108)*-1&lt;0,0,1)*IF(ABS(D$3*10^12-$A109)&gt;(D$3*10^12-$A108),$A108,$A109)=D109,0,IF((D$3*10^12-$A109)*(D$3*10^12-$A108)*-1&lt;0,0,1)*IF(ABS(D$3*10^12-$A109)&gt;(D$3*10^12-$A108),$A108,$A109))</f>
        <v>0</v>
      </c>
      <c r="E108" s="0" t="n">
        <f aca="false">IF(IF((E$3*10^12-$A109)*(E$3*10^12-$A108)*-1&lt;0,0,1)*IF(ABS(E$3*10^12-$A109)&gt;(E$3*10^12-$A108),$A108,$A109)=E109,0,IF((E$3*10^12-$A109)*(E$3*10^12-$A108)*-1&lt;0,0,1)*IF(ABS(E$3*10^12-$A109)&gt;(E$3*10^12-$A108),$A108,$A109))</f>
        <v>0</v>
      </c>
      <c r="F108" s="0" t="n">
        <f aca="false">IF(IF((F$3*10^12-$A109)*(F$3*10^12-$A108)*-1&lt;0,0,1)*IF(ABS(F$3*10^12-$A109)&gt;(F$3*10^12-$A108),$A108,$A109)=F109,0,IF((F$3*10^12-$A109)*(F$3*10^12-$A108)*-1&lt;0,0,1)*IF(ABS(F$3*10^12-$A109)&gt;(F$3*10^12-$A108),$A108,$A109))</f>
        <v>0</v>
      </c>
      <c r="G108" s="0" t="n">
        <f aca="false">IF(IF((G$3*10^12-$A109)*(G$3*10^12-$A108)*-1&lt;0,0,1)*IF(ABS(G$3*10^12-$A109)&gt;(G$3*10^12-$A108),$A108,$A109)=G109,0,IF((G$3*10^12-$A109)*(G$3*10^12-$A108)*-1&lt;0,0,1)*IF(ABS(G$3*10^12-$A109)&gt;(G$3*10^12-$A108),$A108,$A109))</f>
        <v>0</v>
      </c>
      <c r="H108" s="0" t="n">
        <f aca="false">IF(IF((H$3*10^12-$A109)*(H$3*10^12-$A108)*-1&lt;0,0,1)*IF(ABS(H$3*10^12-$A109)&gt;(H$3*10^12-$A108),$A108,$A109)=H109,0,IF((H$3*10^12-$A109)*(H$3*10^12-$A108)*-1&lt;0,0,1)*IF(ABS(H$3*10^12-$A109)&gt;(H$3*10^12-$A108),$A108,$A109))</f>
        <v>0</v>
      </c>
      <c r="I108" s="0" t="n">
        <f aca="false">IF(IF((I$3*10^12-$A109)*(I$3*10^12-$A108)*-1&lt;0,0,1)*IF(ABS(I$3*10^12-$A109)&gt;(I$3*10^12-$A108),$A108,$A109)=I109,0,IF((I$3*10^12-$A109)*(I$3*10^12-$A108)*-1&lt;0,0,1)*IF(ABS(I$3*10^12-$A109)&gt;(I$3*10^12-$A108),$A108,$A109))</f>
        <v>0</v>
      </c>
      <c r="J108" s="0" t="n">
        <f aca="false">IF(IF((J$3*10^12-$A109)*(J$3*10^12-$A108)*-1&lt;0,0,1)*IF(ABS(J$3*10^12-$A109)&gt;(J$3*10^12-$A108),$A108,$A109)=J109,0,IF((J$3*10^12-$A109)*(J$3*10^12-$A108)*-1&lt;0,0,1)*IF(ABS(J$3*10^12-$A109)&gt;(J$3*10^12-$A108),$A108,$A109))</f>
        <v>0</v>
      </c>
      <c r="K108" s="0" t="n">
        <f aca="false">IF(IF((K$3*10^12-$A109)*(K$3*10^12-$A108)*-1&lt;0,0,1)*IF(ABS(K$3*10^12-$A109)&gt;(K$3*10^12-$A108),$A108,$A109)=K109,0,IF((K$3*10^12-$A109)*(K$3*10^12-$A108)*-1&lt;0,0,1)*IF(ABS(K$3*10^12-$A109)&gt;(K$3*10^12-$A108),$A108,$A109))</f>
        <v>0</v>
      </c>
      <c r="L108" s="0" t="n">
        <f aca="false">IF(IF((L$3*10^12-$A109)*(L$3*10^12-$A108)*-1&lt;0,0,1)*IF(ABS(L$3*10^12-$A109)&gt;(L$3*10^12-$A108),$A108,$A109)=L109,0,IF((L$3*10^12-$A109)*(L$3*10^12-$A108)*-1&lt;0,0,1)*IF(ABS(L$3*10^12-$A109)&gt;(L$3*10^12-$A108),$A108,$A109))</f>
        <v>0</v>
      </c>
      <c r="M108" s="0" t="n">
        <f aca="false">IF(IF((M$3*10^12-$A109)*(M$3*10^12-$A108)*-1&lt;0,0,1)*IF(ABS(M$3*10^12-$A109)&gt;(M$3*10^12-$A108),$A108,$A109)=M109,0,IF((M$3*10^12-$A109)*(M$3*10^12-$A108)*-1&lt;0,0,1)*IF(ABS(M$3*10^12-$A109)&gt;(M$3*10^12-$A108),$A108,$A109))</f>
        <v>0</v>
      </c>
      <c r="N108" s="0" t="e">
        <f aca="false">IF(IF((N$3*10^12-$A109)*(N$3*10^12-$A108)*-1&lt;0,0,1)*IF(ABS(N$3*10^12-$A109)&gt;(N$3*10^12-$A108),$A108,$A109)=N109,0,IF((N$3*10^12-$A109)*(N$3*10^12-$A108)*-1&lt;0,0,1)*IF(ABS(N$3*10^12-$A109)&gt;(N$3*10^12-$A108),$A108,$A109))</f>
        <v>#VALUE!</v>
      </c>
    </row>
    <row r="109" customFormat="false" ht="12.75" hidden="false" customHeight="false" outlineLevel="0" collapsed="false">
      <c r="A109" s="0" t="n">
        <f aca="false">A97*10</f>
        <v>180000000</v>
      </c>
      <c r="B109" s="0" t="n">
        <f aca="false">IF(IF((B$3*10^12-$A110)*(B$3*10^12-$A109)*-1&lt;0,0,1)*IF(ABS(B$3*10^12-$A110)&gt;(B$3*10^12-$A109),$A109,$A110)=B110,0,IF((B$3*10^12-$A110)*(B$3*10^12-$A109)*-1&lt;0,0,1)*IF(ABS(B$3*10^12-$A110)&gt;(B$3*10^12-$A109),$A109,$A110))</f>
        <v>0</v>
      </c>
      <c r="C109" s="0" t="n">
        <f aca="false">IF(IF((C$3*10^12-$A110)*(C$3*10^12-$A109)*-1&lt;0,0,1)*IF(ABS(C$3*10^12-$A110)&gt;(C$3*10^12-$A109),$A109,$A110)=C110,0,IF((C$3*10^12-$A110)*(C$3*10^12-$A109)*-1&lt;0,0,1)*IF(ABS(C$3*10^12-$A110)&gt;(C$3*10^12-$A109),$A109,$A110))</f>
        <v>0</v>
      </c>
      <c r="D109" s="0" t="n">
        <f aca="false">IF(IF((D$3*10^12-$A110)*(D$3*10^12-$A109)*-1&lt;0,0,1)*IF(ABS(D$3*10^12-$A110)&gt;(D$3*10^12-$A109),$A109,$A110)=D110,0,IF((D$3*10^12-$A110)*(D$3*10^12-$A109)*-1&lt;0,0,1)*IF(ABS(D$3*10^12-$A110)&gt;(D$3*10^12-$A109),$A109,$A110))</f>
        <v>0</v>
      </c>
      <c r="E109" s="0" t="n">
        <f aca="false">IF(IF((E$3*10^12-$A110)*(E$3*10^12-$A109)*-1&lt;0,0,1)*IF(ABS(E$3*10^12-$A110)&gt;(E$3*10^12-$A109),$A109,$A110)=E110,0,IF((E$3*10^12-$A110)*(E$3*10^12-$A109)*-1&lt;0,0,1)*IF(ABS(E$3*10^12-$A110)&gt;(E$3*10^12-$A109),$A109,$A110))</f>
        <v>0</v>
      </c>
      <c r="F109" s="0" t="n">
        <f aca="false">IF(IF((F$3*10^12-$A110)*(F$3*10^12-$A109)*-1&lt;0,0,1)*IF(ABS(F$3*10^12-$A110)&gt;(F$3*10^12-$A109),$A109,$A110)=F110,0,IF((F$3*10^12-$A110)*(F$3*10^12-$A109)*-1&lt;0,0,1)*IF(ABS(F$3*10^12-$A110)&gt;(F$3*10^12-$A109),$A109,$A110))</f>
        <v>0</v>
      </c>
      <c r="G109" s="0" t="n">
        <f aca="false">IF(IF((G$3*10^12-$A110)*(G$3*10^12-$A109)*-1&lt;0,0,1)*IF(ABS(G$3*10^12-$A110)&gt;(G$3*10^12-$A109),$A109,$A110)=G110,0,IF((G$3*10^12-$A110)*(G$3*10^12-$A109)*-1&lt;0,0,1)*IF(ABS(G$3*10^12-$A110)&gt;(G$3*10^12-$A109),$A109,$A110))</f>
        <v>0</v>
      </c>
      <c r="H109" s="0" t="n">
        <f aca="false">IF(IF((H$3*10^12-$A110)*(H$3*10^12-$A109)*-1&lt;0,0,1)*IF(ABS(H$3*10^12-$A110)&gt;(H$3*10^12-$A109),$A109,$A110)=H110,0,IF((H$3*10^12-$A110)*(H$3*10^12-$A109)*-1&lt;0,0,1)*IF(ABS(H$3*10^12-$A110)&gt;(H$3*10^12-$A109),$A109,$A110))</f>
        <v>0</v>
      </c>
      <c r="I109" s="0" t="n">
        <f aca="false">IF(IF((I$3*10^12-$A110)*(I$3*10^12-$A109)*-1&lt;0,0,1)*IF(ABS(I$3*10^12-$A110)&gt;(I$3*10^12-$A109),$A109,$A110)=I110,0,IF((I$3*10^12-$A110)*(I$3*10^12-$A109)*-1&lt;0,0,1)*IF(ABS(I$3*10^12-$A110)&gt;(I$3*10^12-$A109),$A109,$A110))</f>
        <v>0</v>
      </c>
      <c r="J109" s="0" t="n">
        <f aca="false">IF(IF((J$3*10^12-$A110)*(J$3*10^12-$A109)*-1&lt;0,0,1)*IF(ABS(J$3*10^12-$A110)&gt;(J$3*10^12-$A109),$A109,$A110)=J110,0,IF((J$3*10^12-$A110)*(J$3*10^12-$A109)*-1&lt;0,0,1)*IF(ABS(J$3*10^12-$A110)&gt;(J$3*10^12-$A109),$A109,$A110))</f>
        <v>0</v>
      </c>
      <c r="K109" s="0" t="n">
        <f aca="false">IF(IF((K$3*10^12-$A110)*(K$3*10^12-$A109)*-1&lt;0,0,1)*IF(ABS(K$3*10^12-$A110)&gt;(K$3*10^12-$A109),$A109,$A110)=K110,0,IF((K$3*10^12-$A110)*(K$3*10^12-$A109)*-1&lt;0,0,1)*IF(ABS(K$3*10^12-$A110)&gt;(K$3*10^12-$A109),$A109,$A110))</f>
        <v>0</v>
      </c>
      <c r="L109" s="0" t="n">
        <f aca="false">IF(IF((L$3*10^12-$A110)*(L$3*10^12-$A109)*-1&lt;0,0,1)*IF(ABS(L$3*10^12-$A110)&gt;(L$3*10^12-$A109),$A109,$A110)=L110,0,IF((L$3*10^12-$A110)*(L$3*10^12-$A109)*-1&lt;0,0,1)*IF(ABS(L$3*10^12-$A110)&gt;(L$3*10^12-$A109),$A109,$A110))</f>
        <v>0</v>
      </c>
      <c r="M109" s="0" t="n">
        <f aca="false">IF(IF((M$3*10^12-$A110)*(M$3*10^12-$A109)*-1&lt;0,0,1)*IF(ABS(M$3*10^12-$A110)&gt;(M$3*10^12-$A109),$A109,$A110)=M110,0,IF((M$3*10^12-$A110)*(M$3*10^12-$A109)*-1&lt;0,0,1)*IF(ABS(M$3*10^12-$A110)&gt;(M$3*10^12-$A109),$A109,$A110))</f>
        <v>0</v>
      </c>
      <c r="N109" s="0" t="e">
        <f aca="false">IF(IF((N$3*10^12-$A110)*(N$3*10^12-$A109)*-1&lt;0,0,1)*IF(ABS(N$3*10^12-$A110)&gt;(N$3*10^12-$A109),$A109,$A110)=N110,0,IF((N$3*10^12-$A110)*(N$3*10^12-$A109)*-1&lt;0,0,1)*IF(ABS(N$3*10^12-$A110)&gt;(N$3*10^12-$A109),$A109,$A110))</f>
        <v>#VALUE!</v>
      </c>
    </row>
    <row r="110" customFormat="false" ht="12.75" hidden="false" customHeight="false" outlineLevel="0" collapsed="false">
      <c r="A110" s="0" t="n">
        <f aca="false">A98*10</f>
        <v>220000000</v>
      </c>
      <c r="B110" s="0" t="n">
        <f aca="false">IF(IF((B$3*10^12-$A111)*(B$3*10^12-$A110)*-1&lt;0,0,1)*IF(ABS(B$3*10^12-$A111)&gt;(B$3*10^12-$A110),$A110,$A111)=B111,0,IF((B$3*10^12-$A111)*(B$3*10^12-$A110)*-1&lt;0,0,1)*IF(ABS(B$3*10^12-$A111)&gt;(B$3*10^12-$A110),$A110,$A111))</f>
        <v>0</v>
      </c>
      <c r="C110" s="0" t="n">
        <f aca="false">IF(IF((C$3*10^12-$A111)*(C$3*10^12-$A110)*-1&lt;0,0,1)*IF(ABS(C$3*10^12-$A111)&gt;(C$3*10^12-$A110),$A110,$A111)=C111,0,IF((C$3*10^12-$A111)*(C$3*10^12-$A110)*-1&lt;0,0,1)*IF(ABS(C$3*10^12-$A111)&gt;(C$3*10^12-$A110),$A110,$A111))</f>
        <v>0</v>
      </c>
      <c r="D110" s="0" t="n">
        <f aca="false">IF(IF((D$3*10^12-$A111)*(D$3*10^12-$A110)*-1&lt;0,0,1)*IF(ABS(D$3*10^12-$A111)&gt;(D$3*10^12-$A110),$A110,$A111)=D111,0,IF((D$3*10^12-$A111)*(D$3*10^12-$A110)*-1&lt;0,0,1)*IF(ABS(D$3*10^12-$A111)&gt;(D$3*10^12-$A110),$A110,$A111))</f>
        <v>0</v>
      </c>
      <c r="E110" s="0" t="n">
        <f aca="false">IF(IF((E$3*10^12-$A111)*(E$3*10^12-$A110)*-1&lt;0,0,1)*IF(ABS(E$3*10^12-$A111)&gt;(E$3*10^12-$A110),$A110,$A111)=E111,0,IF((E$3*10^12-$A111)*(E$3*10^12-$A110)*-1&lt;0,0,1)*IF(ABS(E$3*10^12-$A111)&gt;(E$3*10^12-$A110),$A110,$A111))</f>
        <v>0</v>
      </c>
      <c r="F110" s="0" t="n">
        <f aca="false">IF(IF((F$3*10^12-$A111)*(F$3*10^12-$A110)*-1&lt;0,0,1)*IF(ABS(F$3*10^12-$A111)&gt;(F$3*10^12-$A110),$A110,$A111)=F111,0,IF((F$3*10^12-$A111)*(F$3*10^12-$A110)*-1&lt;0,0,1)*IF(ABS(F$3*10^12-$A111)&gt;(F$3*10^12-$A110),$A110,$A111))</f>
        <v>0</v>
      </c>
      <c r="G110" s="0" t="n">
        <f aca="false">IF(IF((G$3*10^12-$A111)*(G$3*10^12-$A110)*-1&lt;0,0,1)*IF(ABS(G$3*10^12-$A111)&gt;(G$3*10^12-$A110),$A110,$A111)=G111,0,IF((G$3*10^12-$A111)*(G$3*10^12-$A110)*-1&lt;0,0,1)*IF(ABS(G$3*10^12-$A111)&gt;(G$3*10^12-$A110),$A110,$A111))</f>
        <v>0</v>
      </c>
      <c r="H110" s="0" t="n">
        <f aca="false">IF(IF((H$3*10^12-$A111)*(H$3*10^12-$A110)*-1&lt;0,0,1)*IF(ABS(H$3*10^12-$A111)&gt;(H$3*10^12-$A110),$A110,$A111)=H111,0,IF((H$3*10^12-$A111)*(H$3*10^12-$A110)*-1&lt;0,0,1)*IF(ABS(H$3*10^12-$A111)&gt;(H$3*10^12-$A110),$A110,$A111))</f>
        <v>0</v>
      </c>
      <c r="I110" s="0" t="n">
        <f aca="false">IF(IF((I$3*10^12-$A111)*(I$3*10^12-$A110)*-1&lt;0,0,1)*IF(ABS(I$3*10^12-$A111)&gt;(I$3*10^12-$A110),$A110,$A111)=I111,0,IF((I$3*10^12-$A111)*(I$3*10^12-$A110)*-1&lt;0,0,1)*IF(ABS(I$3*10^12-$A111)&gt;(I$3*10^12-$A110),$A110,$A111))</f>
        <v>0</v>
      </c>
      <c r="J110" s="0" t="n">
        <f aca="false">IF(IF((J$3*10^12-$A111)*(J$3*10^12-$A110)*-1&lt;0,0,1)*IF(ABS(J$3*10^12-$A111)&gt;(J$3*10^12-$A110),$A110,$A111)=J111,0,IF((J$3*10^12-$A111)*(J$3*10^12-$A110)*-1&lt;0,0,1)*IF(ABS(J$3*10^12-$A111)&gt;(J$3*10^12-$A110),$A110,$A111))</f>
        <v>0</v>
      </c>
      <c r="K110" s="0" t="n">
        <f aca="false">IF(IF((K$3*10^12-$A111)*(K$3*10^12-$A110)*-1&lt;0,0,1)*IF(ABS(K$3*10^12-$A111)&gt;(K$3*10^12-$A110),$A110,$A111)=K111,0,IF((K$3*10^12-$A111)*(K$3*10^12-$A110)*-1&lt;0,0,1)*IF(ABS(K$3*10^12-$A111)&gt;(K$3*10^12-$A110),$A110,$A111))</f>
        <v>0</v>
      </c>
      <c r="L110" s="0" t="n">
        <f aca="false">IF(IF((L$3*10^12-$A111)*(L$3*10^12-$A110)*-1&lt;0,0,1)*IF(ABS(L$3*10^12-$A111)&gt;(L$3*10^12-$A110),$A110,$A111)=L111,0,IF((L$3*10^12-$A111)*(L$3*10^12-$A110)*-1&lt;0,0,1)*IF(ABS(L$3*10^12-$A111)&gt;(L$3*10^12-$A110),$A110,$A111))</f>
        <v>0</v>
      </c>
      <c r="M110" s="0" t="n">
        <f aca="false">IF(IF((M$3*10^12-$A111)*(M$3*10^12-$A110)*-1&lt;0,0,1)*IF(ABS(M$3*10^12-$A111)&gt;(M$3*10^12-$A110),$A110,$A111)=M111,0,IF((M$3*10^12-$A111)*(M$3*10^12-$A110)*-1&lt;0,0,1)*IF(ABS(M$3*10^12-$A111)&gt;(M$3*10^12-$A110),$A110,$A111))</f>
        <v>0</v>
      </c>
      <c r="N110" s="0" t="e">
        <f aca="false">IF(IF((N$3*10^12-$A111)*(N$3*10^12-$A110)*-1&lt;0,0,1)*IF(ABS(N$3*10^12-$A111)&gt;(N$3*10^12-$A110),$A110,$A111)=N111,0,IF((N$3*10^12-$A111)*(N$3*10^12-$A110)*-1&lt;0,0,1)*IF(ABS(N$3*10^12-$A111)&gt;(N$3*10^12-$A110),$A110,$A111))</f>
        <v>#VALUE!</v>
      </c>
    </row>
    <row r="111" customFormat="false" ht="12.75" hidden="false" customHeight="false" outlineLevel="0" collapsed="false">
      <c r="A111" s="0" t="n">
        <f aca="false">A99*10</f>
        <v>270000000</v>
      </c>
      <c r="B111" s="0" t="n">
        <f aca="false">IF(IF((B$3*10^12-$A112)*(B$3*10^12-$A111)*-1&lt;0,0,1)*IF(ABS(B$3*10^12-$A112)&gt;(B$3*10^12-$A111),$A111,$A112)=B112,0,IF((B$3*10^12-$A112)*(B$3*10^12-$A111)*-1&lt;0,0,1)*IF(ABS(B$3*10^12-$A112)&gt;(B$3*10^12-$A111),$A111,$A112))</f>
        <v>0</v>
      </c>
      <c r="C111" s="0" t="n">
        <f aca="false">IF(IF((C$3*10^12-$A112)*(C$3*10^12-$A111)*-1&lt;0,0,1)*IF(ABS(C$3*10^12-$A112)&gt;(C$3*10^12-$A111),$A111,$A112)=C112,0,IF((C$3*10^12-$A112)*(C$3*10^12-$A111)*-1&lt;0,0,1)*IF(ABS(C$3*10^12-$A112)&gt;(C$3*10^12-$A111),$A111,$A112))</f>
        <v>0</v>
      </c>
      <c r="D111" s="0" t="n">
        <f aca="false">IF(IF((D$3*10^12-$A112)*(D$3*10^12-$A111)*-1&lt;0,0,1)*IF(ABS(D$3*10^12-$A112)&gt;(D$3*10^12-$A111),$A111,$A112)=D112,0,IF((D$3*10^12-$A112)*(D$3*10^12-$A111)*-1&lt;0,0,1)*IF(ABS(D$3*10^12-$A112)&gt;(D$3*10^12-$A111),$A111,$A112))</f>
        <v>0</v>
      </c>
      <c r="E111" s="0" t="n">
        <f aca="false">IF(IF((E$3*10^12-$A112)*(E$3*10^12-$A111)*-1&lt;0,0,1)*IF(ABS(E$3*10^12-$A112)&gt;(E$3*10^12-$A111),$A111,$A112)=E112,0,IF((E$3*10^12-$A112)*(E$3*10^12-$A111)*-1&lt;0,0,1)*IF(ABS(E$3*10^12-$A112)&gt;(E$3*10^12-$A111),$A111,$A112))</f>
        <v>0</v>
      </c>
      <c r="F111" s="0" t="n">
        <f aca="false">IF(IF((F$3*10^12-$A112)*(F$3*10^12-$A111)*-1&lt;0,0,1)*IF(ABS(F$3*10^12-$A112)&gt;(F$3*10^12-$A111),$A111,$A112)=F112,0,IF((F$3*10^12-$A112)*(F$3*10^12-$A111)*-1&lt;0,0,1)*IF(ABS(F$3*10^12-$A112)&gt;(F$3*10^12-$A111),$A111,$A112))</f>
        <v>0</v>
      </c>
      <c r="G111" s="0" t="n">
        <f aca="false">IF(IF((G$3*10^12-$A112)*(G$3*10^12-$A111)*-1&lt;0,0,1)*IF(ABS(G$3*10^12-$A112)&gt;(G$3*10^12-$A111),$A111,$A112)=G112,0,IF((G$3*10^12-$A112)*(G$3*10^12-$A111)*-1&lt;0,0,1)*IF(ABS(G$3*10^12-$A112)&gt;(G$3*10^12-$A111),$A111,$A112))</f>
        <v>0</v>
      </c>
      <c r="H111" s="0" t="n">
        <f aca="false">IF(IF((H$3*10^12-$A112)*(H$3*10^12-$A111)*-1&lt;0,0,1)*IF(ABS(H$3*10^12-$A112)&gt;(H$3*10^12-$A111),$A111,$A112)=H112,0,IF((H$3*10^12-$A112)*(H$3*10^12-$A111)*-1&lt;0,0,1)*IF(ABS(H$3*10^12-$A112)&gt;(H$3*10^12-$A111),$A111,$A112))</f>
        <v>0</v>
      </c>
      <c r="I111" s="0" t="n">
        <f aca="false">IF(IF((I$3*10^12-$A112)*(I$3*10^12-$A111)*-1&lt;0,0,1)*IF(ABS(I$3*10^12-$A112)&gt;(I$3*10^12-$A111),$A111,$A112)=I112,0,IF((I$3*10^12-$A112)*(I$3*10^12-$A111)*-1&lt;0,0,1)*IF(ABS(I$3*10^12-$A112)&gt;(I$3*10^12-$A111),$A111,$A112))</f>
        <v>0</v>
      </c>
      <c r="J111" s="0" t="n">
        <f aca="false">IF(IF((J$3*10^12-$A112)*(J$3*10^12-$A111)*-1&lt;0,0,1)*IF(ABS(J$3*10^12-$A112)&gt;(J$3*10^12-$A111),$A111,$A112)=J112,0,IF((J$3*10^12-$A112)*(J$3*10^12-$A111)*-1&lt;0,0,1)*IF(ABS(J$3*10^12-$A112)&gt;(J$3*10^12-$A111),$A111,$A112))</f>
        <v>0</v>
      </c>
      <c r="K111" s="0" t="n">
        <f aca="false">IF(IF((K$3*10^12-$A112)*(K$3*10^12-$A111)*-1&lt;0,0,1)*IF(ABS(K$3*10^12-$A112)&gt;(K$3*10^12-$A111),$A111,$A112)=K112,0,IF((K$3*10^12-$A112)*(K$3*10^12-$A111)*-1&lt;0,0,1)*IF(ABS(K$3*10^12-$A112)&gt;(K$3*10^12-$A111),$A111,$A112))</f>
        <v>0</v>
      </c>
      <c r="L111" s="0" t="n">
        <f aca="false">IF(IF((L$3*10^12-$A112)*(L$3*10^12-$A111)*-1&lt;0,0,1)*IF(ABS(L$3*10^12-$A112)&gt;(L$3*10^12-$A111),$A111,$A112)=L112,0,IF((L$3*10^12-$A112)*(L$3*10^12-$A111)*-1&lt;0,0,1)*IF(ABS(L$3*10^12-$A112)&gt;(L$3*10^12-$A111),$A111,$A112))</f>
        <v>0</v>
      </c>
      <c r="M111" s="0" t="n">
        <f aca="false">IF(IF((M$3*10^12-$A112)*(M$3*10^12-$A111)*-1&lt;0,0,1)*IF(ABS(M$3*10^12-$A112)&gt;(M$3*10^12-$A111),$A111,$A112)=M112,0,IF((M$3*10^12-$A112)*(M$3*10^12-$A111)*-1&lt;0,0,1)*IF(ABS(M$3*10^12-$A112)&gt;(M$3*10^12-$A111),$A111,$A112))</f>
        <v>0</v>
      </c>
      <c r="N111" s="0" t="e">
        <f aca="false">IF(IF((N$3*10^12-$A112)*(N$3*10^12-$A111)*-1&lt;0,0,1)*IF(ABS(N$3*10^12-$A112)&gt;(N$3*10^12-$A111),$A111,$A112)=N112,0,IF((N$3*10^12-$A112)*(N$3*10^12-$A111)*-1&lt;0,0,1)*IF(ABS(N$3*10^12-$A112)&gt;(N$3*10^12-$A111),$A111,$A112))</f>
        <v>#VALUE!</v>
      </c>
    </row>
    <row r="112" customFormat="false" ht="12.75" hidden="false" customHeight="false" outlineLevel="0" collapsed="false">
      <c r="A112" s="0" t="n">
        <f aca="false">A100*10</f>
        <v>330000000</v>
      </c>
      <c r="B112" s="0" t="n">
        <f aca="false">IF(IF((B$3*10^12-$A113)*(B$3*10^12-$A112)*-1&lt;0,0,1)*IF(ABS(B$3*10^12-$A113)&gt;(B$3*10^12-$A112),$A112,$A113)=B113,0,IF((B$3*10^12-$A113)*(B$3*10^12-$A112)*-1&lt;0,0,1)*IF(ABS(B$3*10^12-$A113)&gt;(B$3*10^12-$A112),$A112,$A113))</f>
        <v>0</v>
      </c>
      <c r="C112" s="0" t="n">
        <f aca="false">IF(IF((C$3*10^12-$A113)*(C$3*10^12-$A112)*-1&lt;0,0,1)*IF(ABS(C$3*10^12-$A113)&gt;(C$3*10^12-$A112),$A112,$A113)=C113,0,IF((C$3*10^12-$A113)*(C$3*10^12-$A112)*-1&lt;0,0,1)*IF(ABS(C$3*10^12-$A113)&gt;(C$3*10^12-$A112),$A112,$A113))</f>
        <v>0</v>
      </c>
      <c r="D112" s="0" t="n">
        <f aca="false">IF(IF((D$3*10^12-$A113)*(D$3*10^12-$A112)*-1&lt;0,0,1)*IF(ABS(D$3*10^12-$A113)&gt;(D$3*10^12-$A112),$A112,$A113)=D113,0,IF((D$3*10^12-$A113)*(D$3*10^12-$A112)*-1&lt;0,0,1)*IF(ABS(D$3*10^12-$A113)&gt;(D$3*10^12-$A112),$A112,$A113))</f>
        <v>0</v>
      </c>
      <c r="E112" s="0" t="n">
        <f aca="false">IF(IF((E$3*10^12-$A113)*(E$3*10^12-$A112)*-1&lt;0,0,1)*IF(ABS(E$3*10^12-$A113)&gt;(E$3*10^12-$A112),$A112,$A113)=E113,0,IF((E$3*10^12-$A113)*(E$3*10^12-$A112)*-1&lt;0,0,1)*IF(ABS(E$3*10^12-$A113)&gt;(E$3*10^12-$A112),$A112,$A113))</f>
        <v>0</v>
      </c>
      <c r="F112" s="0" t="n">
        <f aca="false">IF(IF((F$3*10^12-$A113)*(F$3*10^12-$A112)*-1&lt;0,0,1)*IF(ABS(F$3*10^12-$A113)&gt;(F$3*10^12-$A112),$A112,$A113)=F113,0,IF((F$3*10^12-$A113)*(F$3*10^12-$A112)*-1&lt;0,0,1)*IF(ABS(F$3*10^12-$A113)&gt;(F$3*10^12-$A112),$A112,$A113))</f>
        <v>0</v>
      </c>
      <c r="G112" s="0" t="n">
        <f aca="false">IF(IF((G$3*10^12-$A113)*(G$3*10^12-$A112)*-1&lt;0,0,1)*IF(ABS(G$3*10^12-$A113)&gt;(G$3*10^12-$A112),$A112,$A113)=G113,0,IF((G$3*10^12-$A113)*(G$3*10^12-$A112)*-1&lt;0,0,1)*IF(ABS(G$3*10^12-$A113)&gt;(G$3*10^12-$A112),$A112,$A113))</f>
        <v>0</v>
      </c>
      <c r="H112" s="0" t="n">
        <f aca="false">IF(IF((H$3*10^12-$A113)*(H$3*10^12-$A112)*-1&lt;0,0,1)*IF(ABS(H$3*10^12-$A113)&gt;(H$3*10^12-$A112),$A112,$A113)=H113,0,IF((H$3*10^12-$A113)*(H$3*10^12-$A112)*-1&lt;0,0,1)*IF(ABS(H$3*10^12-$A113)&gt;(H$3*10^12-$A112),$A112,$A113))</f>
        <v>0</v>
      </c>
      <c r="I112" s="0" t="n">
        <f aca="false">IF(IF((I$3*10^12-$A113)*(I$3*10^12-$A112)*-1&lt;0,0,1)*IF(ABS(I$3*10^12-$A113)&gt;(I$3*10^12-$A112),$A112,$A113)=I113,0,IF((I$3*10^12-$A113)*(I$3*10^12-$A112)*-1&lt;0,0,1)*IF(ABS(I$3*10^12-$A113)&gt;(I$3*10^12-$A112),$A112,$A113))</f>
        <v>0</v>
      </c>
      <c r="J112" s="0" t="n">
        <f aca="false">IF(IF((J$3*10^12-$A113)*(J$3*10^12-$A112)*-1&lt;0,0,1)*IF(ABS(J$3*10^12-$A113)&gt;(J$3*10^12-$A112),$A112,$A113)=J113,0,IF((J$3*10^12-$A113)*(J$3*10^12-$A112)*-1&lt;0,0,1)*IF(ABS(J$3*10^12-$A113)&gt;(J$3*10^12-$A112),$A112,$A113))</f>
        <v>0</v>
      </c>
      <c r="K112" s="0" t="n">
        <f aca="false">IF(IF((K$3*10^12-$A113)*(K$3*10^12-$A112)*-1&lt;0,0,1)*IF(ABS(K$3*10^12-$A113)&gt;(K$3*10^12-$A112),$A112,$A113)=K113,0,IF((K$3*10^12-$A113)*(K$3*10^12-$A112)*-1&lt;0,0,1)*IF(ABS(K$3*10^12-$A113)&gt;(K$3*10^12-$A112),$A112,$A113))</f>
        <v>0</v>
      </c>
      <c r="L112" s="0" t="n">
        <f aca="false">IF(IF((L$3*10^12-$A113)*(L$3*10^12-$A112)*-1&lt;0,0,1)*IF(ABS(L$3*10^12-$A113)&gt;(L$3*10^12-$A112),$A112,$A113)=L113,0,IF((L$3*10^12-$A113)*(L$3*10^12-$A112)*-1&lt;0,0,1)*IF(ABS(L$3*10^12-$A113)&gt;(L$3*10^12-$A112),$A112,$A113))</f>
        <v>0</v>
      </c>
      <c r="M112" s="0" t="n">
        <f aca="false">IF(IF((M$3*10^12-$A113)*(M$3*10^12-$A112)*-1&lt;0,0,1)*IF(ABS(M$3*10^12-$A113)&gt;(M$3*10^12-$A112),$A112,$A113)=M113,0,IF((M$3*10^12-$A113)*(M$3*10^12-$A112)*-1&lt;0,0,1)*IF(ABS(M$3*10^12-$A113)&gt;(M$3*10^12-$A112),$A112,$A113))</f>
        <v>0</v>
      </c>
      <c r="N112" s="0" t="e">
        <f aca="false">IF(IF((N$3*10^12-$A113)*(N$3*10^12-$A112)*-1&lt;0,0,1)*IF(ABS(N$3*10^12-$A113)&gt;(N$3*10^12-$A112),$A112,$A113)=N113,0,IF((N$3*10^12-$A113)*(N$3*10^12-$A112)*-1&lt;0,0,1)*IF(ABS(N$3*10^12-$A113)&gt;(N$3*10^12-$A112),$A112,$A113))</f>
        <v>#VALUE!</v>
      </c>
    </row>
    <row r="113" customFormat="false" ht="12.75" hidden="false" customHeight="false" outlineLevel="0" collapsed="false">
      <c r="A113" s="0" t="n">
        <f aca="false">A101*10</f>
        <v>390000000</v>
      </c>
      <c r="B113" s="0" t="n">
        <f aca="false">IF(IF((B$3*10^12-$A114)*(B$3*10^12-$A113)*-1&lt;0,0,1)*IF(ABS(B$3*10^12-$A114)&gt;(B$3*10^12-$A113),$A113,$A114)=B114,0,IF((B$3*10^12-$A114)*(B$3*10^12-$A113)*-1&lt;0,0,1)*IF(ABS(B$3*10^12-$A114)&gt;(B$3*10^12-$A113),$A113,$A114))</f>
        <v>0</v>
      </c>
      <c r="C113" s="0" t="n">
        <f aca="false">IF(IF((C$3*10^12-$A114)*(C$3*10^12-$A113)*-1&lt;0,0,1)*IF(ABS(C$3*10^12-$A114)&gt;(C$3*10^12-$A113),$A113,$A114)=C114,0,IF((C$3*10^12-$A114)*(C$3*10^12-$A113)*-1&lt;0,0,1)*IF(ABS(C$3*10^12-$A114)&gt;(C$3*10^12-$A113),$A113,$A114))</f>
        <v>0</v>
      </c>
      <c r="D113" s="0" t="n">
        <f aca="false">IF(IF((D$3*10^12-$A114)*(D$3*10^12-$A113)*-1&lt;0,0,1)*IF(ABS(D$3*10^12-$A114)&gt;(D$3*10^12-$A113),$A113,$A114)=D114,0,IF((D$3*10^12-$A114)*(D$3*10^12-$A113)*-1&lt;0,0,1)*IF(ABS(D$3*10^12-$A114)&gt;(D$3*10^12-$A113),$A113,$A114))</f>
        <v>0</v>
      </c>
      <c r="E113" s="0" t="n">
        <f aca="false">IF(IF((E$3*10^12-$A114)*(E$3*10^12-$A113)*-1&lt;0,0,1)*IF(ABS(E$3*10^12-$A114)&gt;(E$3*10^12-$A113),$A113,$A114)=E114,0,IF((E$3*10^12-$A114)*(E$3*10^12-$A113)*-1&lt;0,0,1)*IF(ABS(E$3*10^12-$A114)&gt;(E$3*10^12-$A113),$A113,$A114))</f>
        <v>0</v>
      </c>
      <c r="F113" s="0" t="n">
        <f aca="false">IF(IF((F$3*10^12-$A114)*(F$3*10^12-$A113)*-1&lt;0,0,1)*IF(ABS(F$3*10^12-$A114)&gt;(F$3*10^12-$A113),$A113,$A114)=F114,0,IF((F$3*10^12-$A114)*(F$3*10^12-$A113)*-1&lt;0,0,1)*IF(ABS(F$3*10^12-$A114)&gt;(F$3*10^12-$A113),$A113,$A114))</f>
        <v>0</v>
      </c>
      <c r="G113" s="0" t="n">
        <f aca="false">IF(IF((G$3*10^12-$A114)*(G$3*10^12-$A113)*-1&lt;0,0,1)*IF(ABS(G$3*10^12-$A114)&gt;(G$3*10^12-$A113),$A113,$A114)=G114,0,IF((G$3*10^12-$A114)*(G$3*10^12-$A113)*-1&lt;0,0,1)*IF(ABS(G$3*10^12-$A114)&gt;(G$3*10^12-$A113),$A113,$A114))</f>
        <v>0</v>
      </c>
      <c r="H113" s="0" t="n">
        <f aca="false">IF(IF((H$3*10^12-$A114)*(H$3*10^12-$A113)*-1&lt;0,0,1)*IF(ABS(H$3*10^12-$A114)&gt;(H$3*10^12-$A113),$A113,$A114)=H114,0,IF((H$3*10^12-$A114)*(H$3*10^12-$A113)*-1&lt;0,0,1)*IF(ABS(H$3*10^12-$A114)&gt;(H$3*10^12-$A113),$A113,$A114))</f>
        <v>0</v>
      </c>
      <c r="I113" s="0" t="n">
        <f aca="false">IF(IF((I$3*10^12-$A114)*(I$3*10^12-$A113)*-1&lt;0,0,1)*IF(ABS(I$3*10^12-$A114)&gt;(I$3*10^12-$A113),$A113,$A114)=I114,0,IF((I$3*10^12-$A114)*(I$3*10^12-$A113)*-1&lt;0,0,1)*IF(ABS(I$3*10^12-$A114)&gt;(I$3*10^12-$A113),$A113,$A114))</f>
        <v>0</v>
      </c>
      <c r="J113" s="0" t="n">
        <f aca="false">IF(IF((J$3*10^12-$A114)*(J$3*10^12-$A113)*-1&lt;0,0,1)*IF(ABS(J$3*10^12-$A114)&gt;(J$3*10^12-$A113),$A113,$A114)=J114,0,IF((J$3*10^12-$A114)*(J$3*10^12-$A113)*-1&lt;0,0,1)*IF(ABS(J$3*10^12-$A114)&gt;(J$3*10^12-$A113),$A113,$A114))</f>
        <v>0</v>
      </c>
      <c r="K113" s="0" t="n">
        <f aca="false">IF(IF((K$3*10^12-$A114)*(K$3*10^12-$A113)*-1&lt;0,0,1)*IF(ABS(K$3*10^12-$A114)&gt;(K$3*10^12-$A113),$A113,$A114)=K114,0,IF((K$3*10^12-$A114)*(K$3*10^12-$A113)*-1&lt;0,0,1)*IF(ABS(K$3*10^12-$A114)&gt;(K$3*10^12-$A113),$A113,$A114))</f>
        <v>0</v>
      </c>
      <c r="L113" s="0" t="n">
        <f aca="false">IF(IF((L$3*10^12-$A114)*(L$3*10^12-$A113)*-1&lt;0,0,1)*IF(ABS(L$3*10^12-$A114)&gt;(L$3*10^12-$A113),$A113,$A114)=L114,0,IF((L$3*10^12-$A114)*(L$3*10^12-$A113)*-1&lt;0,0,1)*IF(ABS(L$3*10^12-$A114)&gt;(L$3*10^12-$A113),$A113,$A114))</f>
        <v>0</v>
      </c>
      <c r="M113" s="0" t="n">
        <f aca="false">IF(IF((M$3*10^12-$A114)*(M$3*10^12-$A113)*-1&lt;0,0,1)*IF(ABS(M$3*10^12-$A114)&gt;(M$3*10^12-$A113),$A113,$A114)=M114,0,IF((M$3*10^12-$A114)*(M$3*10^12-$A113)*-1&lt;0,0,1)*IF(ABS(M$3*10^12-$A114)&gt;(M$3*10^12-$A113),$A113,$A114))</f>
        <v>0</v>
      </c>
      <c r="N113" s="0" t="e">
        <f aca="false">IF(IF((N$3*10^12-$A114)*(N$3*10^12-$A113)*-1&lt;0,0,1)*IF(ABS(N$3*10^12-$A114)&gt;(N$3*10^12-$A113),$A113,$A114)=N114,0,IF((N$3*10^12-$A114)*(N$3*10^12-$A113)*-1&lt;0,0,1)*IF(ABS(N$3*10^12-$A114)&gt;(N$3*10^12-$A113),$A113,$A114))</f>
        <v>#VALUE!</v>
      </c>
    </row>
    <row r="114" customFormat="false" ht="12.75" hidden="false" customHeight="false" outlineLevel="0" collapsed="false">
      <c r="A114" s="0" t="n">
        <f aca="false">A102*10</f>
        <v>470000000</v>
      </c>
      <c r="B114" s="0" t="n">
        <f aca="false">IF(IF((B$3*10^12-$A115)*(B$3*10^12-$A114)*-1&lt;0,0,1)*IF(ABS(B$3*10^12-$A115)&gt;(B$3*10^12-$A114),$A114,$A115)=B115,0,IF((B$3*10^12-$A115)*(B$3*10^12-$A114)*-1&lt;0,0,1)*IF(ABS(B$3*10^12-$A115)&gt;(B$3*10^12-$A114),$A114,$A115))</f>
        <v>0</v>
      </c>
      <c r="C114" s="0" t="n">
        <f aca="false">IF(IF((C$3*10^12-$A115)*(C$3*10^12-$A114)*-1&lt;0,0,1)*IF(ABS(C$3*10^12-$A115)&gt;(C$3*10^12-$A114),$A114,$A115)=C115,0,IF((C$3*10^12-$A115)*(C$3*10^12-$A114)*-1&lt;0,0,1)*IF(ABS(C$3*10^12-$A115)&gt;(C$3*10^12-$A114),$A114,$A115))</f>
        <v>0</v>
      </c>
      <c r="D114" s="0" t="n">
        <f aca="false">IF(IF((D$3*10^12-$A115)*(D$3*10^12-$A114)*-1&lt;0,0,1)*IF(ABS(D$3*10^12-$A115)&gt;(D$3*10^12-$A114),$A114,$A115)=D115,0,IF((D$3*10^12-$A115)*(D$3*10^12-$A114)*-1&lt;0,0,1)*IF(ABS(D$3*10^12-$A115)&gt;(D$3*10^12-$A114),$A114,$A115))</f>
        <v>0</v>
      </c>
      <c r="E114" s="0" t="n">
        <f aca="false">IF(IF((E$3*10^12-$A115)*(E$3*10^12-$A114)*-1&lt;0,0,1)*IF(ABS(E$3*10^12-$A115)&gt;(E$3*10^12-$A114),$A114,$A115)=E115,0,IF((E$3*10^12-$A115)*(E$3*10^12-$A114)*-1&lt;0,0,1)*IF(ABS(E$3*10^12-$A115)&gt;(E$3*10^12-$A114),$A114,$A115))</f>
        <v>0</v>
      </c>
      <c r="F114" s="0" t="n">
        <f aca="false">IF(IF((F$3*10^12-$A115)*(F$3*10^12-$A114)*-1&lt;0,0,1)*IF(ABS(F$3*10^12-$A115)&gt;(F$3*10^12-$A114),$A114,$A115)=F115,0,IF((F$3*10^12-$A115)*(F$3*10^12-$A114)*-1&lt;0,0,1)*IF(ABS(F$3*10^12-$A115)&gt;(F$3*10^12-$A114),$A114,$A115))</f>
        <v>0</v>
      </c>
      <c r="G114" s="0" t="n">
        <f aca="false">IF(IF((G$3*10^12-$A115)*(G$3*10^12-$A114)*-1&lt;0,0,1)*IF(ABS(G$3*10^12-$A115)&gt;(G$3*10^12-$A114),$A114,$A115)=G115,0,IF((G$3*10^12-$A115)*(G$3*10^12-$A114)*-1&lt;0,0,1)*IF(ABS(G$3*10^12-$A115)&gt;(G$3*10^12-$A114),$A114,$A115))</f>
        <v>0</v>
      </c>
      <c r="H114" s="0" t="n">
        <f aca="false">IF(IF((H$3*10^12-$A115)*(H$3*10^12-$A114)*-1&lt;0,0,1)*IF(ABS(H$3*10^12-$A115)&gt;(H$3*10^12-$A114),$A114,$A115)=H115,0,IF((H$3*10^12-$A115)*(H$3*10^12-$A114)*-1&lt;0,0,1)*IF(ABS(H$3*10^12-$A115)&gt;(H$3*10^12-$A114),$A114,$A115))</f>
        <v>0</v>
      </c>
      <c r="I114" s="0" t="n">
        <f aca="false">IF(IF((I$3*10^12-$A115)*(I$3*10^12-$A114)*-1&lt;0,0,1)*IF(ABS(I$3*10^12-$A115)&gt;(I$3*10^12-$A114),$A114,$A115)=I115,0,IF((I$3*10^12-$A115)*(I$3*10^12-$A114)*-1&lt;0,0,1)*IF(ABS(I$3*10^12-$A115)&gt;(I$3*10^12-$A114),$A114,$A115))</f>
        <v>0</v>
      </c>
      <c r="J114" s="0" t="n">
        <f aca="false">IF(IF((J$3*10^12-$A115)*(J$3*10^12-$A114)*-1&lt;0,0,1)*IF(ABS(J$3*10^12-$A115)&gt;(J$3*10^12-$A114),$A114,$A115)=J115,0,IF((J$3*10^12-$A115)*(J$3*10^12-$A114)*-1&lt;0,0,1)*IF(ABS(J$3*10^12-$A115)&gt;(J$3*10^12-$A114),$A114,$A115))</f>
        <v>0</v>
      </c>
      <c r="K114" s="0" t="n">
        <f aca="false">IF(IF((K$3*10^12-$A115)*(K$3*10^12-$A114)*-1&lt;0,0,1)*IF(ABS(K$3*10^12-$A115)&gt;(K$3*10^12-$A114),$A114,$A115)=K115,0,IF((K$3*10^12-$A115)*(K$3*10^12-$A114)*-1&lt;0,0,1)*IF(ABS(K$3*10^12-$A115)&gt;(K$3*10^12-$A114),$A114,$A115))</f>
        <v>0</v>
      </c>
      <c r="L114" s="0" t="n">
        <f aca="false">IF(IF((L$3*10^12-$A115)*(L$3*10^12-$A114)*-1&lt;0,0,1)*IF(ABS(L$3*10^12-$A115)&gt;(L$3*10^12-$A114),$A114,$A115)=L115,0,IF((L$3*10^12-$A115)*(L$3*10^12-$A114)*-1&lt;0,0,1)*IF(ABS(L$3*10^12-$A115)&gt;(L$3*10^12-$A114),$A114,$A115))</f>
        <v>0</v>
      </c>
      <c r="M114" s="0" t="n">
        <f aca="false">IF(IF((M$3*10^12-$A115)*(M$3*10^12-$A114)*-1&lt;0,0,1)*IF(ABS(M$3*10^12-$A115)&gt;(M$3*10^12-$A114),$A114,$A115)=M115,0,IF((M$3*10^12-$A115)*(M$3*10^12-$A114)*-1&lt;0,0,1)*IF(ABS(M$3*10^12-$A115)&gt;(M$3*10^12-$A114),$A114,$A115))</f>
        <v>0</v>
      </c>
      <c r="N114" s="0" t="e">
        <f aca="false">IF(IF((N$3*10^12-$A115)*(N$3*10^12-$A114)*-1&lt;0,0,1)*IF(ABS(N$3*10^12-$A115)&gt;(N$3*10^12-$A114),$A114,$A115)=N115,0,IF((N$3*10^12-$A115)*(N$3*10^12-$A114)*-1&lt;0,0,1)*IF(ABS(N$3*10^12-$A115)&gt;(N$3*10^12-$A114),$A114,$A115))</f>
        <v>#VALUE!</v>
      </c>
    </row>
    <row r="115" customFormat="false" ht="12.75" hidden="false" customHeight="false" outlineLevel="0" collapsed="false">
      <c r="A115" s="0" t="n">
        <f aca="false">A103*10</f>
        <v>560000000</v>
      </c>
      <c r="B115" s="0" t="n">
        <f aca="false">IF(IF((B$3*10^12-$A116)*(B$3*10^12-$A115)*-1&lt;0,0,1)*IF(ABS(B$3*10^12-$A116)&gt;(B$3*10^12-$A115),$A115,$A116)=B116,0,IF((B$3*10^12-$A116)*(B$3*10^12-$A115)*-1&lt;0,0,1)*IF(ABS(B$3*10^12-$A116)&gt;(B$3*10^12-$A115),$A115,$A116))</f>
        <v>0</v>
      </c>
      <c r="C115" s="0" t="n">
        <f aca="false">IF(IF((C$3*10^12-$A116)*(C$3*10^12-$A115)*-1&lt;0,0,1)*IF(ABS(C$3*10^12-$A116)&gt;(C$3*10^12-$A115),$A115,$A116)=C116,0,IF((C$3*10^12-$A116)*(C$3*10^12-$A115)*-1&lt;0,0,1)*IF(ABS(C$3*10^12-$A116)&gt;(C$3*10^12-$A115),$A115,$A116))</f>
        <v>0</v>
      </c>
      <c r="D115" s="0" t="n">
        <f aca="false">IF(IF((D$3*10^12-$A116)*(D$3*10^12-$A115)*-1&lt;0,0,1)*IF(ABS(D$3*10^12-$A116)&gt;(D$3*10^12-$A115),$A115,$A116)=D116,0,IF((D$3*10^12-$A116)*(D$3*10^12-$A115)*-1&lt;0,0,1)*IF(ABS(D$3*10^12-$A116)&gt;(D$3*10^12-$A115),$A115,$A116))</f>
        <v>0</v>
      </c>
      <c r="E115" s="0" t="n">
        <f aca="false">IF(IF((E$3*10^12-$A116)*(E$3*10^12-$A115)*-1&lt;0,0,1)*IF(ABS(E$3*10^12-$A116)&gt;(E$3*10^12-$A115),$A115,$A116)=E116,0,IF((E$3*10^12-$A116)*(E$3*10^12-$A115)*-1&lt;0,0,1)*IF(ABS(E$3*10^12-$A116)&gt;(E$3*10^12-$A115),$A115,$A116))</f>
        <v>0</v>
      </c>
      <c r="F115" s="0" t="n">
        <f aca="false">IF(IF((F$3*10^12-$A116)*(F$3*10^12-$A115)*-1&lt;0,0,1)*IF(ABS(F$3*10^12-$A116)&gt;(F$3*10^12-$A115),$A115,$A116)=F116,0,IF((F$3*10^12-$A116)*(F$3*10^12-$A115)*-1&lt;0,0,1)*IF(ABS(F$3*10^12-$A116)&gt;(F$3*10^12-$A115),$A115,$A116))</f>
        <v>0</v>
      </c>
      <c r="G115" s="0" t="n">
        <f aca="false">IF(IF((G$3*10^12-$A116)*(G$3*10^12-$A115)*-1&lt;0,0,1)*IF(ABS(G$3*10^12-$A116)&gt;(G$3*10^12-$A115),$A115,$A116)=G116,0,IF((G$3*10^12-$A116)*(G$3*10^12-$A115)*-1&lt;0,0,1)*IF(ABS(G$3*10^12-$A116)&gt;(G$3*10^12-$A115),$A115,$A116))</f>
        <v>0</v>
      </c>
      <c r="H115" s="0" t="n">
        <f aca="false">IF(IF((H$3*10^12-$A116)*(H$3*10^12-$A115)*-1&lt;0,0,1)*IF(ABS(H$3*10^12-$A116)&gt;(H$3*10^12-$A115),$A115,$A116)=H116,0,IF((H$3*10^12-$A116)*(H$3*10^12-$A115)*-1&lt;0,0,1)*IF(ABS(H$3*10^12-$A116)&gt;(H$3*10^12-$A115),$A115,$A116))</f>
        <v>0</v>
      </c>
      <c r="I115" s="0" t="n">
        <f aca="false">IF(IF((I$3*10^12-$A116)*(I$3*10^12-$A115)*-1&lt;0,0,1)*IF(ABS(I$3*10^12-$A116)&gt;(I$3*10^12-$A115),$A115,$A116)=I116,0,IF((I$3*10^12-$A116)*(I$3*10^12-$A115)*-1&lt;0,0,1)*IF(ABS(I$3*10^12-$A116)&gt;(I$3*10^12-$A115),$A115,$A116))</f>
        <v>0</v>
      </c>
      <c r="J115" s="0" t="n">
        <f aca="false">IF(IF((J$3*10^12-$A116)*(J$3*10^12-$A115)*-1&lt;0,0,1)*IF(ABS(J$3*10^12-$A116)&gt;(J$3*10^12-$A115),$A115,$A116)=J116,0,IF((J$3*10^12-$A116)*(J$3*10^12-$A115)*-1&lt;0,0,1)*IF(ABS(J$3*10^12-$A116)&gt;(J$3*10^12-$A115),$A115,$A116))</f>
        <v>0</v>
      </c>
      <c r="K115" s="0" t="n">
        <f aca="false">IF(IF((K$3*10^12-$A116)*(K$3*10^12-$A115)*-1&lt;0,0,1)*IF(ABS(K$3*10^12-$A116)&gt;(K$3*10^12-$A115),$A115,$A116)=K116,0,IF((K$3*10^12-$A116)*(K$3*10^12-$A115)*-1&lt;0,0,1)*IF(ABS(K$3*10^12-$A116)&gt;(K$3*10^12-$A115),$A115,$A116))</f>
        <v>0</v>
      </c>
      <c r="L115" s="0" t="n">
        <f aca="false">IF(IF((L$3*10^12-$A116)*(L$3*10^12-$A115)*-1&lt;0,0,1)*IF(ABS(L$3*10^12-$A116)&gt;(L$3*10^12-$A115),$A115,$A116)=L116,0,IF((L$3*10^12-$A116)*(L$3*10^12-$A115)*-1&lt;0,0,1)*IF(ABS(L$3*10^12-$A116)&gt;(L$3*10^12-$A115),$A115,$A116))</f>
        <v>0</v>
      </c>
      <c r="M115" s="0" t="n">
        <f aca="false">IF(IF((M$3*10^12-$A116)*(M$3*10^12-$A115)*-1&lt;0,0,1)*IF(ABS(M$3*10^12-$A116)&gt;(M$3*10^12-$A115),$A115,$A116)=M116,0,IF((M$3*10^12-$A116)*(M$3*10^12-$A115)*-1&lt;0,0,1)*IF(ABS(M$3*10^12-$A116)&gt;(M$3*10^12-$A115),$A115,$A116))</f>
        <v>0</v>
      </c>
      <c r="N115" s="0" t="e">
        <f aca="false">IF(IF((N$3*10^12-$A116)*(N$3*10^12-$A115)*-1&lt;0,0,1)*IF(ABS(N$3*10^12-$A116)&gt;(N$3*10^12-$A115),$A115,$A116)=N116,0,IF((N$3*10^12-$A116)*(N$3*10^12-$A115)*-1&lt;0,0,1)*IF(ABS(N$3*10^12-$A116)&gt;(N$3*10^12-$A115),$A115,$A116))</f>
        <v>#VALUE!</v>
      </c>
    </row>
    <row r="116" customFormat="false" ht="12.75" hidden="false" customHeight="false" outlineLevel="0" collapsed="false">
      <c r="A116" s="0" t="n">
        <f aca="false">A104*10</f>
        <v>680000000</v>
      </c>
      <c r="B116" s="0" t="n">
        <f aca="false">IF(IF((B$3*10^12-$A117)*(B$3*10^12-$A116)*-1&lt;0,0,1)*IF(ABS(B$3*10^12-$A117)&gt;(B$3*10^12-$A116),$A116,$A117)=B117,0,IF((B$3*10^12-$A117)*(B$3*10^12-$A116)*-1&lt;0,0,1)*IF(ABS(B$3*10^12-$A117)&gt;(B$3*10^12-$A116),$A116,$A117))</f>
        <v>0</v>
      </c>
      <c r="C116" s="0" t="n">
        <f aca="false">IF(IF((C$3*10^12-$A117)*(C$3*10^12-$A116)*-1&lt;0,0,1)*IF(ABS(C$3*10^12-$A117)&gt;(C$3*10^12-$A116),$A116,$A117)=C117,0,IF((C$3*10^12-$A117)*(C$3*10^12-$A116)*-1&lt;0,0,1)*IF(ABS(C$3*10^12-$A117)&gt;(C$3*10^12-$A116),$A116,$A117))</f>
        <v>0</v>
      </c>
      <c r="D116" s="0" t="n">
        <f aca="false">IF(IF((D$3*10^12-$A117)*(D$3*10^12-$A116)*-1&lt;0,0,1)*IF(ABS(D$3*10^12-$A117)&gt;(D$3*10^12-$A116),$A116,$A117)=D117,0,IF((D$3*10^12-$A117)*(D$3*10^12-$A116)*-1&lt;0,0,1)*IF(ABS(D$3*10^12-$A117)&gt;(D$3*10^12-$A116),$A116,$A117))</f>
        <v>0</v>
      </c>
      <c r="E116" s="0" t="n">
        <f aca="false">IF(IF((E$3*10^12-$A117)*(E$3*10^12-$A116)*-1&lt;0,0,1)*IF(ABS(E$3*10^12-$A117)&gt;(E$3*10^12-$A116),$A116,$A117)=E117,0,IF((E$3*10^12-$A117)*(E$3*10^12-$A116)*-1&lt;0,0,1)*IF(ABS(E$3*10^12-$A117)&gt;(E$3*10^12-$A116),$A116,$A117))</f>
        <v>0</v>
      </c>
      <c r="F116" s="0" t="n">
        <f aca="false">IF(IF((F$3*10^12-$A117)*(F$3*10^12-$A116)*-1&lt;0,0,1)*IF(ABS(F$3*10^12-$A117)&gt;(F$3*10^12-$A116),$A116,$A117)=F117,0,IF((F$3*10^12-$A117)*(F$3*10^12-$A116)*-1&lt;0,0,1)*IF(ABS(F$3*10^12-$A117)&gt;(F$3*10^12-$A116),$A116,$A117))</f>
        <v>0</v>
      </c>
      <c r="G116" s="0" t="n">
        <f aca="false">IF(IF((G$3*10^12-$A117)*(G$3*10^12-$A116)*-1&lt;0,0,1)*IF(ABS(G$3*10^12-$A117)&gt;(G$3*10^12-$A116),$A116,$A117)=G117,0,IF((G$3*10^12-$A117)*(G$3*10^12-$A116)*-1&lt;0,0,1)*IF(ABS(G$3*10^12-$A117)&gt;(G$3*10^12-$A116),$A116,$A117))</f>
        <v>0</v>
      </c>
      <c r="H116" s="0" t="n">
        <f aca="false">IF(IF((H$3*10^12-$A117)*(H$3*10^12-$A116)*-1&lt;0,0,1)*IF(ABS(H$3*10^12-$A117)&gt;(H$3*10^12-$A116),$A116,$A117)=H117,0,IF((H$3*10^12-$A117)*(H$3*10^12-$A116)*-1&lt;0,0,1)*IF(ABS(H$3*10^12-$A117)&gt;(H$3*10^12-$A116),$A116,$A117))</f>
        <v>0</v>
      </c>
      <c r="I116" s="0" t="n">
        <f aca="false">IF(IF((I$3*10^12-$A117)*(I$3*10^12-$A116)*-1&lt;0,0,1)*IF(ABS(I$3*10^12-$A117)&gt;(I$3*10^12-$A116),$A116,$A117)=I117,0,IF((I$3*10^12-$A117)*(I$3*10^12-$A116)*-1&lt;0,0,1)*IF(ABS(I$3*10^12-$A117)&gt;(I$3*10^12-$A116),$A116,$A117))</f>
        <v>0</v>
      </c>
      <c r="J116" s="0" t="n">
        <f aca="false">IF(IF((J$3*10^12-$A117)*(J$3*10^12-$A116)*-1&lt;0,0,1)*IF(ABS(J$3*10^12-$A117)&gt;(J$3*10^12-$A116),$A116,$A117)=J117,0,IF((J$3*10^12-$A117)*(J$3*10^12-$A116)*-1&lt;0,0,1)*IF(ABS(J$3*10^12-$A117)&gt;(J$3*10^12-$A116),$A116,$A117))</f>
        <v>0</v>
      </c>
      <c r="K116" s="0" t="n">
        <f aca="false">IF(IF((K$3*10^12-$A117)*(K$3*10^12-$A116)*-1&lt;0,0,1)*IF(ABS(K$3*10^12-$A117)&gt;(K$3*10^12-$A116),$A116,$A117)=K117,0,IF((K$3*10^12-$A117)*(K$3*10^12-$A116)*-1&lt;0,0,1)*IF(ABS(K$3*10^12-$A117)&gt;(K$3*10^12-$A116),$A116,$A117))</f>
        <v>0</v>
      </c>
      <c r="L116" s="0" t="n">
        <f aca="false">IF(IF((L$3*10^12-$A117)*(L$3*10^12-$A116)*-1&lt;0,0,1)*IF(ABS(L$3*10^12-$A117)&gt;(L$3*10^12-$A116),$A116,$A117)=L117,0,IF((L$3*10^12-$A117)*(L$3*10^12-$A116)*-1&lt;0,0,1)*IF(ABS(L$3*10^12-$A117)&gt;(L$3*10^12-$A116),$A116,$A117))</f>
        <v>0</v>
      </c>
      <c r="M116" s="0" t="n">
        <f aca="false">IF(IF((M$3*10^12-$A117)*(M$3*10^12-$A116)*-1&lt;0,0,1)*IF(ABS(M$3*10^12-$A117)&gt;(M$3*10^12-$A116),$A116,$A117)=M117,0,IF((M$3*10^12-$A117)*(M$3*10^12-$A116)*-1&lt;0,0,1)*IF(ABS(M$3*10^12-$A117)&gt;(M$3*10^12-$A116),$A116,$A117))</f>
        <v>0</v>
      </c>
      <c r="N116" s="0" t="e">
        <f aca="false">IF(IF((N$3*10^12-$A117)*(N$3*10^12-$A116)*-1&lt;0,0,1)*IF(ABS(N$3*10^12-$A117)&gt;(N$3*10^12-$A116),$A116,$A117)=N117,0,IF((N$3*10^12-$A117)*(N$3*10^12-$A116)*-1&lt;0,0,1)*IF(ABS(N$3*10^12-$A117)&gt;(N$3*10^12-$A116),$A116,$A117))</f>
        <v>#VALUE!</v>
      </c>
    </row>
    <row r="117" customFormat="false" ht="12.75" hidden="false" customHeight="false" outlineLevel="0" collapsed="false">
      <c r="A117" s="0" t="n">
        <f aca="false">A105*10</f>
        <v>820000000</v>
      </c>
      <c r="B117" s="0" t="n">
        <f aca="false">IF(IF((B$3*10^12-$A118)*(B$3*10^12-$A117)*-1&lt;0,0,1)*IF(ABS(B$3*10^12-$A118)&gt;(B$3*10^12-$A117),$A117,$A118)=B118,0,IF((B$3*10^12-$A118)*(B$3*10^12-$A117)*-1&lt;0,0,1)*IF(ABS(B$3*10^12-$A118)&gt;(B$3*10^12-$A117),$A117,$A118))</f>
        <v>0</v>
      </c>
      <c r="C117" s="0" t="n">
        <f aca="false">IF(IF((C$3*10^12-$A118)*(C$3*10^12-$A117)*-1&lt;0,0,1)*IF(ABS(C$3*10^12-$A118)&gt;(C$3*10^12-$A117),$A117,$A118)=C118,0,IF((C$3*10^12-$A118)*(C$3*10^12-$A117)*-1&lt;0,0,1)*IF(ABS(C$3*10^12-$A118)&gt;(C$3*10^12-$A117),$A117,$A118))</f>
        <v>0</v>
      </c>
      <c r="D117" s="0" t="n">
        <f aca="false">IF(IF((D$3*10^12-$A118)*(D$3*10^12-$A117)*-1&lt;0,0,1)*IF(ABS(D$3*10^12-$A118)&gt;(D$3*10^12-$A117),$A117,$A118)=D118,0,IF((D$3*10^12-$A118)*(D$3*10^12-$A117)*-1&lt;0,0,1)*IF(ABS(D$3*10^12-$A118)&gt;(D$3*10^12-$A117),$A117,$A118))</f>
        <v>0</v>
      </c>
      <c r="E117" s="0" t="n">
        <f aca="false">IF(IF((E$3*10^12-$A118)*(E$3*10^12-$A117)*-1&lt;0,0,1)*IF(ABS(E$3*10^12-$A118)&gt;(E$3*10^12-$A117),$A117,$A118)=E118,0,IF((E$3*10^12-$A118)*(E$3*10^12-$A117)*-1&lt;0,0,1)*IF(ABS(E$3*10^12-$A118)&gt;(E$3*10^12-$A117),$A117,$A118))</f>
        <v>0</v>
      </c>
      <c r="F117" s="0" t="n">
        <f aca="false">IF(IF((F$3*10^12-$A118)*(F$3*10^12-$A117)*-1&lt;0,0,1)*IF(ABS(F$3*10^12-$A118)&gt;(F$3*10^12-$A117),$A117,$A118)=F118,0,IF((F$3*10^12-$A118)*(F$3*10^12-$A117)*-1&lt;0,0,1)*IF(ABS(F$3*10^12-$A118)&gt;(F$3*10^12-$A117),$A117,$A118))</f>
        <v>0</v>
      </c>
      <c r="G117" s="0" t="n">
        <f aca="false">IF(IF((G$3*10^12-$A118)*(G$3*10^12-$A117)*-1&lt;0,0,1)*IF(ABS(G$3*10^12-$A118)&gt;(G$3*10^12-$A117),$A117,$A118)=G118,0,IF((G$3*10^12-$A118)*(G$3*10^12-$A117)*-1&lt;0,0,1)*IF(ABS(G$3*10^12-$A118)&gt;(G$3*10^12-$A117),$A117,$A118))</f>
        <v>0</v>
      </c>
      <c r="H117" s="0" t="n">
        <f aca="false">IF(IF((H$3*10^12-$A118)*(H$3*10^12-$A117)*-1&lt;0,0,1)*IF(ABS(H$3*10^12-$A118)&gt;(H$3*10^12-$A117),$A117,$A118)=H118,0,IF((H$3*10^12-$A118)*(H$3*10^12-$A117)*-1&lt;0,0,1)*IF(ABS(H$3*10^12-$A118)&gt;(H$3*10^12-$A117),$A117,$A118))</f>
        <v>0</v>
      </c>
      <c r="I117" s="0" t="n">
        <f aca="false">IF(IF((I$3*10^12-$A118)*(I$3*10^12-$A117)*-1&lt;0,0,1)*IF(ABS(I$3*10^12-$A118)&gt;(I$3*10^12-$A117),$A117,$A118)=I118,0,IF((I$3*10^12-$A118)*(I$3*10^12-$A117)*-1&lt;0,0,1)*IF(ABS(I$3*10^12-$A118)&gt;(I$3*10^12-$A117),$A117,$A118))</f>
        <v>0</v>
      </c>
      <c r="J117" s="0" t="n">
        <f aca="false">IF(IF((J$3*10^12-$A118)*(J$3*10^12-$A117)*-1&lt;0,0,1)*IF(ABS(J$3*10^12-$A118)&gt;(J$3*10^12-$A117),$A117,$A118)=J118,0,IF((J$3*10^12-$A118)*(J$3*10^12-$A117)*-1&lt;0,0,1)*IF(ABS(J$3*10^12-$A118)&gt;(J$3*10^12-$A117),$A117,$A118))</f>
        <v>0</v>
      </c>
      <c r="K117" s="0" t="n">
        <f aca="false">IF(IF((K$3*10^12-$A118)*(K$3*10^12-$A117)*-1&lt;0,0,1)*IF(ABS(K$3*10^12-$A118)&gt;(K$3*10^12-$A117),$A117,$A118)=K118,0,IF((K$3*10^12-$A118)*(K$3*10^12-$A117)*-1&lt;0,0,1)*IF(ABS(K$3*10^12-$A118)&gt;(K$3*10^12-$A117),$A117,$A118))</f>
        <v>0</v>
      </c>
      <c r="L117" s="0" t="n">
        <f aca="false">IF(IF((L$3*10^12-$A118)*(L$3*10^12-$A117)*-1&lt;0,0,1)*IF(ABS(L$3*10^12-$A118)&gt;(L$3*10^12-$A117),$A117,$A118)=L118,0,IF((L$3*10^12-$A118)*(L$3*10^12-$A117)*-1&lt;0,0,1)*IF(ABS(L$3*10^12-$A118)&gt;(L$3*10^12-$A117),$A117,$A118))</f>
        <v>0</v>
      </c>
      <c r="M117" s="0" t="n">
        <f aca="false">IF(IF((M$3*10^12-$A118)*(M$3*10^12-$A117)*-1&lt;0,0,1)*IF(ABS(M$3*10^12-$A118)&gt;(M$3*10^12-$A117),$A117,$A118)=M118,0,IF((M$3*10^12-$A118)*(M$3*10^12-$A117)*-1&lt;0,0,1)*IF(ABS(M$3*10^12-$A118)&gt;(M$3*10^12-$A117),$A117,$A118))</f>
        <v>0</v>
      </c>
      <c r="N117" s="0" t="e">
        <f aca="false">IF(IF((N$3*10^12-$A118)*(N$3*10^12-$A117)*-1&lt;0,0,1)*IF(ABS(N$3*10^12-$A118)&gt;(N$3*10^12-$A117),$A117,$A118)=N118,0,IF((N$3*10^12-$A118)*(N$3*10^12-$A117)*-1&lt;0,0,1)*IF(ABS(N$3*10^12-$A118)&gt;(N$3*10^12-$A117),$A117,$A118))</f>
        <v>#VALUE!</v>
      </c>
    </row>
    <row r="118" customFormat="false" ht="12.75" hidden="false" customHeight="false" outlineLevel="0" collapsed="false">
      <c r="A118" s="0" t="n">
        <f aca="false">A106*10</f>
        <v>1000000000</v>
      </c>
      <c r="B118" s="0" t="n">
        <f aca="false">IF(IF((B$3*10^12-$A119)*(B$3*10^12-$A118)*-1&lt;0,0,1)*IF(ABS(B$3*10^12-$A119)&gt;(B$3*10^12-$A118),$A118,$A119)=B119,0,IF((B$3*10^12-$A119)*(B$3*10^12-$A118)*-1&lt;0,0,1)*IF(ABS(B$3*10^12-$A119)&gt;(B$3*10^12-$A118),$A118,$A119))</f>
        <v>0</v>
      </c>
      <c r="C118" s="0" t="n">
        <f aca="false">IF(IF((C$3*10^12-$A119)*(C$3*10^12-$A118)*-1&lt;0,0,1)*IF(ABS(C$3*10^12-$A119)&gt;(C$3*10^12-$A118),$A118,$A119)=C119,0,IF((C$3*10^12-$A119)*(C$3*10^12-$A118)*-1&lt;0,0,1)*IF(ABS(C$3*10^12-$A119)&gt;(C$3*10^12-$A118),$A118,$A119))</f>
        <v>0</v>
      </c>
      <c r="D118" s="0" t="n">
        <f aca="false">IF(IF((D$3*10^12-$A119)*(D$3*10^12-$A118)*-1&lt;0,0,1)*IF(ABS(D$3*10^12-$A119)&gt;(D$3*10^12-$A118),$A118,$A119)=D119,0,IF((D$3*10^12-$A119)*(D$3*10^12-$A118)*-1&lt;0,0,1)*IF(ABS(D$3*10^12-$A119)&gt;(D$3*10^12-$A118),$A118,$A119))</f>
        <v>0</v>
      </c>
      <c r="E118" s="0" t="n">
        <f aca="false">IF(IF((E$3*10^12-$A119)*(E$3*10^12-$A118)*-1&lt;0,0,1)*IF(ABS(E$3*10^12-$A119)&gt;(E$3*10^12-$A118),$A118,$A119)=E119,0,IF((E$3*10^12-$A119)*(E$3*10^12-$A118)*-1&lt;0,0,1)*IF(ABS(E$3*10^12-$A119)&gt;(E$3*10^12-$A118),$A118,$A119))</f>
        <v>0</v>
      </c>
      <c r="F118" s="0" t="n">
        <f aca="false">IF(IF((F$3*10^12-$A119)*(F$3*10^12-$A118)*-1&lt;0,0,1)*IF(ABS(F$3*10^12-$A119)&gt;(F$3*10^12-$A118),$A118,$A119)=F119,0,IF((F$3*10^12-$A119)*(F$3*10^12-$A118)*-1&lt;0,0,1)*IF(ABS(F$3*10^12-$A119)&gt;(F$3*10^12-$A118),$A118,$A119))</f>
        <v>0</v>
      </c>
      <c r="G118" s="0" t="n">
        <f aca="false">IF(IF((G$3*10^12-$A119)*(G$3*10^12-$A118)*-1&lt;0,0,1)*IF(ABS(G$3*10^12-$A119)&gt;(G$3*10^12-$A118),$A118,$A119)=G119,0,IF((G$3*10^12-$A119)*(G$3*10^12-$A118)*-1&lt;0,0,1)*IF(ABS(G$3*10^12-$A119)&gt;(G$3*10^12-$A118),$A118,$A119))</f>
        <v>0</v>
      </c>
      <c r="H118" s="0" t="n">
        <f aca="false">IF(IF((H$3*10^12-$A119)*(H$3*10^12-$A118)*-1&lt;0,0,1)*IF(ABS(H$3*10^12-$A119)&gt;(H$3*10^12-$A118),$A118,$A119)=H119,0,IF((H$3*10^12-$A119)*(H$3*10^12-$A118)*-1&lt;0,0,1)*IF(ABS(H$3*10^12-$A119)&gt;(H$3*10^12-$A118),$A118,$A119))</f>
        <v>0</v>
      </c>
      <c r="I118" s="0" t="n">
        <f aca="false">IF(IF((I$3*10^12-$A119)*(I$3*10^12-$A118)*-1&lt;0,0,1)*IF(ABS(I$3*10^12-$A119)&gt;(I$3*10^12-$A118),$A118,$A119)=I119,0,IF((I$3*10^12-$A119)*(I$3*10^12-$A118)*-1&lt;0,0,1)*IF(ABS(I$3*10^12-$A119)&gt;(I$3*10^12-$A118),$A118,$A119))</f>
        <v>0</v>
      </c>
      <c r="J118" s="0" t="n">
        <f aca="false">IF(IF((J$3*10^12-$A119)*(J$3*10^12-$A118)*-1&lt;0,0,1)*IF(ABS(J$3*10^12-$A119)&gt;(J$3*10^12-$A118),$A118,$A119)=J119,0,IF((J$3*10^12-$A119)*(J$3*10^12-$A118)*-1&lt;0,0,1)*IF(ABS(J$3*10^12-$A119)&gt;(J$3*10^12-$A118),$A118,$A119))</f>
        <v>0</v>
      </c>
      <c r="K118" s="0" t="n">
        <f aca="false">IF(IF((K$3*10^12-$A119)*(K$3*10^12-$A118)*-1&lt;0,0,1)*IF(ABS(K$3*10^12-$A119)&gt;(K$3*10^12-$A118),$A118,$A119)=K119,0,IF((K$3*10^12-$A119)*(K$3*10^12-$A118)*-1&lt;0,0,1)*IF(ABS(K$3*10^12-$A119)&gt;(K$3*10^12-$A118),$A118,$A119))</f>
        <v>0</v>
      </c>
      <c r="L118" s="0" t="n">
        <f aca="false">IF(IF((L$3*10^12-$A119)*(L$3*10^12-$A118)*-1&lt;0,0,1)*IF(ABS(L$3*10^12-$A119)&gt;(L$3*10^12-$A118),$A118,$A119)=L119,0,IF((L$3*10^12-$A119)*(L$3*10^12-$A118)*-1&lt;0,0,1)*IF(ABS(L$3*10^12-$A119)&gt;(L$3*10^12-$A118),$A118,$A119))</f>
        <v>0</v>
      </c>
      <c r="M118" s="0" t="n">
        <f aca="false">IF(IF((M$3*10^12-$A119)*(M$3*10^12-$A118)*-1&lt;0,0,1)*IF(ABS(M$3*10^12-$A119)&gt;(M$3*10^12-$A118),$A118,$A119)=M119,0,IF((M$3*10^12-$A119)*(M$3*10^12-$A118)*-1&lt;0,0,1)*IF(ABS(M$3*10^12-$A119)&gt;(M$3*10^12-$A118),$A118,$A119))</f>
        <v>0</v>
      </c>
      <c r="N118" s="0" t="e">
        <f aca="false">IF(IF((N$3*10^12-$A119)*(N$3*10^12-$A118)*-1&lt;0,0,1)*IF(ABS(N$3*10^12-$A119)&gt;(N$3*10^12-$A118),$A118,$A119)=N119,0,IF((N$3*10^12-$A119)*(N$3*10^12-$A118)*-1&lt;0,0,1)*IF(ABS(N$3*10^12-$A119)&gt;(N$3*10^12-$A118),$A118,$A119))</f>
        <v>#VALUE!</v>
      </c>
    </row>
    <row r="119" customFormat="false" ht="12.75" hidden="false" customHeight="false" outlineLevel="0" collapsed="false">
      <c r="A119" s="0" t="n">
        <f aca="false">A107*10</f>
        <v>1200000000</v>
      </c>
      <c r="B119" s="0" t="n">
        <f aca="false">IF(IF((B$3*10^12-$A120)*(B$3*10^12-$A119)*-1&lt;0,0,1)*IF(ABS(B$3*10^12-$A120)&gt;(B$3*10^12-$A119),$A119,$A120)=B120,0,IF((B$3*10^12-$A120)*(B$3*10^12-$A119)*-1&lt;0,0,1)*IF(ABS(B$3*10^12-$A120)&gt;(B$3*10^12-$A119),$A119,$A120))</f>
        <v>0</v>
      </c>
      <c r="C119" s="0" t="n">
        <f aca="false">IF(IF((C$3*10^12-$A120)*(C$3*10^12-$A119)*-1&lt;0,0,1)*IF(ABS(C$3*10^12-$A120)&gt;(C$3*10^12-$A119),$A119,$A120)=C120,0,IF((C$3*10^12-$A120)*(C$3*10^12-$A119)*-1&lt;0,0,1)*IF(ABS(C$3*10^12-$A120)&gt;(C$3*10^12-$A119),$A119,$A120))</f>
        <v>0</v>
      </c>
      <c r="D119" s="0" t="n">
        <f aca="false">IF(IF((D$3*10^12-$A120)*(D$3*10^12-$A119)*-1&lt;0,0,1)*IF(ABS(D$3*10^12-$A120)&gt;(D$3*10^12-$A119),$A119,$A120)=D120,0,IF((D$3*10^12-$A120)*(D$3*10^12-$A119)*-1&lt;0,0,1)*IF(ABS(D$3*10^12-$A120)&gt;(D$3*10^12-$A119),$A119,$A120))</f>
        <v>0</v>
      </c>
      <c r="E119" s="0" t="n">
        <f aca="false">IF(IF((E$3*10^12-$A120)*(E$3*10^12-$A119)*-1&lt;0,0,1)*IF(ABS(E$3*10^12-$A120)&gt;(E$3*10^12-$A119),$A119,$A120)=E120,0,IF((E$3*10^12-$A120)*(E$3*10^12-$A119)*-1&lt;0,0,1)*IF(ABS(E$3*10^12-$A120)&gt;(E$3*10^12-$A119),$A119,$A120))</f>
        <v>0</v>
      </c>
      <c r="F119" s="0" t="n">
        <f aca="false">IF(IF((F$3*10^12-$A120)*(F$3*10^12-$A119)*-1&lt;0,0,1)*IF(ABS(F$3*10^12-$A120)&gt;(F$3*10^12-$A119),$A119,$A120)=F120,0,IF((F$3*10^12-$A120)*(F$3*10^12-$A119)*-1&lt;0,0,1)*IF(ABS(F$3*10^12-$A120)&gt;(F$3*10^12-$A119),$A119,$A120))</f>
        <v>0</v>
      </c>
      <c r="G119" s="0" t="n">
        <f aca="false">IF(IF((G$3*10^12-$A120)*(G$3*10^12-$A119)*-1&lt;0,0,1)*IF(ABS(G$3*10^12-$A120)&gt;(G$3*10^12-$A119),$A119,$A120)=G120,0,IF((G$3*10^12-$A120)*(G$3*10^12-$A119)*-1&lt;0,0,1)*IF(ABS(G$3*10^12-$A120)&gt;(G$3*10^12-$A119),$A119,$A120))</f>
        <v>0</v>
      </c>
      <c r="H119" s="0" t="n">
        <f aca="false">IF(IF((H$3*10^12-$A120)*(H$3*10^12-$A119)*-1&lt;0,0,1)*IF(ABS(H$3*10^12-$A120)&gt;(H$3*10^12-$A119),$A119,$A120)=H120,0,IF((H$3*10^12-$A120)*(H$3*10^12-$A119)*-1&lt;0,0,1)*IF(ABS(H$3*10^12-$A120)&gt;(H$3*10^12-$A119),$A119,$A120))</f>
        <v>0</v>
      </c>
      <c r="I119" s="0" t="n">
        <f aca="false">IF(IF((I$3*10^12-$A120)*(I$3*10^12-$A119)*-1&lt;0,0,1)*IF(ABS(I$3*10^12-$A120)&gt;(I$3*10^12-$A119),$A119,$A120)=I120,0,IF((I$3*10^12-$A120)*(I$3*10^12-$A119)*-1&lt;0,0,1)*IF(ABS(I$3*10^12-$A120)&gt;(I$3*10^12-$A119),$A119,$A120))</f>
        <v>0</v>
      </c>
      <c r="J119" s="0" t="n">
        <f aca="false">IF(IF((J$3*10^12-$A120)*(J$3*10^12-$A119)*-1&lt;0,0,1)*IF(ABS(J$3*10^12-$A120)&gt;(J$3*10^12-$A119),$A119,$A120)=J120,0,IF((J$3*10^12-$A120)*(J$3*10^12-$A119)*-1&lt;0,0,1)*IF(ABS(J$3*10^12-$A120)&gt;(J$3*10^12-$A119),$A119,$A120))</f>
        <v>0</v>
      </c>
      <c r="K119" s="0" t="n">
        <f aca="false">IF(IF((K$3*10^12-$A120)*(K$3*10^12-$A119)*-1&lt;0,0,1)*IF(ABS(K$3*10^12-$A120)&gt;(K$3*10^12-$A119),$A119,$A120)=K120,0,IF((K$3*10^12-$A120)*(K$3*10^12-$A119)*-1&lt;0,0,1)*IF(ABS(K$3*10^12-$A120)&gt;(K$3*10^12-$A119),$A119,$A120))</f>
        <v>0</v>
      </c>
      <c r="L119" s="0" t="n">
        <f aca="false">IF(IF((L$3*10^12-$A120)*(L$3*10^12-$A119)*-1&lt;0,0,1)*IF(ABS(L$3*10^12-$A120)&gt;(L$3*10^12-$A119),$A119,$A120)=L120,0,IF((L$3*10^12-$A120)*(L$3*10^12-$A119)*-1&lt;0,0,1)*IF(ABS(L$3*10^12-$A120)&gt;(L$3*10^12-$A119),$A119,$A120))</f>
        <v>0</v>
      </c>
      <c r="M119" s="0" t="n">
        <f aca="false">IF(IF((M$3*10^12-$A120)*(M$3*10^12-$A119)*-1&lt;0,0,1)*IF(ABS(M$3*10^12-$A120)&gt;(M$3*10^12-$A119),$A119,$A120)=M120,0,IF((M$3*10^12-$A120)*(M$3*10^12-$A119)*-1&lt;0,0,1)*IF(ABS(M$3*10^12-$A120)&gt;(M$3*10^12-$A119),$A119,$A120))</f>
        <v>0</v>
      </c>
      <c r="N119" s="0" t="e">
        <f aca="false">IF(IF((N$3*10^12-$A120)*(N$3*10^12-$A119)*-1&lt;0,0,1)*IF(ABS(N$3*10^12-$A120)&gt;(N$3*10^12-$A119),$A119,$A120)=N120,0,IF((N$3*10^12-$A120)*(N$3*10^12-$A119)*-1&lt;0,0,1)*IF(ABS(N$3*10^12-$A120)&gt;(N$3*10^12-$A119),$A119,$A120))</f>
        <v>#VALUE!</v>
      </c>
    </row>
    <row r="120" customFormat="false" ht="12.75" hidden="false" customHeight="false" outlineLevel="0" collapsed="false">
      <c r="A120" s="0" t="n">
        <f aca="false">A108*10</f>
        <v>1500000000</v>
      </c>
      <c r="B120" s="0" t="n">
        <f aca="false">IF(IF((B$3*10^12-$A121)*(B$3*10^12-$A120)*-1&lt;0,0,1)*IF(ABS(B$3*10^12-$A121)&gt;(B$3*10^12-$A120),$A120,$A121)=B121,0,IF((B$3*10^12-$A121)*(B$3*10^12-$A120)*-1&lt;0,0,1)*IF(ABS(B$3*10^12-$A121)&gt;(B$3*10^12-$A120),$A120,$A121))</f>
        <v>0</v>
      </c>
      <c r="C120" s="0" t="n">
        <f aca="false">IF(IF((C$3*10^12-$A121)*(C$3*10^12-$A120)*-1&lt;0,0,1)*IF(ABS(C$3*10^12-$A121)&gt;(C$3*10^12-$A120),$A120,$A121)=C121,0,IF((C$3*10^12-$A121)*(C$3*10^12-$A120)*-1&lt;0,0,1)*IF(ABS(C$3*10^12-$A121)&gt;(C$3*10^12-$A120),$A120,$A121))</f>
        <v>0</v>
      </c>
      <c r="D120" s="0" t="n">
        <f aca="false">IF(IF((D$3*10^12-$A121)*(D$3*10^12-$A120)*-1&lt;0,0,1)*IF(ABS(D$3*10^12-$A121)&gt;(D$3*10^12-$A120),$A120,$A121)=D121,0,IF((D$3*10^12-$A121)*(D$3*10^12-$A120)*-1&lt;0,0,1)*IF(ABS(D$3*10^12-$A121)&gt;(D$3*10^12-$A120),$A120,$A121))</f>
        <v>0</v>
      </c>
      <c r="E120" s="0" t="n">
        <f aca="false">IF(IF((E$3*10^12-$A121)*(E$3*10^12-$A120)*-1&lt;0,0,1)*IF(ABS(E$3*10^12-$A121)&gt;(E$3*10^12-$A120),$A120,$A121)=E121,0,IF((E$3*10^12-$A121)*(E$3*10^12-$A120)*-1&lt;0,0,1)*IF(ABS(E$3*10^12-$A121)&gt;(E$3*10^12-$A120),$A120,$A121))</f>
        <v>0</v>
      </c>
      <c r="F120" s="0" t="n">
        <f aca="false">IF(IF((F$3*10^12-$A121)*(F$3*10^12-$A120)*-1&lt;0,0,1)*IF(ABS(F$3*10^12-$A121)&gt;(F$3*10^12-$A120),$A120,$A121)=F121,0,IF((F$3*10^12-$A121)*(F$3*10^12-$A120)*-1&lt;0,0,1)*IF(ABS(F$3*10^12-$A121)&gt;(F$3*10^12-$A120),$A120,$A121))</f>
        <v>0</v>
      </c>
      <c r="G120" s="0" t="n">
        <f aca="false">IF(IF((G$3*10^12-$A121)*(G$3*10^12-$A120)*-1&lt;0,0,1)*IF(ABS(G$3*10^12-$A121)&gt;(G$3*10^12-$A120),$A120,$A121)=G121,0,IF((G$3*10^12-$A121)*(G$3*10^12-$A120)*-1&lt;0,0,1)*IF(ABS(G$3*10^12-$A121)&gt;(G$3*10^12-$A120),$A120,$A121))</f>
        <v>0</v>
      </c>
      <c r="H120" s="0" t="n">
        <f aca="false">IF(IF((H$3*10^12-$A121)*(H$3*10^12-$A120)*-1&lt;0,0,1)*IF(ABS(H$3*10^12-$A121)&gt;(H$3*10^12-$A120),$A120,$A121)=H121,0,IF((H$3*10^12-$A121)*(H$3*10^12-$A120)*-1&lt;0,0,1)*IF(ABS(H$3*10^12-$A121)&gt;(H$3*10^12-$A120),$A120,$A121))</f>
        <v>0</v>
      </c>
      <c r="I120" s="0" t="n">
        <f aca="false">IF(IF((I$3*10^12-$A121)*(I$3*10^12-$A120)*-1&lt;0,0,1)*IF(ABS(I$3*10^12-$A121)&gt;(I$3*10^12-$A120),$A120,$A121)=I121,0,IF((I$3*10^12-$A121)*(I$3*10^12-$A120)*-1&lt;0,0,1)*IF(ABS(I$3*10^12-$A121)&gt;(I$3*10^12-$A120),$A120,$A121))</f>
        <v>0</v>
      </c>
      <c r="J120" s="0" t="n">
        <f aca="false">IF(IF((J$3*10^12-$A121)*(J$3*10^12-$A120)*-1&lt;0,0,1)*IF(ABS(J$3*10^12-$A121)&gt;(J$3*10^12-$A120),$A120,$A121)=J121,0,IF((J$3*10^12-$A121)*(J$3*10^12-$A120)*-1&lt;0,0,1)*IF(ABS(J$3*10^12-$A121)&gt;(J$3*10^12-$A120),$A120,$A121))</f>
        <v>0</v>
      </c>
      <c r="K120" s="0" t="n">
        <f aca="false">IF(IF((K$3*10^12-$A121)*(K$3*10^12-$A120)*-1&lt;0,0,1)*IF(ABS(K$3*10^12-$A121)&gt;(K$3*10^12-$A120),$A120,$A121)=K121,0,IF((K$3*10^12-$A121)*(K$3*10^12-$A120)*-1&lt;0,0,1)*IF(ABS(K$3*10^12-$A121)&gt;(K$3*10^12-$A120),$A120,$A121))</f>
        <v>0</v>
      </c>
      <c r="L120" s="0" t="n">
        <f aca="false">IF(IF((L$3*10^12-$A121)*(L$3*10^12-$A120)*-1&lt;0,0,1)*IF(ABS(L$3*10^12-$A121)&gt;(L$3*10^12-$A120),$A120,$A121)=L121,0,IF((L$3*10^12-$A121)*(L$3*10^12-$A120)*-1&lt;0,0,1)*IF(ABS(L$3*10^12-$A121)&gt;(L$3*10^12-$A120),$A120,$A121))</f>
        <v>0</v>
      </c>
      <c r="M120" s="0" t="n">
        <f aca="false">IF(IF((M$3*10^12-$A121)*(M$3*10^12-$A120)*-1&lt;0,0,1)*IF(ABS(M$3*10^12-$A121)&gt;(M$3*10^12-$A120),$A120,$A121)=M121,0,IF((M$3*10^12-$A121)*(M$3*10^12-$A120)*-1&lt;0,0,1)*IF(ABS(M$3*10^12-$A121)&gt;(M$3*10^12-$A120),$A120,$A121))</f>
        <v>0</v>
      </c>
      <c r="N120" s="0" t="e">
        <f aca="false">IF(IF((N$3*10^12-$A121)*(N$3*10^12-$A120)*-1&lt;0,0,1)*IF(ABS(N$3*10^12-$A121)&gt;(N$3*10^12-$A120),$A120,$A121)=N121,0,IF((N$3*10^12-$A121)*(N$3*10^12-$A120)*-1&lt;0,0,1)*IF(ABS(N$3*10^12-$A121)&gt;(N$3*10^12-$A120),$A120,$A121))</f>
        <v>#VALUE!</v>
      </c>
    </row>
    <row r="121" customFormat="false" ht="12.75" hidden="false" customHeight="false" outlineLevel="0" collapsed="false">
      <c r="A121" s="0" t="n">
        <f aca="false">A109*10</f>
        <v>1800000000</v>
      </c>
      <c r="B121" s="0" t="n">
        <f aca="false">IF(IF((B$3*10^12-$A122)*(B$3*10^12-$A121)*-1&lt;0,0,1)*IF(ABS(B$3*10^12-$A122)&gt;(B$3*10^12-$A121),$A121,$A122)=B122,0,IF((B$3*10^12-$A122)*(B$3*10^12-$A121)*-1&lt;0,0,1)*IF(ABS(B$3*10^12-$A122)&gt;(B$3*10^12-$A121),$A121,$A122))</f>
        <v>0</v>
      </c>
      <c r="C121" s="0" t="n">
        <f aca="false">IF(IF((C$3*10^12-$A122)*(C$3*10^12-$A121)*-1&lt;0,0,1)*IF(ABS(C$3*10^12-$A122)&gt;(C$3*10^12-$A121),$A121,$A122)=C122,0,IF((C$3*10^12-$A122)*(C$3*10^12-$A121)*-1&lt;0,0,1)*IF(ABS(C$3*10^12-$A122)&gt;(C$3*10^12-$A121),$A121,$A122))</f>
        <v>0</v>
      </c>
      <c r="D121" s="0" t="n">
        <f aca="false">IF(IF((D$3*10^12-$A122)*(D$3*10^12-$A121)*-1&lt;0,0,1)*IF(ABS(D$3*10^12-$A122)&gt;(D$3*10^12-$A121),$A121,$A122)=D122,0,IF((D$3*10^12-$A122)*(D$3*10^12-$A121)*-1&lt;0,0,1)*IF(ABS(D$3*10^12-$A122)&gt;(D$3*10^12-$A121),$A121,$A122))</f>
        <v>0</v>
      </c>
      <c r="E121" s="0" t="n">
        <f aca="false">IF(IF((E$3*10^12-$A122)*(E$3*10^12-$A121)*-1&lt;0,0,1)*IF(ABS(E$3*10^12-$A122)&gt;(E$3*10^12-$A121),$A121,$A122)=E122,0,IF((E$3*10^12-$A122)*(E$3*10^12-$A121)*-1&lt;0,0,1)*IF(ABS(E$3*10^12-$A122)&gt;(E$3*10^12-$A121),$A121,$A122))</f>
        <v>0</v>
      </c>
      <c r="F121" s="0" t="n">
        <f aca="false">IF(IF((F$3*10^12-$A122)*(F$3*10^12-$A121)*-1&lt;0,0,1)*IF(ABS(F$3*10^12-$A122)&gt;(F$3*10^12-$A121),$A121,$A122)=F122,0,IF((F$3*10^12-$A122)*(F$3*10^12-$A121)*-1&lt;0,0,1)*IF(ABS(F$3*10^12-$A122)&gt;(F$3*10^12-$A121),$A121,$A122))</f>
        <v>0</v>
      </c>
      <c r="G121" s="0" t="n">
        <f aca="false">IF(IF((G$3*10^12-$A122)*(G$3*10^12-$A121)*-1&lt;0,0,1)*IF(ABS(G$3*10^12-$A122)&gt;(G$3*10^12-$A121),$A121,$A122)=G122,0,IF((G$3*10^12-$A122)*(G$3*10^12-$A121)*-1&lt;0,0,1)*IF(ABS(G$3*10^12-$A122)&gt;(G$3*10^12-$A121),$A121,$A122))</f>
        <v>0</v>
      </c>
      <c r="H121" s="0" t="n">
        <f aca="false">IF(IF((H$3*10^12-$A122)*(H$3*10^12-$A121)*-1&lt;0,0,1)*IF(ABS(H$3*10^12-$A122)&gt;(H$3*10^12-$A121),$A121,$A122)=H122,0,IF((H$3*10^12-$A122)*(H$3*10^12-$A121)*-1&lt;0,0,1)*IF(ABS(H$3*10^12-$A122)&gt;(H$3*10^12-$A121),$A121,$A122))</f>
        <v>0</v>
      </c>
      <c r="I121" s="0" t="n">
        <f aca="false">IF(IF((I$3*10^12-$A122)*(I$3*10^12-$A121)*-1&lt;0,0,1)*IF(ABS(I$3*10^12-$A122)&gt;(I$3*10^12-$A121),$A121,$A122)=I122,0,IF((I$3*10^12-$A122)*(I$3*10^12-$A121)*-1&lt;0,0,1)*IF(ABS(I$3*10^12-$A122)&gt;(I$3*10^12-$A121),$A121,$A122))</f>
        <v>0</v>
      </c>
      <c r="J121" s="0" t="n">
        <f aca="false">IF(IF((J$3*10^12-$A122)*(J$3*10^12-$A121)*-1&lt;0,0,1)*IF(ABS(J$3*10^12-$A122)&gt;(J$3*10^12-$A121),$A121,$A122)=J122,0,IF((J$3*10^12-$A122)*(J$3*10^12-$A121)*-1&lt;0,0,1)*IF(ABS(J$3*10^12-$A122)&gt;(J$3*10^12-$A121),$A121,$A122))</f>
        <v>0</v>
      </c>
      <c r="K121" s="0" t="n">
        <f aca="false">IF(IF((K$3*10^12-$A122)*(K$3*10^12-$A121)*-1&lt;0,0,1)*IF(ABS(K$3*10^12-$A122)&gt;(K$3*10^12-$A121),$A121,$A122)=K122,0,IF((K$3*10^12-$A122)*(K$3*10^12-$A121)*-1&lt;0,0,1)*IF(ABS(K$3*10^12-$A122)&gt;(K$3*10^12-$A121),$A121,$A122))</f>
        <v>0</v>
      </c>
      <c r="L121" s="0" t="n">
        <f aca="false">IF(IF((L$3*10^12-$A122)*(L$3*10^12-$A121)*-1&lt;0,0,1)*IF(ABS(L$3*10^12-$A122)&gt;(L$3*10^12-$A121),$A121,$A122)=L122,0,IF((L$3*10^12-$A122)*(L$3*10^12-$A121)*-1&lt;0,0,1)*IF(ABS(L$3*10^12-$A122)&gt;(L$3*10^12-$A121),$A121,$A122))</f>
        <v>0</v>
      </c>
      <c r="M121" s="0" t="n">
        <f aca="false">IF(IF((M$3*10^12-$A122)*(M$3*10^12-$A121)*-1&lt;0,0,1)*IF(ABS(M$3*10^12-$A122)&gt;(M$3*10^12-$A121),$A121,$A122)=M122,0,IF((M$3*10^12-$A122)*(M$3*10^12-$A121)*-1&lt;0,0,1)*IF(ABS(M$3*10^12-$A122)&gt;(M$3*10^12-$A121),$A121,$A122))</f>
        <v>0</v>
      </c>
      <c r="N121" s="0" t="e">
        <f aca="false">IF(IF((N$3*10^12-$A122)*(N$3*10^12-$A121)*-1&lt;0,0,1)*IF(ABS(N$3*10^12-$A122)&gt;(N$3*10^12-$A121),$A121,$A122)=N122,0,IF((N$3*10^12-$A122)*(N$3*10^12-$A121)*-1&lt;0,0,1)*IF(ABS(N$3*10^12-$A122)&gt;(N$3*10^12-$A121),$A121,$A122))</f>
        <v>#VALUE!</v>
      </c>
    </row>
    <row r="122" customFormat="false" ht="12.75" hidden="false" customHeight="false" outlineLevel="0" collapsed="false">
      <c r="A122" s="0" t="n">
        <f aca="false">A110*10</f>
        <v>2200000000</v>
      </c>
      <c r="B122" s="0" t="n">
        <f aca="false">IF(IF((B$3*10^12-$A123)*(B$3*10^12-$A122)*-1&lt;0,0,1)*IF(ABS(B$3*10^12-$A123)&gt;(B$3*10^12-$A122),$A122,$A123)=B123,0,IF((B$3*10^12-$A123)*(B$3*10^12-$A122)*-1&lt;0,0,1)*IF(ABS(B$3*10^12-$A123)&gt;(B$3*10^12-$A122),$A122,$A123))</f>
        <v>0</v>
      </c>
      <c r="C122" s="0" t="n">
        <f aca="false">IF(IF((C$3*10^12-$A123)*(C$3*10^12-$A122)*-1&lt;0,0,1)*IF(ABS(C$3*10^12-$A123)&gt;(C$3*10^12-$A122),$A122,$A123)=C123,0,IF((C$3*10^12-$A123)*(C$3*10^12-$A122)*-1&lt;0,0,1)*IF(ABS(C$3*10^12-$A123)&gt;(C$3*10^12-$A122),$A122,$A123))</f>
        <v>0</v>
      </c>
      <c r="D122" s="0" t="n">
        <f aca="false">IF(IF((D$3*10^12-$A123)*(D$3*10^12-$A122)*-1&lt;0,0,1)*IF(ABS(D$3*10^12-$A123)&gt;(D$3*10^12-$A122),$A122,$A123)=D123,0,IF((D$3*10^12-$A123)*(D$3*10^12-$A122)*-1&lt;0,0,1)*IF(ABS(D$3*10^12-$A123)&gt;(D$3*10^12-$A122),$A122,$A123))</f>
        <v>0</v>
      </c>
      <c r="E122" s="0" t="n">
        <f aca="false">IF(IF((E$3*10^12-$A123)*(E$3*10^12-$A122)*-1&lt;0,0,1)*IF(ABS(E$3*10^12-$A123)&gt;(E$3*10^12-$A122),$A122,$A123)=E123,0,IF((E$3*10^12-$A123)*(E$3*10^12-$A122)*-1&lt;0,0,1)*IF(ABS(E$3*10^12-$A123)&gt;(E$3*10^12-$A122),$A122,$A123))</f>
        <v>0</v>
      </c>
      <c r="F122" s="0" t="n">
        <f aca="false">IF(IF((F$3*10^12-$A123)*(F$3*10^12-$A122)*-1&lt;0,0,1)*IF(ABS(F$3*10^12-$A123)&gt;(F$3*10^12-$A122),$A122,$A123)=F123,0,IF((F$3*10^12-$A123)*(F$3*10^12-$A122)*-1&lt;0,0,1)*IF(ABS(F$3*10^12-$A123)&gt;(F$3*10^12-$A122),$A122,$A123))</f>
        <v>0</v>
      </c>
      <c r="G122" s="0" t="n">
        <f aca="false">IF(IF((G$3*10^12-$A123)*(G$3*10^12-$A122)*-1&lt;0,0,1)*IF(ABS(G$3*10^12-$A123)&gt;(G$3*10^12-$A122),$A122,$A123)=G123,0,IF((G$3*10^12-$A123)*(G$3*10^12-$A122)*-1&lt;0,0,1)*IF(ABS(G$3*10^12-$A123)&gt;(G$3*10^12-$A122),$A122,$A123))</f>
        <v>0</v>
      </c>
      <c r="H122" s="0" t="n">
        <f aca="false">IF(IF((H$3*10^12-$A123)*(H$3*10^12-$A122)*-1&lt;0,0,1)*IF(ABS(H$3*10^12-$A123)&gt;(H$3*10^12-$A122),$A122,$A123)=H123,0,IF((H$3*10^12-$A123)*(H$3*10^12-$A122)*-1&lt;0,0,1)*IF(ABS(H$3*10^12-$A123)&gt;(H$3*10^12-$A122),$A122,$A123))</f>
        <v>0</v>
      </c>
      <c r="I122" s="0" t="n">
        <f aca="false">IF(IF((I$3*10^12-$A123)*(I$3*10^12-$A122)*-1&lt;0,0,1)*IF(ABS(I$3*10^12-$A123)&gt;(I$3*10^12-$A122),$A122,$A123)=I123,0,IF((I$3*10^12-$A123)*(I$3*10^12-$A122)*-1&lt;0,0,1)*IF(ABS(I$3*10^12-$A123)&gt;(I$3*10^12-$A122),$A122,$A123))</f>
        <v>0</v>
      </c>
      <c r="J122" s="0" t="n">
        <f aca="false">IF(IF((J$3*10^12-$A123)*(J$3*10^12-$A122)*-1&lt;0,0,1)*IF(ABS(J$3*10^12-$A123)&gt;(J$3*10^12-$A122),$A122,$A123)=J123,0,IF((J$3*10^12-$A123)*(J$3*10^12-$A122)*-1&lt;0,0,1)*IF(ABS(J$3*10^12-$A123)&gt;(J$3*10^12-$A122),$A122,$A123))</f>
        <v>0</v>
      </c>
      <c r="K122" s="0" t="n">
        <f aca="false">IF(IF((K$3*10^12-$A123)*(K$3*10^12-$A122)*-1&lt;0,0,1)*IF(ABS(K$3*10^12-$A123)&gt;(K$3*10^12-$A122),$A122,$A123)=K123,0,IF((K$3*10^12-$A123)*(K$3*10^12-$A122)*-1&lt;0,0,1)*IF(ABS(K$3*10^12-$A123)&gt;(K$3*10^12-$A122),$A122,$A123))</f>
        <v>0</v>
      </c>
      <c r="L122" s="0" t="n">
        <f aca="false">IF(IF((L$3*10^12-$A123)*(L$3*10^12-$A122)*-1&lt;0,0,1)*IF(ABS(L$3*10^12-$A123)&gt;(L$3*10^12-$A122),$A122,$A123)=L123,0,IF((L$3*10^12-$A123)*(L$3*10^12-$A122)*-1&lt;0,0,1)*IF(ABS(L$3*10^12-$A123)&gt;(L$3*10^12-$A122),$A122,$A123))</f>
        <v>0</v>
      </c>
      <c r="M122" s="0" t="n">
        <f aca="false">IF(IF((M$3*10^12-$A123)*(M$3*10^12-$A122)*-1&lt;0,0,1)*IF(ABS(M$3*10^12-$A123)&gt;(M$3*10^12-$A122),$A122,$A123)=M123,0,IF((M$3*10^12-$A123)*(M$3*10^12-$A122)*-1&lt;0,0,1)*IF(ABS(M$3*10^12-$A123)&gt;(M$3*10^12-$A122),$A122,$A123))</f>
        <v>0</v>
      </c>
      <c r="N122" s="0" t="e">
        <f aca="false">IF(IF((N$3*10^12-$A123)*(N$3*10^12-$A122)*-1&lt;0,0,1)*IF(ABS(N$3*10^12-$A123)&gt;(N$3*10^12-$A122),$A122,$A123)=N123,0,IF((N$3*10^12-$A123)*(N$3*10^12-$A122)*-1&lt;0,0,1)*IF(ABS(N$3*10^12-$A123)&gt;(N$3*10^12-$A122),$A122,$A123))</f>
        <v>#VALUE!</v>
      </c>
    </row>
    <row r="123" customFormat="false" ht="12.75" hidden="false" customHeight="false" outlineLevel="0" collapsed="false">
      <c r="A123" s="0" t="n">
        <f aca="false">A111*10</f>
        <v>2700000000</v>
      </c>
      <c r="B123" s="0" t="n">
        <f aca="false">IF(IF((B$3*10^12-$A124)*(B$3*10^12-$A123)*-1&lt;0,0,1)*IF(ABS(B$3*10^12-$A124)&gt;(B$3*10^12-$A123),$A123,$A124)=B124,0,IF((B$3*10^12-$A124)*(B$3*10^12-$A123)*-1&lt;0,0,1)*IF(ABS(B$3*10^12-$A124)&gt;(B$3*10^12-$A123),$A123,$A124))</f>
        <v>0</v>
      </c>
      <c r="C123" s="0" t="n">
        <f aca="false">IF(IF((C$3*10^12-$A124)*(C$3*10^12-$A123)*-1&lt;0,0,1)*IF(ABS(C$3*10^12-$A124)&gt;(C$3*10^12-$A123),$A123,$A124)=C124,0,IF((C$3*10^12-$A124)*(C$3*10^12-$A123)*-1&lt;0,0,1)*IF(ABS(C$3*10^12-$A124)&gt;(C$3*10^12-$A123),$A123,$A124))</f>
        <v>0</v>
      </c>
      <c r="D123" s="0" t="n">
        <f aca="false">IF(IF((D$3*10^12-$A124)*(D$3*10^12-$A123)*-1&lt;0,0,1)*IF(ABS(D$3*10^12-$A124)&gt;(D$3*10^12-$A123),$A123,$A124)=D124,0,IF((D$3*10^12-$A124)*(D$3*10^12-$A123)*-1&lt;0,0,1)*IF(ABS(D$3*10^12-$A124)&gt;(D$3*10^12-$A123),$A123,$A124))</f>
        <v>0</v>
      </c>
      <c r="E123" s="0" t="n">
        <f aca="false">IF(IF((E$3*10^12-$A124)*(E$3*10^12-$A123)*-1&lt;0,0,1)*IF(ABS(E$3*10^12-$A124)&gt;(E$3*10^12-$A123),$A123,$A124)=E124,0,IF((E$3*10^12-$A124)*(E$3*10^12-$A123)*-1&lt;0,0,1)*IF(ABS(E$3*10^12-$A124)&gt;(E$3*10^12-$A123),$A123,$A124))</f>
        <v>0</v>
      </c>
      <c r="F123" s="0" t="n">
        <f aca="false">IF(IF((F$3*10^12-$A124)*(F$3*10^12-$A123)*-1&lt;0,0,1)*IF(ABS(F$3*10^12-$A124)&gt;(F$3*10^12-$A123),$A123,$A124)=F124,0,IF((F$3*10^12-$A124)*(F$3*10^12-$A123)*-1&lt;0,0,1)*IF(ABS(F$3*10^12-$A124)&gt;(F$3*10^12-$A123),$A123,$A124))</f>
        <v>0</v>
      </c>
      <c r="G123" s="0" t="n">
        <f aca="false">IF(IF((G$3*10^12-$A124)*(G$3*10^12-$A123)*-1&lt;0,0,1)*IF(ABS(G$3*10^12-$A124)&gt;(G$3*10^12-$A123),$A123,$A124)=G124,0,IF((G$3*10^12-$A124)*(G$3*10^12-$A123)*-1&lt;0,0,1)*IF(ABS(G$3*10^12-$A124)&gt;(G$3*10^12-$A123),$A123,$A124))</f>
        <v>0</v>
      </c>
      <c r="H123" s="0" t="n">
        <f aca="false">IF(IF((H$3*10^12-$A124)*(H$3*10^12-$A123)*-1&lt;0,0,1)*IF(ABS(H$3*10^12-$A124)&gt;(H$3*10^12-$A123),$A123,$A124)=H124,0,IF((H$3*10^12-$A124)*(H$3*10^12-$A123)*-1&lt;0,0,1)*IF(ABS(H$3*10^12-$A124)&gt;(H$3*10^12-$A123),$A123,$A124))</f>
        <v>0</v>
      </c>
      <c r="I123" s="0" t="n">
        <f aca="false">IF(IF((I$3*10^12-$A124)*(I$3*10^12-$A123)*-1&lt;0,0,1)*IF(ABS(I$3*10^12-$A124)&gt;(I$3*10^12-$A123),$A123,$A124)=I124,0,IF((I$3*10^12-$A124)*(I$3*10^12-$A123)*-1&lt;0,0,1)*IF(ABS(I$3*10^12-$A124)&gt;(I$3*10^12-$A123),$A123,$A124))</f>
        <v>0</v>
      </c>
      <c r="J123" s="0" t="n">
        <f aca="false">IF(IF((J$3*10^12-$A124)*(J$3*10^12-$A123)*-1&lt;0,0,1)*IF(ABS(J$3*10^12-$A124)&gt;(J$3*10^12-$A123),$A123,$A124)=J124,0,IF((J$3*10^12-$A124)*(J$3*10^12-$A123)*-1&lt;0,0,1)*IF(ABS(J$3*10^12-$A124)&gt;(J$3*10^12-$A123),$A123,$A124))</f>
        <v>0</v>
      </c>
      <c r="K123" s="0" t="n">
        <f aca="false">IF(IF((K$3*10^12-$A124)*(K$3*10^12-$A123)*-1&lt;0,0,1)*IF(ABS(K$3*10^12-$A124)&gt;(K$3*10^12-$A123),$A123,$A124)=K124,0,IF((K$3*10^12-$A124)*(K$3*10^12-$A123)*-1&lt;0,0,1)*IF(ABS(K$3*10^12-$A124)&gt;(K$3*10^12-$A123),$A123,$A124))</f>
        <v>0</v>
      </c>
      <c r="L123" s="0" t="n">
        <f aca="false">IF(IF((L$3*10^12-$A124)*(L$3*10^12-$A123)*-1&lt;0,0,1)*IF(ABS(L$3*10^12-$A124)&gt;(L$3*10^12-$A123),$A123,$A124)=L124,0,IF((L$3*10^12-$A124)*(L$3*10^12-$A123)*-1&lt;0,0,1)*IF(ABS(L$3*10^12-$A124)&gt;(L$3*10^12-$A123),$A123,$A124))</f>
        <v>0</v>
      </c>
      <c r="M123" s="0" t="n">
        <f aca="false">IF(IF((M$3*10^12-$A124)*(M$3*10^12-$A123)*-1&lt;0,0,1)*IF(ABS(M$3*10^12-$A124)&gt;(M$3*10^12-$A123),$A123,$A124)=M124,0,IF((M$3*10^12-$A124)*(M$3*10^12-$A123)*-1&lt;0,0,1)*IF(ABS(M$3*10^12-$A124)&gt;(M$3*10^12-$A123),$A123,$A124))</f>
        <v>0</v>
      </c>
      <c r="N123" s="0" t="e">
        <f aca="false">IF(IF((N$3*10^12-$A124)*(N$3*10^12-$A123)*-1&lt;0,0,1)*IF(ABS(N$3*10^12-$A124)&gt;(N$3*10^12-$A123),$A123,$A124)=N124,0,IF((N$3*10^12-$A124)*(N$3*10^12-$A123)*-1&lt;0,0,1)*IF(ABS(N$3*10^12-$A124)&gt;(N$3*10^12-$A123),$A123,$A124))</f>
        <v>#VALUE!</v>
      </c>
    </row>
    <row r="124" customFormat="false" ht="12.75" hidden="false" customHeight="false" outlineLevel="0" collapsed="false">
      <c r="A124" s="0" t="n">
        <f aca="false">A112*10</f>
        <v>3300000000</v>
      </c>
      <c r="B124" s="0" t="n">
        <f aca="false">IF(IF((B$3*10^12-$A125)*(B$3*10^12-$A124)*-1&lt;0,0,1)*IF(ABS(B$3*10^12-$A125)&gt;(B$3*10^12-$A124),$A124,$A125)=B125,0,IF((B$3*10^12-$A125)*(B$3*10^12-$A124)*-1&lt;0,0,1)*IF(ABS(B$3*10^12-$A125)&gt;(B$3*10^12-$A124),$A124,$A125))</f>
        <v>0</v>
      </c>
      <c r="C124" s="0" t="n">
        <f aca="false">IF(IF((C$3*10^12-$A125)*(C$3*10^12-$A124)*-1&lt;0,0,1)*IF(ABS(C$3*10^12-$A125)&gt;(C$3*10^12-$A124),$A124,$A125)=C125,0,IF((C$3*10^12-$A125)*(C$3*10^12-$A124)*-1&lt;0,0,1)*IF(ABS(C$3*10^12-$A125)&gt;(C$3*10^12-$A124),$A124,$A125))</f>
        <v>0</v>
      </c>
      <c r="D124" s="0" t="n">
        <f aca="false">IF(IF((D$3*10^12-$A125)*(D$3*10^12-$A124)*-1&lt;0,0,1)*IF(ABS(D$3*10^12-$A125)&gt;(D$3*10^12-$A124),$A124,$A125)=D125,0,IF((D$3*10^12-$A125)*(D$3*10^12-$A124)*-1&lt;0,0,1)*IF(ABS(D$3*10^12-$A125)&gt;(D$3*10^12-$A124),$A124,$A125))</f>
        <v>0</v>
      </c>
      <c r="E124" s="0" t="n">
        <f aca="false">IF(IF((E$3*10^12-$A125)*(E$3*10^12-$A124)*-1&lt;0,0,1)*IF(ABS(E$3*10^12-$A125)&gt;(E$3*10^12-$A124),$A124,$A125)=E125,0,IF((E$3*10^12-$A125)*(E$3*10^12-$A124)*-1&lt;0,0,1)*IF(ABS(E$3*10^12-$A125)&gt;(E$3*10^12-$A124),$A124,$A125))</f>
        <v>0</v>
      </c>
      <c r="F124" s="0" t="n">
        <f aca="false">IF(IF((F$3*10^12-$A125)*(F$3*10^12-$A124)*-1&lt;0,0,1)*IF(ABS(F$3*10^12-$A125)&gt;(F$3*10^12-$A124),$A124,$A125)=F125,0,IF((F$3*10^12-$A125)*(F$3*10^12-$A124)*-1&lt;0,0,1)*IF(ABS(F$3*10^12-$A125)&gt;(F$3*10^12-$A124),$A124,$A125))</f>
        <v>0</v>
      </c>
      <c r="G124" s="0" t="n">
        <f aca="false">IF(IF((G$3*10^12-$A125)*(G$3*10^12-$A124)*-1&lt;0,0,1)*IF(ABS(G$3*10^12-$A125)&gt;(G$3*10^12-$A124),$A124,$A125)=G125,0,IF((G$3*10^12-$A125)*(G$3*10^12-$A124)*-1&lt;0,0,1)*IF(ABS(G$3*10^12-$A125)&gt;(G$3*10^12-$A124),$A124,$A125))</f>
        <v>0</v>
      </c>
      <c r="H124" s="0" t="n">
        <f aca="false">IF(IF((H$3*10^12-$A125)*(H$3*10^12-$A124)*-1&lt;0,0,1)*IF(ABS(H$3*10^12-$A125)&gt;(H$3*10^12-$A124),$A124,$A125)=H125,0,IF((H$3*10^12-$A125)*(H$3*10^12-$A124)*-1&lt;0,0,1)*IF(ABS(H$3*10^12-$A125)&gt;(H$3*10^12-$A124),$A124,$A125))</f>
        <v>0</v>
      </c>
      <c r="I124" s="0" t="n">
        <f aca="false">IF(IF((I$3*10^12-$A125)*(I$3*10^12-$A124)*-1&lt;0,0,1)*IF(ABS(I$3*10^12-$A125)&gt;(I$3*10^12-$A124),$A124,$A125)=I125,0,IF((I$3*10^12-$A125)*(I$3*10^12-$A124)*-1&lt;0,0,1)*IF(ABS(I$3*10^12-$A125)&gt;(I$3*10^12-$A124),$A124,$A125))</f>
        <v>0</v>
      </c>
      <c r="J124" s="0" t="n">
        <f aca="false">IF(IF((J$3*10^12-$A125)*(J$3*10^12-$A124)*-1&lt;0,0,1)*IF(ABS(J$3*10^12-$A125)&gt;(J$3*10^12-$A124),$A124,$A125)=J125,0,IF((J$3*10^12-$A125)*(J$3*10^12-$A124)*-1&lt;0,0,1)*IF(ABS(J$3*10^12-$A125)&gt;(J$3*10^12-$A124),$A124,$A125))</f>
        <v>0</v>
      </c>
      <c r="K124" s="0" t="n">
        <f aca="false">IF(IF((K$3*10^12-$A125)*(K$3*10^12-$A124)*-1&lt;0,0,1)*IF(ABS(K$3*10^12-$A125)&gt;(K$3*10^12-$A124),$A124,$A125)=K125,0,IF((K$3*10^12-$A125)*(K$3*10^12-$A124)*-1&lt;0,0,1)*IF(ABS(K$3*10^12-$A125)&gt;(K$3*10^12-$A124),$A124,$A125))</f>
        <v>0</v>
      </c>
      <c r="L124" s="0" t="n">
        <f aca="false">IF(IF((L$3*10^12-$A125)*(L$3*10^12-$A124)*-1&lt;0,0,1)*IF(ABS(L$3*10^12-$A125)&gt;(L$3*10^12-$A124),$A124,$A125)=L125,0,IF((L$3*10^12-$A125)*(L$3*10^12-$A124)*-1&lt;0,0,1)*IF(ABS(L$3*10^12-$A125)&gt;(L$3*10^12-$A124),$A124,$A125))</f>
        <v>0</v>
      </c>
      <c r="M124" s="0" t="n">
        <f aca="false">IF(IF((M$3*10^12-$A125)*(M$3*10^12-$A124)*-1&lt;0,0,1)*IF(ABS(M$3*10^12-$A125)&gt;(M$3*10^12-$A124),$A124,$A125)=M125,0,IF((M$3*10^12-$A125)*(M$3*10^12-$A124)*-1&lt;0,0,1)*IF(ABS(M$3*10^12-$A125)&gt;(M$3*10^12-$A124),$A124,$A125))</f>
        <v>0</v>
      </c>
      <c r="N124" s="0" t="e">
        <f aca="false">IF(IF((N$3*10^12-$A125)*(N$3*10^12-$A124)*-1&lt;0,0,1)*IF(ABS(N$3*10^12-$A125)&gt;(N$3*10^12-$A124),$A124,$A125)=N125,0,IF((N$3*10^12-$A125)*(N$3*10^12-$A124)*-1&lt;0,0,1)*IF(ABS(N$3*10^12-$A125)&gt;(N$3*10^12-$A124),$A124,$A125))</f>
        <v>#VALUE!</v>
      </c>
    </row>
    <row r="125" customFormat="false" ht="12.75" hidden="false" customHeight="false" outlineLevel="0" collapsed="false">
      <c r="A125" s="0" t="n">
        <f aca="false">A113*10</f>
        <v>3900000000</v>
      </c>
      <c r="B125" s="0" t="n">
        <f aca="false">IF(IF((B$3*10^12-$A126)*(B$3*10^12-$A125)*-1&lt;0,0,1)*IF(ABS(B$3*10^12-$A126)&gt;(B$3*10^12-$A125),$A125,$A126)=B126,0,IF((B$3*10^12-$A126)*(B$3*10^12-$A125)*-1&lt;0,0,1)*IF(ABS(B$3*10^12-$A126)&gt;(B$3*10^12-$A125),$A125,$A126))</f>
        <v>0</v>
      </c>
      <c r="C125" s="0" t="n">
        <f aca="false">IF(IF((C$3*10^12-$A126)*(C$3*10^12-$A125)*-1&lt;0,0,1)*IF(ABS(C$3*10^12-$A126)&gt;(C$3*10^12-$A125),$A125,$A126)=C126,0,IF((C$3*10^12-$A126)*(C$3*10^12-$A125)*-1&lt;0,0,1)*IF(ABS(C$3*10^12-$A126)&gt;(C$3*10^12-$A125),$A125,$A126))</f>
        <v>0</v>
      </c>
      <c r="D125" s="0" t="n">
        <f aca="false">IF(IF((D$3*10^12-$A126)*(D$3*10^12-$A125)*-1&lt;0,0,1)*IF(ABS(D$3*10^12-$A126)&gt;(D$3*10^12-$A125),$A125,$A126)=D126,0,IF((D$3*10^12-$A126)*(D$3*10^12-$A125)*-1&lt;0,0,1)*IF(ABS(D$3*10^12-$A126)&gt;(D$3*10^12-$A125),$A125,$A126))</f>
        <v>0</v>
      </c>
      <c r="E125" s="0" t="n">
        <f aca="false">IF(IF((E$3*10^12-$A126)*(E$3*10^12-$A125)*-1&lt;0,0,1)*IF(ABS(E$3*10^12-$A126)&gt;(E$3*10^12-$A125),$A125,$A126)=E126,0,IF((E$3*10^12-$A126)*(E$3*10^12-$A125)*-1&lt;0,0,1)*IF(ABS(E$3*10^12-$A126)&gt;(E$3*10^12-$A125),$A125,$A126))</f>
        <v>0</v>
      </c>
      <c r="F125" s="0" t="n">
        <f aca="false">IF(IF((F$3*10^12-$A126)*(F$3*10^12-$A125)*-1&lt;0,0,1)*IF(ABS(F$3*10^12-$A126)&gt;(F$3*10^12-$A125),$A125,$A126)=F126,0,IF((F$3*10^12-$A126)*(F$3*10^12-$A125)*-1&lt;0,0,1)*IF(ABS(F$3*10^12-$A126)&gt;(F$3*10^12-$A125),$A125,$A126))</f>
        <v>0</v>
      </c>
      <c r="G125" s="0" t="n">
        <f aca="false">IF(IF((G$3*10^12-$A126)*(G$3*10^12-$A125)*-1&lt;0,0,1)*IF(ABS(G$3*10^12-$A126)&gt;(G$3*10^12-$A125),$A125,$A126)=G126,0,IF((G$3*10^12-$A126)*(G$3*10^12-$A125)*-1&lt;0,0,1)*IF(ABS(G$3*10^12-$A126)&gt;(G$3*10^12-$A125),$A125,$A126))</f>
        <v>0</v>
      </c>
      <c r="H125" s="0" t="n">
        <f aca="false">IF(IF((H$3*10^12-$A126)*(H$3*10^12-$A125)*-1&lt;0,0,1)*IF(ABS(H$3*10^12-$A126)&gt;(H$3*10^12-$A125),$A125,$A126)=H126,0,IF((H$3*10^12-$A126)*(H$3*10^12-$A125)*-1&lt;0,0,1)*IF(ABS(H$3*10^12-$A126)&gt;(H$3*10^12-$A125),$A125,$A126))</f>
        <v>0</v>
      </c>
      <c r="I125" s="0" t="n">
        <f aca="false">IF(IF((I$3*10^12-$A126)*(I$3*10^12-$A125)*-1&lt;0,0,1)*IF(ABS(I$3*10^12-$A126)&gt;(I$3*10^12-$A125),$A125,$A126)=I126,0,IF((I$3*10^12-$A126)*(I$3*10^12-$A125)*-1&lt;0,0,1)*IF(ABS(I$3*10^12-$A126)&gt;(I$3*10^12-$A125),$A125,$A126))</f>
        <v>0</v>
      </c>
      <c r="J125" s="0" t="n">
        <f aca="false">IF(IF((J$3*10^12-$A126)*(J$3*10^12-$A125)*-1&lt;0,0,1)*IF(ABS(J$3*10^12-$A126)&gt;(J$3*10^12-$A125),$A125,$A126)=J126,0,IF((J$3*10^12-$A126)*(J$3*10^12-$A125)*-1&lt;0,0,1)*IF(ABS(J$3*10^12-$A126)&gt;(J$3*10^12-$A125),$A125,$A126))</f>
        <v>0</v>
      </c>
      <c r="K125" s="0" t="n">
        <f aca="false">IF(IF((K$3*10^12-$A126)*(K$3*10^12-$A125)*-1&lt;0,0,1)*IF(ABS(K$3*10^12-$A126)&gt;(K$3*10^12-$A125),$A125,$A126)=K126,0,IF((K$3*10^12-$A126)*(K$3*10^12-$A125)*-1&lt;0,0,1)*IF(ABS(K$3*10^12-$A126)&gt;(K$3*10^12-$A125),$A125,$A126))</f>
        <v>0</v>
      </c>
      <c r="L125" s="0" t="n">
        <f aca="false">IF(IF((L$3*10^12-$A126)*(L$3*10^12-$A125)*-1&lt;0,0,1)*IF(ABS(L$3*10^12-$A126)&gt;(L$3*10^12-$A125),$A125,$A126)=L126,0,IF((L$3*10^12-$A126)*(L$3*10^12-$A125)*-1&lt;0,0,1)*IF(ABS(L$3*10^12-$A126)&gt;(L$3*10^12-$A125),$A125,$A126))</f>
        <v>0</v>
      </c>
      <c r="M125" s="0" t="n">
        <f aca="false">IF(IF((M$3*10^12-$A126)*(M$3*10^12-$A125)*-1&lt;0,0,1)*IF(ABS(M$3*10^12-$A126)&gt;(M$3*10^12-$A125),$A125,$A126)=M126,0,IF((M$3*10^12-$A126)*(M$3*10^12-$A125)*-1&lt;0,0,1)*IF(ABS(M$3*10^12-$A126)&gt;(M$3*10^12-$A125),$A125,$A126))</f>
        <v>0</v>
      </c>
      <c r="N125" s="0" t="e">
        <f aca="false">IF(IF((N$3*10^12-$A126)*(N$3*10^12-$A125)*-1&lt;0,0,1)*IF(ABS(N$3*10^12-$A126)&gt;(N$3*10^12-$A125),$A125,$A126)=N126,0,IF((N$3*10^12-$A126)*(N$3*10^12-$A125)*-1&lt;0,0,1)*IF(ABS(N$3*10^12-$A126)&gt;(N$3*10^12-$A125),$A125,$A126))</f>
        <v>#VALUE!</v>
      </c>
    </row>
    <row r="126" customFormat="false" ht="12.75" hidden="false" customHeight="false" outlineLevel="0" collapsed="false">
      <c r="A126" s="0" t="n">
        <f aca="false">A114*10</f>
        <v>4700000000</v>
      </c>
      <c r="B126" s="0" t="n">
        <f aca="false">IF(IF((B$3*10^12-$A127)*(B$3*10^12-$A126)*-1&lt;0,0,1)*IF(ABS(B$3*10^12-$A127)&gt;(B$3*10^12-$A126),$A126,$A127)=B127,0,IF((B$3*10^12-$A127)*(B$3*10^12-$A126)*-1&lt;0,0,1)*IF(ABS(B$3*10^12-$A127)&gt;(B$3*10^12-$A126),$A126,$A127))</f>
        <v>0</v>
      </c>
      <c r="C126" s="0" t="n">
        <f aca="false">IF(IF((C$3*10^12-$A127)*(C$3*10^12-$A126)*-1&lt;0,0,1)*IF(ABS(C$3*10^12-$A127)&gt;(C$3*10^12-$A126),$A126,$A127)=C127,0,IF((C$3*10^12-$A127)*(C$3*10^12-$A126)*-1&lt;0,0,1)*IF(ABS(C$3*10^12-$A127)&gt;(C$3*10^12-$A126),$A126,$A127))</f>
        <v>0</v>
      </c>
      <c r="D126" s="0" t="n">
        <f aca="false">IF(IF((D$3*10^12-$A127)*(D$3*10^12-$A126)*-1&lt;0,0,1)*IF(ABS(D$3*10^12-$A127)&gt;(D$3*10^12-$A126),$A126,$A127)=D127,0,IF((D$3*10^12-$A127)*(D$3*10^12-$A126)*-1&lt;0,0,1)*IF(ABS(D$3*10^12-$A127)&gt;(D$3*10^12-$A126),$A126,$A127))</f>
        <v>0</v>
      </c>
      <c r="E126" s="0" t="n">
        <f aca="false">IF(IF((E$3*10^12-$A127)*(E$3*10^12-$A126)*-1&lt;0,0,1)*IF(ABS(E$3*10^12-$A127)&gt;(E$3*10^12-$A126),$A126,$A127)=E127,0,IF((E$3*10^12-$A127)*(E$3*10^12-$A126)*-1&lt;0,0,1)*IF(ABS(E$3*10^12-$A127)&gt;(E$3*10^12-$A126),$A126,$A127))</f>
        <v>0</v>
      </c>
      <c r="F126" s="0" t="n">
        <f aca="false">IF(IF((F$3*10^12-$A127)*(F$3*10^12-$A126)*-1&lt;0,0,1)*IF(ABS(F$3*10^12-$A127)&gt;(F$3*10^12-$A126),$A126,$A127)=F127,0,IF((F$3*10^12-$A127)*(F$3*10^12-$A126)*-1&lt;0,0,1)*IF(ABS(F$3*10^12-$A127)&gt;(F$3*10^12-$A126),$A126,$A127))</f>
        <v>0</v>
      </c>
      <c r="G126" s="0" t="n">
        <f aca="false">IF(IF((G$3*10^12-$A127)*(G$3*10^12-$A126)*-1&lt;0,0,1)*IF(ABS(G$3*10^12-$A127)&gt;(G$3*10^12-$A126),$A126,$A127)=G127,0,IF((G$3*10^12-$A127)*(G$3*10^12-$A126)*-1&lt;0,0,1)*IF(ABS(G$3*10^12-$A127)&gt;(G$3*10^12-$A126),$A126,$A127))</f>
        <v>0</v>
      </c>
      <c r="H126" s="0" t="n">
        <f aca="false">IF(IF((H$3*10^12-$A127)*(H$3*10^12-$A126)*-1&lt;0,0,1)*IF(ABS(H$3*10^12-$A127)&gt;(H$3*10^12-$A126),$A126,$A127)=H127,0,IF((H$3*10^12-$A127)*(H$3*10^12-$A126)*-1&lt;0,0,1)*IF(ABS(H$3*10^12-$A127)&gt;(H$3*10^12-$A126),$A126,$A127))</f>
        <v>0</v>
      </c>
      <c r="I126" s="0" t="n">
        <f aca="false">IF(IF((I$3*10^12-$A127)*(I$3*10^12-$A126)*-1&lt;0,0,1)*IF(ABS(I$3*10^12-$A127)&gt;(I$3*10^12-$A126),$A126,$A127)=I127,0,IF((I$3*10^12-$A127)*(I$3*10^12-$A126)*-1&lt;0,0,1)*IF(ABS(I$3*10^12-$A127)&gt;(I$3*10^12-$A126),$A126,$A127))</f>
        <v>0</v>
      </c>
      <c r="J126" s="0" t="n">
        <f aca="false">IF(IF((J$3*10^12-$A127)*(J$3*10^12-$A126)*-1&lt;0,0,1)*IF(ABS(J$3*10^12-$A127)&gt;(J$3*10^12-$A126),$A126,$A127)=J127,0,IF((J$3*10^12-$A127)*(J$3*10^12-$A126)*-1&lt;0,0,1)*IF(ABS(J$3*10^12-$A127)&gt;(J$3*10^12-$A126),$A126,$A127))</f>
        <v>0</v>
      </c>
      <c r="K126" s="0" t="n">
        <f aca="false">IF(IF((K$3*10^12-$A127)*(K$3*10^12-$A126)*-1&lt;0,0,1)*IF(ABS(K$3*10^12-$A127)&gt;(K$3*10^12-$A126),$A126,$A127)=K127,0,IF((K$3*10^12-$A127)*(K$3*10^12-$A126)*-1&lt;0,0,1)*IF(ABS(K$3*10^12-$A127)&gt;(K$3*10^12-$A126),$A126,$A127))</f>
        <v>0</v>
      </c>
      <c r="L126" s="0" t="n">
        <f aca="false">IF(IF((L$3*10^12-$A127)*(L$3*10^12-$A126)*-1&lt;0,0,1)*IF(ABS(L$3*10^12-$A127)&gt;(L$3*10^12-$A126),$A126,$A127)=L127,0,IF((L$3*10^12-$A127)*(L$3*10^12-$A126)*-1&lt;0,0,1)*IF(ABS(L$3*10^12-$A127)&gt;(L$3*10^12-$A126),$A126,$A127))</f>
        <v>0</v>
      </c>
      <c r="M126" s="0" t="n">
        <f aca="false">IF(IF((M$3*10^12-$A127)*(M$3*10^12-$A126)*-1&lt;0,0,1)*IF(ABS(M$3*10^12-$A127)&gt;(M$3*10^12-$A126),$A126,$A127)=M127,0,IF((M$3*10^12-$A127)*(M$3*10^12-$A126)*-1&lt;0,0,1)*IF(ABS(M$3*10^12-$A127)&gt;(M$3*10^12-$A126),$A126,$A127))</f>
        <v>0</v>
      </c>
      <c r="N126" s="0" t="e">
        <f aca="false">IF(IF((N$3*10^12-$A127)*(N$3*10^12-$A126)*-1&lt;0,0,1)*IF(ABS(N$3*10^12-$A127)&gt;(N$3*10^12-$A126),$A126,$A127)=N127,0,IF((N$3*10^12-$A127)*(N$3*10^12-$A126)*-1&lt;0,0,1)*IF(ABS(N$3*10^12-$A127)&gt;(N$3*10^12-$A126),$A126,$A127))</f>
        <v>#VALUE!</v>
      </c>
    </row>
    <row r="127" customFormat="false" ht="12.75" hidden="false" customHeight="false" outlineLevel="0" collapsed="false">
      <c r="A127" s="0" t="n">
        <f aca="false">A115*10</f>
        <v>5600000000</v>
      </c>
      <c r="B127" s="0" t="n">
        <f aca="false">IF(IF((B$3*10^12-$A128)*(B$3*10^12-$A127)*-1&lt;0,0,1)*IF(ABS(B$3*10^12-$A128)&gt;(B$3*10^12-$A127),$A127,$A128)=B128,0,IF((B$3*10^12-$A128)*(B$3*10^12-$A127)*-1&lt;0,0,1)*IF(ABS(B$3*10^12-$A128)&gt;(B$3*10^12-$A127),$A127,$A128))</f>
        <v>0</v>
      </c>
      <c r="C127" s="0" t="n">
        <f aca="false">IF(IF((C$3*10^12-$A128)*(C$3*10^12-$A127)*-1&lt;0,0,1)*IF(ABS(C$3*10^12-$A128)&gt;(C$3*10^12-$A127),$A127,$A128)=C128,0,IF((C$3*10^12-$A128)*(C$3*10^12-$A127)*-1&lt;0,0,1)*IF(ABS(C$3*10^12-$A128)&gt;(C$3*10^12-$A127),$A127,$A128))</f>
        <v>0</v>
      </c>
      <c r="D127" s="0" t="n">
        <f aca="false">IF(IF((D$3*10^12-$A128)*(D$3*10^12-$A127)*-1&lt;0,0,1)*IF(ABS(D$3*10^12-$A128)&gt;(D$3*10^12-$A127),$A127,$A128)=D128,0,IF((D$3*10^12-$A128)*(D$3*10^12-$A127)*-1&lt;0,0,1)*IF(ABS(D$3*10^12-$A128)&gt;(D$3*10^12-$A127),$A127,$A128))</f>
        <v>0</v>
      </c>
      <c r="E127" s="0" t="n">
        <f aca="false">IF(IF((E$3*10^12-$A128)*(E$3*10^12-$A127)*-1&lt;0,0,1)*IF(ABS(E$3*10^12-$A128)&gt;(E$3*10^12-$A127),$A127,$A128)=E128,0,IF((E$3*10^12-$A128)*(E$3*10^12-$A127)*-1&lt;0,0,1)*IF(ABS(E$3*10^12-$A128)&gt;(E$3*10^12-$A127),$A127,$A128))</f>
        <v>0</v>
      </c>
      <c r="F127" s="0" t="n">
        <f aca="false">IF(IF((F$3*10^12-$A128)*(F$3*10^12-$A127)*-1&lt;0,0,1)*IF(ABS(F$3*10^12-$A128)&gt;(F$3*10^12-$A127),$A127,$A128)=F128,0,IF((F$3*10^12-$A128)*(F$3*10^12-$A127)*-1&lt;0,0,1)*IF(ABS(F$3*10^12-$A128)&gt;(F$3*10^12-$A127),$A127,$A128))</f>
        <v>0</v>
      </c>
      <c r="G127" s="0" t="n">
        <f aca="false">IF(IF((G$3*10^12-$A128)*(G$3*10^12-$A127)*-1&lt;0,0,1)*IF(ABS(G$3*10^12-$A128)&gt;(G$3*10^12-$A127),$A127,$A128)=G128,0,IF((G$3*10^12-$A128)*(G$3*10^12-$A127)*-1&lt;0,0,1)*IF(ABS(G$3*10^12-$A128)&gt;(G$3*10^12-$A127),$A127,$A128))</f>
        <v>0</v>
      </c>
      <c r="H127" s="0" t="n">
        <f aca="false">IF(IF((H$3*10^12-$A128)*(H$3*10^12-$A127)*-1&lt;0,0,1)*IF(ABS(H$3*10^12-$A128)&gt;(H$3*10^12-$A127),$A127,$A128)=H128,0,IF((H$3*10^12-$A128)*(H$3*10^12-$A127)*-1&lt;0,0,1)*IF(ABS(H$3*10^12-$A128)&gt;(H$3*10^12-$A127),$A127,$A128))</f>
        <v>0</v>
      </c>
      <c r="I127" s="0" t="n">
        <f aca="false">IF(IF((I$3*10^12-$A128)*(I$3*10^12-$A127)*-1&lt;0,0,1)*IF(ABS(I$3*10^12-$A128)&gt;(I$3*10^12-$A127),$A127,$A128)=I128,0,IF((I$3*10^12-$A128)*(I$3*10^12-$A127)*-1&lt;0,0,1)*IF(ABS(I$3*10^12-$A128)&gt;(I$3*10^12-$A127),$A127,$A128))</f>
        <v>0</v>
      </c>
      <c r="J127" s="0" t="n">
        <f aca="false">IF(IF((J$3*10^12-$A128)*(J$3*10^12-$A127)*-1&lt;0,0,1)*IF(ABS(J$3*10^12-$A128)&gt;(J$3*10^12-$A127),$A127,$A128)=J128,0,IF((J$3*10^12-$A128)*(J$3*10^12-$A127)*-1&lt;0,0,1)*IF(ABS(J$3*10^12-$A128)&gt;(J$3*10^12-$A127),$A127,$A128))</f>
        <v>0</v>
      </c>
      <c r="K127" s="0" t="n">
        <f aca="false">IF(IF((K$3*10^12-$A128)*(K$3*10^12-$A127)*-1&lt;0,0,1)*IF(ABS(K$3*10^12-$A128)&gt;(K$3*10^12-$A127),$A127,$A128)=K128,0,IF((K$3*10^12-$A128)*(K$3*10^12-$A127)*-1&lt;0,0,1)*IF(ABS(K$3*10^12-$A128)&gt;(K$3*10^12-$A127),$A127,$A128))</f>
        <v>0</v>
      </c>
      <c r="L127" s="0" t="n">
        <f aca="false">IF(IF((L$3*10^12-$A128)*(L$3*10^12-$A127)*-1&lt;0,0,1)*IF(ABS(L$3*10^12-$A128)&gt;(L$3*10^12-$A127),$A127,$A128)=L128,0,IF((L$3*10^12-$A128)*(L$3*10^12-$A127)*-1&lt;0,0,1)*IF(ABS(L$3*10^12-$A128)&gt;(L$3*10^12-$A127),$A127,$A128))</f>
        <v>0</v>
      </c>
      <c r="M127" s="0" t="n">
        <f aca="false">IF(IF((M$3*10^12-$A128)*(M$3*10^12-$A127)*-1&lt;0,0,1)*IF(ABS(M$3*10^12-$A128)&gt;(M$3*10^12-$A127),$A127,$A128)=M128,0,IF((M$3*10^12-$A128)*(M$3*10^12-$A127)*-1&lt;0,0,1)*IF(ABS(M$3*10^12-$A128)&gt;(M$3*10^12-$A127),$A127,$A128))</f>
        <v>0</v>
      </c>
      <c r="N127" s="0" t="e">
        <f aca="false">IF(IF((N$3*10^12-$A128)*(N$3*10^12-$A127)*-1&lt;0,0,1)*IF(ABS(N$3*10^12-$A128)&gt;(N$3*10^12-$A127),$A127,$A128)=N128,0,IF((N$3*10^12-$A128)*(N$3*10^12-$A127)*-1&lt;0,0,1)*IF(ABS(N$3*10^12-$A128)&gt;(N$3*10^12-$A127),$A127,$A128))</f>
        <v>#VALUE!</v>
      </c>
    </row>
    <row r="128" customFormat="false" ht="12.75" hidden="false" customHeight="false" outlineLevel="0" collapsed="false">
      <c r="A128" s="0" t="n">
        <f aca="false">A116*10</f>
        <v>6800000000</v>
      </c>
      <c r="B128" s="0" t="n">
        <f aca="false">IF(IF((B$3*10^12-$A129)*(B$3*10^12-$A128)*-1&lt;0,0,1)*IF(ABS(B$3*10^12-$A129)&gt;(B$3*10^12-$A128),$A128,$A129)=B129,0,IF((B$3*10^12-$A129)*(B$3*10^12-$A128)*-1&lt;0,0,1)*IF(ABS(B$3*10^12-$A129)&gt;(B$3*10^12-$A128),$A128,$A129))</f>
        <v>0</v>
      </c>
      <c r="C128" s="0" t="n">
        <f aca="false">IF(IF((C$3*10^12-$A129)*(C$3*10^12-$A128)*-1&lt;0,0,1)*IF(ABS(C$3*10^12-$A129)&gt;(C$3*10^12-$A128),$A128,$A129)=C129,0,IF((C$3*10^12-$A129)*(C$3*10^12-$A128)*-1&lt;0,0,1)*IF(ABS(C$3*10^12-$A129)&gt;(C$3*10^12-$A128),$A128,$A129))</f>
        <v>0</v>
      </c>
      <c r="D128" s="0" t="n">
        <f aca="false">IF(IF((D$3*10^12-$A129)*(D$3*10^12-$A128)*-1&lt;0,0,1)*IF(ABS(D$3*10^12-$A129)&gt;(D$3*10^12-$A128),$A128,$A129)=D129,0,IF((D$3*10^12-$A129)*(D$3*10^12-$A128)*-1&lt;0,0,1)*IF(ABS(D$3*10^12-$A129)&gt;(D$3*10^12-$A128),$A128,$A129))</f>
        <v>0</v>
      </c>
      <c r="E128" s="0" t="n">
        <f aca="false">IF(IF((E$3*10^12-$A129)*(E$3*10^12-$A128)*-1&lt;0,0,1)*IF(ABS(E$3*10^12-$A129)&gt;(E$3*10^12-$A128),$A128,$A129)=E129,0,IF((E$3*10^12-$A129)*(E$3*10^12-$A128)*-1&lt;0,0,1)*IF(ABS(E$3*10^12-$A129)&gt;(E$3*10^12-$A128),$A128,$A129))</f>
        <v>0</v>
      </c>
      <c r="F128" s="0" t="n">
        <f aca="false">IF(IF((F$3*10^12-$A129)*(F$3*10^12-$A128)*-1&lt;0,0,1)*IF(ABS(F$3*10^12-$A129)&gt;(F$3*10^12-$A128),$A128,$A129)=F129,0,IF((F$3*10^12-$A129)*(F$3*10^12-$A128)*-1&lt;0,0,1)*IF(ABS(F$3*10^12-$A129)&gt;(F$3*10^12-$A128),$A128,$A129))</f>
        <v>0</v>
      </c>
      <c r="G128" s="0" t="n">
        <f aca="false">IF(IF((G$3*10^12-$A129)*(G$3*10^12-$A128)*-1&lt;0,0,1)*IF(ABS(G$3*10^12-$A129)&gt;(G$3*10^12-$A128),$A128,$A129)=G129,0,IF((G$3*10^12-$A129)*(G$3*10^12-$A128)*-1&lt;0,0,1)*IF(ABS(G$3*10^12-$A129)&gt;(G$3*10^12-$A128),$A128,$A129))</f>
        <v>0</v>
      </c>
      <c r="H128" s="0" t="n">
        <f aca="false">IF(IF((H$3*10^12-$A129)*(H$3*10^12-$A128)*-1&lt;0,0,1)*IF(ABS(H$3*10^12-$A129)&gt;(H$3*10^12-$A128),$A128,$A129)=H129,0,IF((H$3*10^12-$A129)*(H$3*10^12-$A128)*-1&lt;0,0,1)*IF(ABS(H$3*10^12-$A129)&gt;(H$3*10^12-$A128),$A128,$A129))</f>
        <v>0</v>
      </c>
      <c r="I128" s="0" t="n">
        <f aca="false">IF(IF((I$3*10^12-$A129)*(I$3*10^12-$A128)*-1&lt;0,0,1)*IF(ABS(I$3*10^12-$A129)&gt;(I$3*10^12-$A128),$A128,$A129)=I129,0,IF((I$3*10^12-$A129)*(I$3*10^12-$A128)*-1&lt;0,0,1)*IF(ABS(I$3*10^12-$A129)&gt;(I$3*10^12-$A128),$A128,$A129))</f>
        <v>0</v>
      </c>
      <c r="J128" s="0" t="n">
        <f aca="false">IF(IF((J$3*10^12-$A129)*(J$3*10^12-$A128)*-1&lt;0,0,1)*IF(ABS(J$3*10^12-$A129)&gt;(J$3*10^12-$A128),$A128,$A129)=J129,0,IF((J$3*10^12-$A129)*(J$3*10^12-$A128)*-1&lt;0,0,1)*IF(ABS(J$3*10^12-$A129)&gt;(J$3*10^12-$A128),$A128,$A129))</f>
        <v>0</v>
      </c>
      <c r="K128" s="0" t="n">
        <f aca="false">IF(IF((K$3*10^12-$A129)*(K$3*10^12-$A128)*-1&lt;0,0,1)*IF(ABS(K$3*10^12-$A129)&gt;(K$3*10^12-$A128),$A128,$A129)=K129,0,IF((K$3*10^12-$A129)*(K$3*10^12-$A128)*-1&lt;0,0,1)*IF(ABS(K$3*10^12-$A129)&gt;(K$3*10^12-$A128),$A128,$A129))</f>
        <v>0</v>
      </c>
      <c r="L128" s="0" t="n">
        <f aca="false">IF(IF((L$3*10^12-$A129)*(L$3*10^12-$A128)*-1&lt;0,0,1)*IF(ABS(L$3*10^12-$A129)&gt;(L$3*10^12-$A128),$A128,$A129)=L129,0,IF((L$3*10^12-$A129)*(L$3*10^12-$A128)*-1&lt;0,0,1)*IF(ABS(L$3*10^12-$A129)&gt;(L$3*10^12-$A128),$A128,$A129))</f>
        <v>0</v>
      </c>
      <c r="M128" s="0" t="n">
        <f aca="false">IF(IF((M$3*10^12-$A129)*(M$3*10^12-$A128)*-1&lt;0,0,1)*IF(ABS(M$3*10^12-$A129)&gt;(M$3*10^12-$A128),$A128,$A129)=M129,0,IF((M$3*10^12-$A129)*(M$3*10^12-$A128)*-1&lt;0,0,1)*IF(ABS(M$3*10^12-$A129)&gt;(M$3*10^12-$A128),$A128,$A129))</f>
        <v>0</v>
      </c>
      <c r="N128" s="0" t="e">
        <f aca="false">IF(IF((N$3*10^12-$A129)*(N$3*10^12-$A128)*-1&lt;0,0,1)*IF(ABS(N$3*10^12-$A129)&gt;(N$3*10^12-$A128),$A128,$A129)=N129,0,IF((N$3*10^12-$A129)*(N$3*10^12-$A128)*-1&lt;0,0,1)*IF(ABS(N$3*10^12-$A129)&gt;(N$3*10^12-$A128),$A128,$A129))</f>
        <v>#VALUE!</v>
      </c>
    </row>
    <row r="129" customFormat="false" ht="12.75" hidden="false" customHeight="false" outlineLevel="0" collapsed="false">
      <c r="A129" s="0" t="n">
        <f aca="false">A117*10</f>
        <v>8200000000</v>
      </c>
      <c r="B129" s="0" t="n">
        <f aca="false">IF(IF((B$3*10^12-$A130)*(B$3*10^12-$A129)*-1&lt;0,0,1)*IF(ABS(B$3*10^12-$A130)&gt;(B$3*10^12-$A129),$A129,$A130)=B130,0,IF((B$3*10^12-$A130)*(B$3*10^12-$A129)*-1&lt;0,0,1)*IF(ABS(B$3*10^12-$A130)&gt;(B$3*10^12-$A129),$A129,$A130))</f>
        <v>0</v>
      </c>
      <c r="C129" s="0" t="n">
        <f aca="false">IF(IF((C$3*10^12-$A130)*(C$3*10^12-$A129)*-1&lt;0,0,1)*IF(ABS(C$3*10^12-$A130)&gt;(C$3*10^12-$A129),$A129,$A130)=C130,0,IF((C$3*10^12-$A130)*(C$3*10^12-$A129)*-1&lt;0,0,1)*IF(ABS(C$3*10^12-$A130)&gt;(C$3*10^12-$A129),$A129,$A130))</f>
        <v>0</v>
      </c>
      <c r="D129" s="0" t="n">
        <f aca="false">IF(IF((D$3*10^12-$A130)*(D$3*10^12-$A129)*-1&lt;0,0,1)*IF(ABS(D$3*10^12-$A130)&gt;(D$3*10^12-$A129),$A129,$A130)=D130,0,IF((D$3*10^12-$A130)*(D$3*10^12-$A129)*-1&lt;0,0,1)*IF(ABS(D$3*10^12-$A130)&gt;(D$3*10^12-$A129),$A129,$A130))</f>
        <v>0</v>
      </c>
      <c r="E129" s="0" t="n">
        <f aca="false">IF(IF((E$3*10^12-$A130)*(E$3*10^12-$A129)*-1&lt;0,0,1)*IF(ABS(E$3*10^12-$A130)&gt;(E$3*10^12-$A129),$A129,$A130)=E130,0,IF((E$3*10^12-$A130)*(E$3*10^12-$A129)*-1&lt;0,0,1)*IF(ABS(E$3*10^12-$A130)&gt;(E$3*10^12-$A129),$A129,$A130))</f>
        <v>0</v>
      </c>
      <c r="F129" s="0" t="n">
        <f aca="false">IF(IF((F$3*10^12-$A130)*(F$3*10^12-$A129)*-1&lt;0,0,1)*IF(ABS(F$3*10^12-$A130)&gt;(F$3*10^12-$A129),$A129,$A130)=F130,0,IF((F$3*10^12-$A130)*(F$3*10^12-$A129)*-1&lt;0,0,1)*IF(ABS(F$3*10^12-$A130)&gt;(F$3*10^12-$A129),$A129,$A130))</f>
        <v>0</v>
      </c>
      <c r="G129" s="0" t="n">
        <f aca="false">IF(IF((G$3*10^12-$A130)*(G$3*10^12-$A129)*-1&lt;0,0,1)*IF(ABS(G$3*10^12-$A130)&gt;(G$3*10^12-$A129),$A129,$A130)=G130,0,IF((G$3*10^12-$A130)*(G$3*10^12-$A129)*-1&lt;0,0,1)*IF(ABS(G$3*10^12-$A130)&gt;(G$3*10^12-$A129),$A129,$A130))</f>
        <v>0</v>
      </c>
      <c r="H129" s="0" t="n">
        <f aca="false">IF(IF((H$3*10^12-$A130)*(H$3*10^12-$A129)*-1&lt;0,0,1)*IF(ABS(H$3*10^12-$A130)&gt;(H$3*10^12-$A129),$A129,$A130)=H130,0,IF((H$3*10^12-$A130)*(H$3*10^12-$A129)*-1&lt;0,0,1)*IF(ABS(H$3*10^12-$A130)&gt;(H$3*10^12-$A129),$A129,$A130))</f>
        <v>0</v>
      </c>
      <c r="I129" s="0" t="n">
        <f aca="false">IF(IF((I$3*10^12-$A130)*(I$3*10^12-$A129)*-1&lt;0,0,1)*IF(ABS(I$3*10^12-$A130)&gt;(I$3*10^12-$A129),$A129,$A130)=I130,0,IF((I$3*10^12-$A130)*(I$3*10^12-$A129)*-1&lt;0,0,1)*IF(ABS(I$3*10^12-$A130)&gt;(I$3*10^12-$A129),$A129,$A130))</f>
        <v>0</v>
      </c>
      <c r="J129" s="0" t="n">
        <f aca="false">IF(IF((J$3*10^12-$A130)*(J$3*10^12-$A129)*-1&lt;0,0,1)*IF(ABS(J$3*10^12-$A130)&gt;(J$3*10^12-$A129),$A129,$A130)=J130,0,IF((J$3*10^12-$A130)*(J$3*10^12-$A129)*-1&lt;0,0,1)*IF(ABS(J$3*10^12-$A130)&gt;(J$3*10^12-$A129),$A129,$A130))</f>
        <v>0</v>
      </c>
      <c r="K129" s="0" t="n">
        <f aca="false">IF(IF((K$3*10^12-$A130)*(K$3*10^12-$A129)*-1&lt;0,0,1)*IF(ABS(K$3*10^12-$A130)&gt;(K$3*10^12-$A129),$A129,$A130)=K130,0,IF((K$3*10^12-$A130)*(K$3*10^12-$A129)*-1&lt;0,0,1)*IF(ABS(K$3*10^12-$A130)&gt;(K$3*10^12-$A129),$A129,$A130))</f>
        <v>0</v>
      </c>
      <c r="L129" s="0" t="n">
        <f aca="false">IF(IF((L$3*10^12-$A130)*(L$3*10^12-$A129)*-1&lt;0,0,1)*IF(ABS(L$3*10^12-$A130)&gt;(L$3*10^12-$A129),$A129,$A130)=L130,0,IF((L$3*10^12-$A130)*(L$3*10^12-$A129)*-1&lt;0,0,1)*IF(ABS(L$3*10^12-$A130)&gt;(L$3*10^12-$A129),$A129,$A130))</f>
        <v>0</v>
      </c>
      <c r="M129" s="0" t="n">
        <f aca="false">IF(IF((M$3*10^12-$A130)*(M$3*10^12-$A129)*-1&lt;0,0,1)*IF(ABS(M$3*10^12-$A130)&gt;(M$3*10^12-$A129),$A129,$A130)=M130,0,IF((M$3*10^12-$A130)*(M$3*10^12-$A129)*-1&lt;0,0,1)*IF(ABS(M$3*10^12-$A130)&gt;(M$3*10^12-$A129),$A129,$A130))</f>
        <v>0</v>
      </c>
      <c r="N129" s="0" t="e">
        <f aca="false">IF(IF((N$3*10^12-$A130)*(N$3*10^12-$A129)*-1&lt;0,0,1)*IF(ABS(N$3*10^12-$A130)&gt;(N$3*10^12-$A129),$A129,$A130)=N130,0,IF((N$3*10^12-$A130)*(N$3*10^12-$A129)*-1&lt;0,0,1)*IF(ABS(N$3*10^12-$A130)&gt;(N$3*10^12-$A129),$A129,$A130))</f>
        <v>#VALUE!</v>
      </c>
    </row>
    <row r="130" customFormat="false" ht="12.75" hidden="false" customHeight="false" outlineLevel="0" collapsed="false">
      <c r="A130" s="0" t="n">
        <f aca="false">A118*10</f>
        <v>10000000000</v>
      </c>
      <c r="B130" s="0" t="n">
        <f aca="false">IF(IF((B$3*10^12-$A131)*(B$3*10^12-$A130)*-1&lt;0,0,1)*IF(ABS(B$3*10^12-$A131)&gt;(B$3*10^12-$A130),$A130,$A131)=B131,0,IF((B$3*10^12-$A131)*(B$3*10^12-$A130)*-1&lt;0,0,1)*IF(ABS(B$3*10^12-$A131)&gt;(B$3*10^12-$A130),$A130,$A131))</f>
        <v>0</v>
      </c>
      <c r="C130" s="0" t="n">
        <f aca="false">IF(IF((C$3*10^12-$A131)*(C$3*10^12-$A130)*-1&lt;0,0,1)*IF(ABS(C$3*10^12-$A131)&gt;(C$3*10^12-$A130),$A130,$A131)=C131,0,IF((C$3*10^12-$A131)*(C$3*10^12-$A130)*-1&lt;0,0,1)*IF(ABS(C$3*10^12-$A131)&gt;(C$3*10^12-$A130),$A130,$A131))</f>
        <v>0</v>
      </c>
      <c r="D130" s="0" t="n">
        <f aca="false">IF(IF((D$3*10^12-$A131)*(D$3*10^12-$A130)*-1&lt;0,0,1)*IF(ABS(D$3*10^12-$A131)&gt;(D$3*10^12-$A130),$A130,$A131)=D131,0,IF((D$3*10^12-$A131)*(D$3*10^12-$A130)*-1&lt;0,0,1)*IF(ABS(D$3*10^12-$A131)&gt;(D$3*10^12-$A130),$A130,$A131))</f>
        <v>0</v>
      </c>
      <c r="E130" s="0" t="n">
        <f aca="false">IF(IF((E$3*10^12-$A131)*(E$3*10^12-$A130)*-1&lt;0,0,1)*IF(ABS(E$3*10^12-$A131)&gt;(E$3*10^12-$A130),$A130,$A131)=E131,0,IF((E$3*10^12-$A131)*(E$3*10^12-$A130)*-1&lt;0,0,1)*IF(ABS(E$3*10^12-$A131)&gt;(E$3*10^12-$A130),$A130,$A131))</f>
        <v>0</v>
      </c>
      <c r="F130" s="0" t="n">
        <f aca="false">IF(IF((F$3*10^12-$A131)*(F$3*10^12-$A130)*-1&lt;0,0,1)*IF(ABS(F$3*10^12-$A131)&gt;(F$3*10^12-$A130),$A130,$A131)=F131,0,IF((F$3*10^12-$A131)*(F$3*10^12-$A130)*-1&lt;0,0,1)*IF(ABS(F$3*10^12-$A131)&gt;(F$3*10^12-$A130),$A130,$A131))</f>
        <v>0</v>
      </c>
      <c r="G130" s="0" t="n">
        <f aca="false">IF(IF((G$3*10^12-$A131)*(G$3*10^12-$A130)*-1&lt;0,0,1)*IF(ABS(G$3*10^12-$A131)&gt;(G$3*10^12-$A130),$A130,$A131)=G131,0,IF((G$3*10^12-$A131)*(G$3*10^12-$A130)*-1&lt;0,0,1)*IF(ABS(G$3*10^12-$A131)&gt;(G$3*10^12-$A130),$A130,$A131))</f>
        <v>0</v>
      </c>
      <c r="H130" s="0" t="n">
        <f aca="false">IF(IF((H$3*10^12-$A131)*(H$3*10^12-$A130)*-1&lt;0,0,1)*IF(ABS(H$3*10^12-$A131)&gt;(H$3*10^12-$A130),$A130,$A131)=H131,0,IF((H$3*10^12-$A131)*(H$3*10^12-$A130)*-1&lt;0,0,1)*IF(ABS(H$3*10^12-$A131)&gt;(H$3*10^12-$A130),$A130,$A131))</f>
        <v>0</v>
      </c>
      <c r="I130" s="0" t="n">
        <f aca="false">IF(IF((I$3*10^12-$A131)*(I$3*10^12-$A130)*-1&lt;0,0,1)*IF(ABS(I$3*10^12-$A131)&gt;(I$3*10^12-$A130),$A130,$A131)=I131,0,IF((I$3*10^12-$A131)*(I$3*10^12-$A130)*-1&lt;0,0,1)*IF(ABS(I$3*10^12-$A131)&gt;(I$3*10^12-$A130),$A130,$A131))</f>
        <v>0</v>
      </c>
      <c r="J130" s="0" t="n">
        <f aca="false">IF(IF((J$3*10^12-$A131)*(J$3*10^12-$A130)*-1&lt;0,0,1)*IF(ABS(J$3*10^12-$A131)&gt;(J$3*10^12-$A130),$A130,$A131)=J131,0,IF((J$3*10^12-$A131)*(J$3*10^12-$A130)*-1&lt;0,0,1)*IF(ABS(J$3*10^12-$A131)&gt;(J$3*10^12-$A130),$A130,$A131))</f>
        <v>0</v>
      </c>
      <c r="K130" s="0" t="n">
        <f aca="false">IF(IF((K$3*10^12-$A131)*(K$3*10^12-$A130)*-1&lt;0,0,1)*IF(ABS(K$3*10^12-$A131)&gt;(K$3*10^12-$A130),$A130,$A131)=K131,0,IF((K$3*10^12-$A131)*(K$3*10^12-$A130)*-1&lt;0,0,1)*IF(ABS(K$3*10^12-$A131)&gt;(K$3*10^12-$A130),$A130,$A131))</f>
        <v>0</v>
      </c>
      <c r="L130" s="0" t="n">
        <f aca="false">IF(IF((L$3*10^12-$A131)*(L$3*10^12-$A130)*-1&lt;0,0,1)*IF(ABS(L$3*10^12-$A131)&gt;(L$3*10^12-$A130),$A130,$A131)=L131,0,IF((L$3*10^12-$A131)*(L$3*10^12-$A130)*-1&lt;0,0,1)*IF(ABS(L$3*10^12-$A131)&gt;(L$3*10^12-$A130),$A130,$A131))</f>
        <v>0</v>
      </c>
      <c r="M130" s="0" t="n">
        <f aca="false">IF(IF((M$3*10^12-$A131)*(M$3*10^12-$A130)*-1&lt;0,0,1)*IF(ABS(M$3*10^12-$A131)&gt;(M$3*10^12-$A130),$A130,$A131)=M131,0,IF((M$3*10^12-$A131)*(M$3*10^12-$A130)*-1&lt;0,0,1)*IF(ABS(M$3*10^12-$A131)&gt;(M$3*10^12-$A130),$A130,$A131))</f>
        <v>0</v>
      </c>
      <c r="N130" s="0" t="e">
        <f aca="false">IF(IF((N$3*10^12-$A131)*(N$3*10^12-$A130)*-1&lt;0,0,1)*IF(ABS(N$3*10^12-$A131)&gt;(N$3*10^12-$A130),$A130,$A131)=N131,0,IF((N$3*10^12-$A131)*(N$3*10^12-$A130)*-1&lt;0,0,1)*IF(ABS(N$3*10^12-$A131)&gt;(N$3*10^12-$A130),$A130,$A131))</f>
        <v>#VALUE!</v>
      </c>
    </row>
    <row r="131" customFormat="false" ht="12.75" hidden="false" customHeight="false" outlineLevel="0" collapsed="false">
      <c r="A131" s="0" t="n">
        <f aca="false">A119*10</f>
        <v>12000000000</v>
      </c>
      <c r="B131" s="0" t="n">
        <f aca="false">IF(IF((B$3*10^12-$A132)*(B$3*10^12-$A131)*-1&lt;0,0,1)*IF(ABS(B$3*10^12-$A132)&gt;(B$3*10^12-$A131),$A131,$A132)=B132,0,IF((B$3*10^12-$A132)*(B$3*10^12-$A131)*-1&lt;0,0,1)*IF(ABS(B$3*10^12-$A132)&gt;(B$3*10^12-$A131),$A131,$A132))</f>
        <v>0</v>
      </c>
      <c r="C131" s="0" t="n">
        <f aca="false">IF(IF((C$3*10^12-$A132)*(C$3*10^12-$A131)*-1&lt;0,0,1)*IF(ABS(C$3*10^12-$A132)&gt;(C$3*10^12-$A131),$A131,$A132)=C132,0,IF((C$3*10^12-$A132)*(C$3*10^12-$A131)*-1&lt;0,0,1)*IF(ABS(C$3*10^12-$A132)&gt;(C$3*10^12-$A131),$A131,$A132))</f>
        <v>0</v>
      </c>
      <c r="D131" s="0" t="n">
        <f aca="false">IF(IF((D$3*10^12-$A132)*(D$3*10^12-$A131)*-1&lt;0,0,1)*IF(ABS(D$3*10^12-$A132)&gt;(D$3*10^12-$A131),$A131,$A132)=D132,0,IF((D$3*10^12-$A132)*(D$3*10^12-$A131)*-1&lt;0,0,1)*IF(ABS(D$3*10^12-$A132)&gt;(D$3*10^12-$A131),$A131,$A132))</f>
        <v>0</v>
      </c>
      <c r="E131" s="0" t="n">
        <f aca="false">IF(IF((E$3*10^12-$A132)*(E$3*10^12-$A131)*-1&lt;0,0,1)*IF(ABS(E$3*10^12-$A132)&gt;(E$3*10^12-$A131),$A131,$A132)=E132,0,IF((E$3*10^12-$A132)*(E$3*10^12-$A131)*-1&lt;0,0,1)*IF(ABS(E$3*10^12-$A132)&gt;(E$3*10^12-$A131),$A131,$A132))</f>
        <v>0</v>
      </c>
      <c r="F131" s="0" t="n">
        <f aca="false">IF(IF((F$3*10^12-$A132)*(F$3*10^12-$A131)*-1&lt;0,0,1)*IF(ABS(F$3*10^12-$A132)&gt;(F$3*10^12-$A131),$A131,$A132)=F132,0,IF((F$3*10^12-$A132)*(F$3*10^12-$A131)*-1&lt;0,0,1)*IF(ABS(F$3*10^12-$A132)&gt;(F$3*10^12-$A131),$A131,$A132))</f>
        <v>0</v>
      </c>
      <c r="G131" s="0" t="n">
        <f aca="false">IF(IF((G$3*10^12-$A132)*(G$3*10^12-$A131)*-1&lt;0,0,1)*IF(ABS(G$3*10^12-$A132)&gt;(G$3*10^12-$A131),$A131,$A132)=G132,0,IF((G$3*10^12-$A132)*(G$3*10^12-$A131)*-1&lt;0,0,1)*IF(ABS(G$3*10^12-$A132)&gt;(G$3*10^12-$A131),$A131,$A132))</f>
        <v>0</v>
      </c>
      <c r="H131" s="0" t="n">
        <f aca="false">IF(IF((H$3*10^12-$A132)*(H$3*10^12-$A131)*-1&lt;0,0,1)*IF(ABS(H$3*10^12-$A132)&gt;(H$3*10^12-$A131),$A131,$A132)=H132,0,IF((H$3*10^12-$A132)*(H$3*10^12-$A131)*-1&lt;0,0,1)*IF(ABS(H$3*10^12-$A132)&gt;(H$3*10^12-$A131),$A131,$A132))</f>
        <v>0</v>
      </c>
      <c r="I131" s="0" t="n">
        <f aca="false">IF(IF((I$3*10^12-$A132)*(I$3*10^12-$A131)*-1&lt;0,0,1)*IF(ABS(I$3*10^12-$A132)&gt;(I$3*10^12-$A131),$A131,$A132)=I132,0,IF((I$3*10^12-$A132)*(I$3*10^12-$A131)*-1&lt;0,0,1)*IF(ABS(I$3*10^12-$A132)&gt;(I$3*10^12-$A131),$A131,$A132))</f>
        <v>0</v>
      </c>
      <c r="J131" s="0" t="n">
        <f aca="false">IF(IF((J$3*10^12-$A132)*(J$3*10^12-$A131)*-1&lt;0,0,1)*IF(ABS(J$3*10^12-$A132)&gt;(J$3*10^12-$A131),$A131,$A132)=J132,0,IF((J$3*10^12-$A132)*(J$3*10^12-$A131)*-1&lt;0,0,1)*IF(ABS(J$3*10^12-$A132)&gt;(J$3*10^12-$A131),$A131,$A132))</f>
        <v>0</v>
      </c>
      <c r="K131" s="0" t="n">
        <f aca="false">IF(IF((K$3*10^12-$A132)*(K$3*10^12-$A131)*-1&lt;0,0,1)*IF(ABS(K$3*10^12-$A132)&gt;(K$3*10^12-$A131),$A131,$A132)=K132,0,IF((K$3*10^12-$A132)*(K$3*10^12-$A131)*-1&lt;0,0,1)*IF(ABS(K$3*10^12-$A132)&gt;(K$3*10^12-$A131),$A131,$A132))</f>
        <v>0</v>
      </c>
      <c r="L131" s="0" t="n">
        <f aca="false">IF(IF((L$3*10^12-$A132)*(L$3*10^12-$A131)*-1&lt;0,0,1)*IF(ABS(L$3*10^12-$A132)&gt;(L$3*10^12-$A131),$A131,$A132)=L132,0,IF((L$3*10^12-$A132)*(L$3*10^12-$A131)*-1&lt;0,0,1)*IF(ABS(L$3*10^12-$A132)&gt;(L$3*10^12-$A131),$A131,$A132))</f>
        <v>0</v>
      </c>
      <c r="M131" s="0" t="n">
        <f aca="false">IF(IF((M$3*10^12-$A132)*(M$3*10^12-$A131)*-1&lt;0,0,1)*IF(ABS(M$3*10^12-$A132)&gt;(M$3*10^12-$A131),$A131,$A132)=M132,0,IF((M$3*10^12-$A132)*(M$3*10^12-$A131)*-1&lt;0,0,1)*IF(ABS(M$3*10^12-$A132)&gt;(M$3*10^12-$A131),$A131,$A132))</f>
        <v>0</v>
      </c>
      <c r="N131" s="0" t="e">
        <f aca="false">IF(IF((N$3*10^12-$A132)*(N$3*10^12-$A131)*-1&lt;0,0,1)*IF(ABS(N$3*10^12-$A132)&gt;(N$3*10^12-$A131),$A131,$A132)=N132,0,IF((N$3*10^12-$A132)*(N$3*10^12-$A131)*-1&lt;0,0,1)*IF(ABS(N$3*10^12-$A132)&gt;(N$3*10^12-$A131),$A131,$A132))</f>
        <v>#VALUE!</v>
      </c>
    </row>
    <row r="132" customFormat="false" ht="12.75" hidden="false" customHeight="false" outlineLevel="0" collapsed="false">
      <c r="A132" s="0" t="n">
        <f aca="false">A120*10</f>
        <v>15000000000</v>
      </c>
      <c r="B132" s="0" t="n">
        <f aca="false">IF(IF((B$3*10^12-$A133)*(B$3*10^12-$A132)*-1&lt;0,0,1)*IF(ABS(B$3*10^12-$A133)&gt;(B$3*10^12-$A132),$A132,$A133)=B133,0,IF((B$3*10^12-$A133)*(B$3*10^12-$A132)*-1&lt;0,0,1)*IF(ABS(B$3*10^12-$A133)&gt;(B$3*10^12-$A132),$A132,$A133))</f>
        <v>0</v>
      </c>
      <c r="C132" s="0" t="n">
        <f aca="false">IF(IF((C$3*10^12-$A133)*(C$3*10^12-$A132)*-1&lt;0,0,1)*IF(ABS(C$3*10^12-$A133)&gt;(C$3*10^12-$A132),$A132,$A133)=C133,0,IF((C$3*10^12-$A133)*(C$3*10^12-$A132)*-1&lt;0,0,1)*IF(ABS(C$3*10^12-$A133)&gt;(C$3*10^12-$A132),$A132,$A133))</f>
        <v>0</v>
      </c>
      <c r="D132" s="0" t="n">
        <f aca="false">IF(IF((D$3*10^12-$A133)*(D$3*10^12-$A132)*-1&lt;0,0,1)*IF(ABS(D$3*10^12-$A133)&gt;(D$3*10^12-$A132),$A132,$A133)=D133,0,IF((D$3*10^12-$A133)*(D$3*10^12-$A132)*-1&lt;0,0,1)*IF(ABS(D$3*10^12-$A133)&gt;(D$3*10^12-$A132),$A132,$A133))</f>
        <v>0</v>
      </c>
      <c r="E132" s="0" t="n">
        <f aca="false">IF(IF((E$3*10^12-$A133)*(E$3*10^12-$A132)*-1&lt;0,0,1)*IF(ABS(E$3*10^12-$A133)&gt;(E$3*10^12-$A132),$A132,$A133)=E133,0,IF((E$3*10^12-$A133)*(E$3*10^12-$A132)*-1&lt;0,0,1)*IF(ABS(E$3*10^12-$A133)&gt;(E$3*10^12-$A132),$A132,$A133))</f>
        <v>0</v>
      </c>
      <c r="F132" s="0" t="n">
        <f aca="false">IF(IF((F$3*10^12-$A133)*(F$3*10^12-$A132)*-1&lt;0,0,1)*IF(ABS(F$3*10^12-$A133)&gt;(F$3*10^12-$A132),$A132,$A133)=F133,0,IF((F$3*10^12-$A133)*(F$3*10^12-$A132)*-1&lt;0,0,1)*IF(ABS(F$3*10^12-$A133)&gt;(F$3*10^12-$A132),$A132,$A133))</f>
        <v>0</v>
      </c>
      <c r="G132" s="0" t="n">
        <f aca="false">IF(IF((G$3*10^12-$A133)*(G$3*10^12-$A132)*-1&lt;0,0,1)*IF(ABS(G$3*10^12-$A133)&gt;(G$3*10^12-$A132),$A132,$A133)=G133,0,IF((G$3*10^12-$A133)*(G$3*10^12-$A132)*-1&lt;0,0,1)*IF(ABS(G$3*10^12-$A133)&gt;(G$3*10^12-$A132),$A132,$A133))</f>
        <v>0</v>
      </c>
      <c r="H132" s="0" t="n">
        <f aca="false">IF(IF((H$3*10^12-$A133)*(H$3*10^12-$A132)*-1&lt;0,0,1)*IF(ABS(H$3*10^12-$A133)&gt;(H$3*10^12-$A132),$A132,$A133)=H133,0,IF((H$3*10^12-$A133)*(H$3*10^12-$A132)*-1&lt;0,0,1)*IF(ABS(H$3*10^12-$A133)&gt;(H$3*10^12-$A132),$A132,$A133))</f>
        <v>0</v>
      </c>
      <c r="I132" s="0" t="n">
        <f aca="false">IF(IF((I$3*10^12-$A133)*(I$3*10^12-$A132)*-1&lt;0,0,1)*IF(ABS(I$3*10^12-$A133)&gt;(I$3*10^12-$A132),$A132,$A133)=I133,0,IF((I$3*10^12-$A133)*(I$3*10^12-$A132)*-1&lt;0,0,1)*IF(ABS(I$3*10^12-$A133)&gt;(I$3*10^12-$A132),$A132,$A133))</f>
        <v>0</v>
      </c>
      <c r="J132" s="0" t="n">
        <f aca="false">IF(IF((J$3*10^12-$A133)*(J$3*10^12-$A132)*-1&lt;0,0,1)*IF(ABS(J$3*10^12-$A133)&gt;(J$3*10^12-$A132),$A132,$A133)=J133,0,IF((J$3*10^12-$A133)*(J$3*10^12-$A132)*-1&lt;0,0,1)*IF(ABS(J$3*10^12-$A133)&gt;(J$3*10^12-$A132),$A132,$A133))</f>
        <v>0</v>
      </c>
      <c r="K132" s="0" t="n">
        <f aca="false">IF(IF((K$3*10^12-$A133)*(K$3*10^12-$A132)*-1&lt;0,0,1)*IF(ABS(K$3*10^12-$A133)&gt;(K$3*10^12-$A132),$A132,$A133)=K133,0,IF((K$3*10^12-$A133)*(K$3*10^12-$A132)*-1&lt;0,0,1)*IF(ABS(K$3*10^12-$A133)&gt;(K$3*10^12-$A132),$A132,$A133))</f>
        <v>0</v>
      </c>
      <c r="L132" s="0" t="n">
        <f aca="false">IF(IF((L$3*10^12-$A133)*(L$3*10^12-$A132)*-1&lt;0,0,1)*IF(ABS(L$3*10^12-$A133)&gt;(L$3*10^12-$A132),$A132,$A133)=L133,0,IF((L$3*10^12-$A133)*(L$3*10^12-$A132)*-1&lt;0,0,1)*IF(ABS(L$3*10^12-$A133)&gt;(L$3*10^12-$A132),$A132,$A133))</f>
        <v>0</v>
      </c>
      <c r="M132" s="0" t="n">
        <f aca="false">IF(IF((M$3*10^12-$A133)*(M$3*10^12-$A132)*-1&lt;0,0,1)*IF(ABS(M$3*10^12-$A133)&gt;(M$3*10^12-$A132),$A132,$A133)=M133,0,IF((M$3*10^12-$A133)*(M$3*10^12-$A132)*-1&lt;0,0,1)*IF(ABS(M$3*10^12-$A133)&gt;(M$3*10^12-$A132),$A132,$A133))</f>
        <v>0</v>
      </c>
      <c r="N132" s="0" t="e">
        <f aca="false">IF(IF((N$3*10^12-$A133)*(N$3*10^12-$A132)*-1&lt;0,0,1)*IF(ABS(N$3*10^12-$A133)&gt;(N$3*10^12-$A132),$A132,$A133)=N133,0,IF((N$3*10^12-$A133)*(N$3*10^12-$A132)*-1&lt;0,0,1)*IF(ABS(N$3*10^12-$A133)&gt;(N$3*10^12-$A132),$A132,$A133))</f>
        <v>#VALUE!</v>
      </c>
    </row>
    <row r="133" customFormat="false" ht="12.75" hidden="false" customHeight="false" outlineLevel="0" collapsed="false">
      <c r="A133" s="0" t="n">
        <f aca="false">A121*10</f>
        <v>18000000000</v>
      </c>
      <c r="B133" s="0" t="n">
        <f aca="false">IF(IF((B$3*10^12-$A134)*(B$3*10^12-$A133)*-1&lt;0,0,1)*IF(ABS(B$3*10^12-$A134)&gt;(B$3*10^12-$A133),$A133,$A134)=B134,0,IF((B$3*10^12-$A134)*(B$3*10^12-$A133)*-1&lt;0,0,1)*IF(ABS(B$3*10^12-$A134)&gt;(B$3*10^12-$A133),$A133,$A134))</f>
        <v>0</v>
      </c>
      <c r="C133" s="0" t="n">
        <f aca="false">IF(IF((C$3*10^12-$A134)*(C$3*10^12-$A133)*-1&lt;0,0,1)*IF(ABS(C$3*10^12-$A134)&gt;(C$3*10^12-$A133),$A133,$A134)=C134,0,IF((C$3*10^12-$A134)*(C$3*10^12-$A133)*-1&lt;0,0,1)*IF(ABS(C$3*10^12-$A134)&gt;(C$3*10^12-$A133),$A133,$A134))</f>
        <v>0</v>
      </c>
      <c r="D133" s="0" t="n">
        <f aca="false">IF(IF((D$3*10^12-$A134)*(D$3*10^12-$A133)*-1&lt;0,0,1)*IF(ABS(D$3*10^12-$A134)&gt;(D$3*10^12-$A133),$A133,$A134)=D134,0,IF((D$3*10^12-$A134)*(D$3*10^12-$A133)*-1&lt;0,0,1)*IF(ABS(D$3*10^12-$A134)&gt;(D$3*10^12-$A133),$A133,$A134))</f>
        <v>0</v>
      </c>
      <c r="E133" s="0" t="n">
        <f aca="false">IF(IF((E$3*10^12-$A134)*(E$3*10^12-$A133)*-1&lt;0,0,1)*IF(ABS(E$3*10^12-$A134)&gt;(E$3*10^12-$A133),$A133,$A134)=E134,0,IF((E$3*10^12-$A134)*(E$3*10^12-$A133)*-1&lt;0,0,1)*IF(ABS(E$3*10^12-$A134)&gt;(E$3*10^12-$A133),$A133,$A134))</f>
        <v>0</v>
      </c>
      <c r="F133" s="0" t="n">
        <f aca="false">IF(IF((F$3*10^12-$A134)*(F$3*10^12-$A133)*-1&lt;0,0,1)*IF(ABS(F$3*10^12-$A134)&gt;(F$3*10^12-$A133),$A133,$A134)=F134,0,IF((F$3*10^12-$A134)*(F$3*10^12-$A133)*-1&lt;0,0,1)*IF(ABS(F$3*10^12-$A134)&gt;(F$3*10^12-$A133),$A133,$A134))</f>
        <v>0</v>
      </c>
      <c r="G133" s="0" t="n">
        <f aca="false">IF(IF((G$3*10^12-$A134)*(G$3*10^12-$A133)*-1&lt;0,0,1)*IF(ABS(G$3*10^12-$A134)&gt;(G$3*10^12-$A133),$A133,$A134)=G134,0,IF((G$3*10^12-$A134)*(G$3*10^12-$A133)*-1&lt;0,0,1)*IF(ABS(G$3*10^12-$A134)&gt;(G$3*10^12-$A133),$A133,$A134))</f>
        <v>0</v>
      </c>
      <c r="H133" s="0" t="n">
        <f aca="false">IF(IF((H$3*10^12-$A134)*(H$3*10^12-$A133)*-1&lt;0,0,1)*IF(ABS(H$3*10^12-$A134)&gt;(H$3*10^12-$A133),$A133,$A134)=H134,0,IF((H$3*10^12-$A134)*(H$3*10^12-$A133)*-1&lt;0,0,1)*IF(ABS(H$3*10^12-$A134)&gt;(H$3*10^12-$A133),$A133,$A134))</f>
        <v>0</v>
      </c>
      <c r="I133" s="0" t="n">
        <f aca="false">IF(IF((I$3*10^12-$A134)*(I$3*10^12-$A133)*-1&lt;0,0,1)*IF(ABS(I$3*10^12-$A134)&gt;(I$3*10^12-$A133),$A133,$A134)=I134,0,IF((I$3*10^12-$A134)*(I$3*10^12-$A133)*-1&lt;0,0,1)*IF(ABS(I$3*10^12-$A134)&gt;(I$3*10^12-$A133),$A133,$A134))</f>
        <v>0</v>
      </c>
      <c r="J133" s="0" t="n">
        <f aca="false">IF(IF((J$3*10^12-$A134)*(J$3*10^12-$A133)*-1&lt;0,0,1)*IF(ABS(J$3*10^12-$A134)&gt;(J$3*10^12-$A133),$A133,$A134)=J134,0,IF((J$3*10^12-$A134)*(J$3*10^12-$A133)*-1&lt;0,0,1)*IF(ABS(J$3*10^12-$A134)&gt;(J$3*10^12-$A133),$A133,$A134))</f>
        <v>0</v>
      </c>
      <c r="K133" s="0" t="n">
        <f aca="false">IF(IF((K$3*10^12-$A134)*(K$3*10^12-$A133)*-1&lt;0,0,1)*IF(ABS(K$3*10^12-$A134)&gt;(K$3*10^12-$A133),$A133,$A134)=K134,0,IF((K$3*10^12-$A134)*(K$3*10^12-$A133)*-1&lt;0,0,1)*IF(ABS(K$3*10^12-$A134)&gt;(K$3*10^12-$A133),$A133,$A134))</f>
        <v>0</v>
      </c>
      <c r="L133" s="0" t="n">
        <f aca="false">IF(IF((L$3*10^12-$A134)*(L$3*10^12-$A133)*-1&lt;0,0,1)*IF(ABS(L$3*10^12-$A134)&gt;(L$3*10^12-$A133),$A133,$A134)=L134,0,IF((L$3*10^12-$A134)*(L$3*10^12-$A133)*-1&lt;0,0,1)*IF(ABS(L$3*10^12-$A134)&gt;(L$3*10^12-$A133),$A133,$A134))</f>
        <v>0</v>
      </c>
      <c r="M133" s="0" t="n">
        <f aca="false">IF(IF((M$3*10^12-$A134)*(M$3*10^12-$A133)*-1&lt;0,0,1)*IF(ABS(M$3*10^12-$A134)&gt;(M$3*10^12-$A133),$A133,$A134)=M134,0,IF((M$3*10^12-$A134)*(M$3*10^12-$A133)*-1&lt;0,0,1)*IF(ABS(M$3*10^12-$A134)&gt;(M$3*10^12-$A133),$A133,$A134))</f>
        <v>0</v>
      </c>
      <c r="N133" s="0" t="e">
        <f aca="false">IF(IF((N$3*10^12-$A134)*(N$3*10^12-$A133)*-1&lt;0,0,1)*IF(ABS(N$3*10^12-$A134)&gt;(N$3*10^12-$A133),$A133,$A134)=N134,0,IF((N$3*10^12-$A134)*(N$3*10^12-$A133)*-1&lt;0,0,1)*IF(ABS(N$3*10^12-$A134)&gt;(N$3*10^12-$A133),$A133,$A134))</f>
        <v>#VALUE!</v>
      </c>
    </row>
    <row r="134" customFormat="false" ht="12.75" hidden="false" customHeight="false" outlineLevel="0" collapsed="false">
      <c r="A134" s="0" t="n">
        <f aca="false">A122*10</f>
        <v>22000000000</v>
      </c>
      <c r="B134" s="0" t="n">
        <f aca="false">IF(IF((B$3*10^12-$A135)*(B$3*10^12-$A134)*-1&lt;0,0,1)*IF(ABS(B$3*10^12-$A135)&gt;(B$3*10^12-$A134),$A134,$A135)=B135,0,IF((B$3*10^12-$A135)*(B$3*10^12-$A134)*-1&lt;0,0,1)*IF(ABS(B$3*10^12-$A135)&gt;(B$3*10^12-$A134),$A134,$A135))</f>
        <v>0</v>
      </c>
      <c r="C134" s="0" t="n">
        <f aca="false">IF(IF((C$3*10^12-$A135)*(C$3*10^12-$A134)*-1&lt;0,0,1)*IF(ABS(C$3*10^12-$A135)&gt;(C$3*10^12-$A134),$A134,$A135)=C135,0,IF((C$3*10^12-$A135)*(C$3*10^12-$A134)*-1&lt;0,0,1)*IF(ABS(C$3*10^12-$A135)&gt;(C$3*10^12-$A134),$A134,$A135))</f>
        <v>0</v>
      </c>
      <c r="D134" s="0" t="n">
        <f aca="false">IF(IF((D$3*10^12-$A135)*(D$3*10^12-$A134)*-1&lt;0,0,1)*IF(ABS(D$3*10^12-$A135)&gt;(D$3*10^12-$A134),$A134,$A135)=D135,0,IF((D$3*10^12-$A135)*(D$3*10^12-$A134)*-1&lt;0,0,1)*IF(ABS(D$3*10^12-$A135)&gt;(D$3*10^12-$A134),$A134,$A135))</f>
        <v>0</v>
      </c>
      <c r="E134" s="0" t="n">
        <f aca="false">IF(IF((E$3*10^12-$A135)*(E$3*10^12-$A134)*-1&lt;0,0,1)*IF(ABS(E$3*10^12-$A135)&gt;(E$3*10^12-$A134),$A134,$A135)=E135,0,IF((E$3*10^12-$A135)*(E$3*10^12-$A134)*-1&lt;0,0,1)*IF(ABS(E$3*10^12-$A135)&gt;(E$3*10^12-$A134),$A134,$A135))</f>
        <v>0</v>
      </c>
      <c r="F134" s="0" t="n">
        <f aca="false">IF(IF((F$3*10^12-$A135)*(F$3*10^12-$A134)*-1&lt;0,0,1)*IF(ABS(F$3*10^12-$A135)&gt;(F$3*10^12-$A134),$A134,$A135)=F135,0,IF((F$3*10^12-$A135)*(F$3*10^12-$A134)*-1&lt;0,0,1)*IF(ABS(F$3*10^12-$A135)&gt;(F$3*10^12-$A134),$A134,$A135))</f>
        <v>0</v>
      </c>
      <c r="G134" s="0" t="n">
        <f aca="false">IF(IF((G$3*10^12-$A135)*(G$3*10^12-$A134)*-1&lt;0,0,1)*IF(ABS(G$3*10^12-$A135)&gt;(G$3*10^12-$A134),$A134,$A135)=G135,0,IF((G$3*10^12-$A135)*(G$3*10^12-$A134)*-1&lt;0,0,1)*IF(ABS(G$3*10^12-$A135)&gt;(G$3*10^12-$A134),$A134,$A135))</f>
        <v>0</v>
      </c>
      <c r="H134" s="0" t="n">
        <f aca="false">IF(IF((H$3*10^12-$A135)*(H$3*10^12-$A134)*-1&lt;0,0,1)*IF(ABS(H$3*10^12-$A135)&gt;(H$3*10^12-$A134),$A134,$A135)=H135,0,IF((H$3*10^12-$A135)*(H$3*10^12-$A134)*-1&lt;0,0,1)*IF(ABS(H$3*10^12-$A135)&gt;(H$3*10^12-$A134),$A134,$A135))</f>
        <v>0</v>
      </c>
      <c r="I134" s="0" t="n">
        <f aca="false">IF(IF((I$3*10^12-$A135)*(I$3*10^12-$A134)*-1&lt;0,0,1)*IF(ABS(I$3*10^12-$A135)&gt;(I$3*10^12-$A134),$A134,$A135)=I135,0,IF((I$3*10^12-$A135)*(I$3*10^12-$A134)*-1&lt;0,0,1)*IF(ABS(I$3*10^12-$A135)&gt;(I$3*10^12-$A134),$A134,$A135))</f>
        <v>0</v>
      </c>
      <c r="J134" s="0" t="n">
        <f aca="false">IF(IF((J$3*10^12-$A135)*(J$3*10^12-$A134)*-1&lt;0,0,1)*IF(ABS(J$3*10^12-$A135)&gt;(J$3*10^12-$A134),$A134,$A135)=J135,0,IF((J$3*10^12-$A135)*(J$3*10^12-$A134)*-1&lt;0,0,1)*IF(ABS(J$3*10^12-$A135)&gt;(J$3*10^12-$A134),$A134,$A135))</f>
        <v>0</v>
      </c>
      <c r="K134" s="0" t="n">
        <f aca="false">IF(IF((K$3*10^12-$A135)*(K$3*10^12-$A134)*-1&lt;0,0,1)*IF(ABS(K$3*10^12-$A135)&gt;(K$3*10^12-$A134),$A134,$A135)=K135,0,IF((K$3*10^12-$A135)*(K$3*10^12-$A134)*-1&lt;0,0,1)*IF(ABS(K$3*10^12-$A135)&gt;(K$3*10^12-$A134),$A134,$A135))</f>
        <v>0</v>
      </c>
      <c r="L134" s="0" t="n">
        <f aca="false">IF(IF((L$3*10^12-$A135)*(L$3*10^12-$A134)*-1&lt;0,0,1)*IF(ABS(L$3*10^12-$A135)&gt;(L$3*10^12-$A134),$A134,$A135)=L135,0,IF((L$3*10^12-$A135)*(L$3*10^12-$A134)*-1&lt;0,0,1)*IF(ABS(L$3*10^12-$A135)&gt;(L$3*10^12-$A134),$A134,$A135))</f>
        <v>0</v>
      </c>
      <c r="M134" s="0" t="n">
        <f aca="false">IF(IF((M$3*10^12-$A135)*(M$3*10^12-$A134)*-1&lt;0,0,1)*IF(ABS(M$3*10^12-$A135)&gt;(M$3*10^12-$A134),$A134,$A135)=M135,0,IF((M$3*10^12-$A135)*(M$3*10^12-$A134)*-1&lt;0,0,1)*IF(ABS(M$3*10^12-$A135)&gt;(M$3*10^12-$A134),$A134,$A135))</f>
        <v>0</v>
      </c>
      <c r="N134" s="0" t="e">
        <f aca="false">IF(IF((N$3*10^12-$A135)*(N$3*10^12-$A134)*-1&lt;0,0,1)*IF(ABS(N$3*10^12-$A135)&gt;(N$3*10^12-$A134),$A134,$A135)=N135,0,IF((N$3*10^12-$A135)*(N$3*10^12-$A134)*-1&lt;0,0,1)*IF(ABS(N$3*10^12-$A135)&gt;(N$3*10^12-$A134),$A134,$A135))</f>
        <v>#VALUE!</v>
      </c>
    </row>
    <row r="135" customFormat="false" ht="12.75" hidden="false" customHeight="false" outlineLevel="0" collapsed="false">
      <c r="A135" s="0" t="n">
        <f aca="false">A123*10</f>
        <v>27000000000</v>
      </c>
      <c r="B135" s="0" t="n">
        <f aca="false">IF(IF((B$3*10^12-$A136)*(B$3*10^12-$A135)*-1&lt;0,0,1)*IF(ABS(B$3*10^12-$A136)&gt;(B$3*10^12-$A135),$A135,$A136)=B136,0,IF((B$3*10^12-$A136)*(B$3*10^12-$A135)*-1&lt;0,0,1)*IF(ABS(B$3*10^12-$A136)&gt;(B$3*10^12-$A135),$A135,$A136))</f>
        <v>0</v>
      </c>
      <c r="C135" s="0" t="n">
        <f aca="false">IF(IF((C$3*10^12-$A136)*(C$3*10^12-$A135)*-1&lt;0,0,1)*IF(ABS(C$3*10^12-$A136)&gt;(C$3*10^12-$A135),$A135,$A136)=C136,0,IF((C$3*10^12-$A136)*(C$3*10^12-$A135)*-1&lt;0,0,1)*IF(ABS(C$3*10^12-$A136)&gt;(C$3*10^12-$A135),$A135,$A136))</f>
        <v>0</v>
      </c>
      <c r="D135" s="0" t="n">
        <f aca="false">IF(IF((D$3*10^12-$A136)*(D$3*10^12-$A135)*-1&lt;0,0,1)*IF(ABS(D$3*10^12-$A136)&gt;(D$3*10^12-$A135),$A135,$A136)=D136,0,IF((D$3*10^12-$A136)*(D$3*10^12-$A135)*-1&lt;0,0,1)*IF(ABS(D$3*10^12-$A136)&gt;(D$3*10^12-$A135),$A135,$A136))</f>
        <v>0</v>
      </c>
      <c r="E135" s="0" t="n">
        <f aca="false">IF(IF((E$3*10^12-$A136)*(E$3*10^12-$A135)*-1&lt;0,0,1)*IF(ABS(E$3*10^12-$A136)&gt;(E$3*10^12-$A135),$A135,$A136)=E136,0,IF((E$3*10^12-$A136)*(E$3*10^12-$A135)*-1&lt;0,0,1)*IF(ABS(E$3*10^12-$A136)&gt;(E$3*10^12-$A135),$A135,$A136))</f>
        <v>0</v>
      </c>
      <c r="F135" s="0" t="n">
        <f aca="false">IF(IF((F$3*10^12-$A136)*(F$3*10^12-$A135)*-1&lt;0,0,1)*IF(ABS(F$3*10^12-$A136)&gt;(F$3*10^12-$A135),$A135,$A136)=F136,0,IF((F$3*10^12-$A136)*(F$3*10^12-$A135)*-1&lt;0,0,1)*IF(ABS(F$3*10^12-$A136)&gt;(F$3*10^12-$A135),$A135,$A136))</f>
        <v>0</v>
      </c>
      <c r="G135" s="0" t="n">
        <f aca="false">IF(IF((G$3*10^12-$A136)*(G$3*10^12-$A135)*-1&lt;0,0,1)*IF(ABS(G$3*10^12-$A136)&gt;(G$3*10^12-$A135),$A135,$A136)=G136,0,IF((G$3*10^12-$A136)*(G$3*10^12-$A135)*-1&lt;0,0,1)*IF(ABS(G$3*10^12-$A136)&gt;(G$3*10^12-$A135),$A135,$A136))</f>
        <v>0</v>
      </c>
      <c r="H135" s="0" t="n">
        <f aca="false">IF(IF((H$3*10^12-$A136)*(H$3*10^12-$A135)*-1&lt;0,0,1)*IF(ABS(H$3*10^12-$A136)&gt;(H$3*10^12-$A135),$A135,$A136)=H136,0,IF((H$3*10^12-$A136)*(H$3*10^12-$A135)*-1&lt;0,0,1)*IF(ABS(H$3*10^12-$A136)&gt;(H$3*10^12-$A135),$A135,$A136))</f>
        <v>0</v>
      </c>
      <c r="I135" s="0" t="n">
        <f aca="false">IF(IF((I$3*10^12-$A136)*(I$3*10^12-$A135)*-1&lt;0,0,1)*IF(ABS(I$3*10^12-$A136)&gt;(I$3*10^12-$A135),$A135,$A136)=I136,0,IF((I$3*10^12-$A136)*(I$3*10^12-$A135)*-1&lt;0,0,1)*IF(ABS(I$3*10^12-$A136)&gt;(I$3*10^12-$A135),$A135,$A136))</f>
        <v>0</v>
      </c>
      <c r="J135" s="0" t="n">
        <f aca="false">IF(IF((J$3*10^12-$A136)*(J$3*10^12-$A135)*-1&lt;0,0,1)*IF(ABS(J$3*10^12-$A136)&gt;(J$3*10^12-$A135),$A135,$A136)=J136,0,IF((J$3*10^12-$A136)*(J$3*10^12-$A135)*-1&lt;0,0,1)*IF(ABS(J$3*10^12-$A136)&gt;(J$3*10^12-$A135),$A135,$A136))</f>
        <v>0</v>
      </c>
      <c r="K135" s="0" t="n">
        <f aca="false">IF(IF((K$3*10^12-$A136)*(K$3*10^12-$A135)*-1&lt;0,0,1)*IF(ABS(K$3*10^12-$A136)&gt;(K$3*10^12-$A135),$A135,$A136)=K136,0,IF((K$3*10^12-$A136)*(K$3*10^12-$A135)*-1&lt;0,0,1)*IF(ABS(K$3*10^12-$A136)&gt;(K$3*10^12-$A135),$A135,$A136))</f>
        <v>0</v>
      </c>
      <c r="L135" s="0" t="n">
        <f aca="false">IF(IF((L$3*10^12-$A136)*(L$3*10^12-$A135)*-1&lt;0,0,1)*IF(ABS(L$3*10^12-$A136)&gt;(L$3*10^12-$A135),$A135,$A136)=L136,0,IF((L$3*10^12-$A136)*(L$3*10^12-$A135)*-1&lt;0,0,1)*IF(ABS(L$3*10^12-$A136)&gt;(L$3*10^12-$A135),$A135,$A136))</f>
        <v>0</v>
      </c>
      <c r="M135" s="0" t="n">
        <f aca="false">IF(IF((M$3*10^12-$A136)*(M$3*10^12-$A135)*-1&lt;0,0,1)*IF(ABS(M$3*10^12-$A136)&gt;(M$3*10^12-$A135),$A135,$A136)=M136,0,IF((M$3*10^12-$A136)*(M$3*10^12-$A135)*-1&lt;0,0,1)*IF(ABS(M$3*10^12-$A136)&gt;(M$3*10^12-$A135),$A135,$A136))</f>
        <v>0</v>
      </c>
      <c r="N135" s="0" t="e">
        <f aca="false">IF(IF((N$3*10^12-$A136)*(N$3*10^12-$A135)*-1&lt;0,0,1)*IF(ABS(N$3*10^12-$A136)&gt;(N$3*10^12-$A135),$A135,$A136)=N136,0,IF((N$3*10^12-$A136)*(N$3*10^12-$A135)*-1&lt;0,0,1)*IF(ABS(N$3*10^12-$A136)&gt;(N$3*10^12-$A135),$A135,$A136))</f>
        <v>#VALUE!</v>
      </c>
    </row>
    <row r="136" customFormat="false" ht="12.75" hidden="false" customHeight="false" outlineLevel="0" collapsed="false">
      <c r="A136" s="0" t="n">
        <f aca="false">A124*10</f>
        <v>33000000000</v>
      </c>
      <c r="B136" s="0" t="n">
        <f aca="false">IF(IF((B$3*10^12-$A137)*(B$3*10^12-$A136)*-1&lt;0,0,1)*IF(ABS(B$3*10^12-$A137)&gt;(B$3*10^12-$A136),$A136,$A137)=B137,0,IF((B$3*10^12-$A137)*(B$3*10^12-$A136)*-1&lt;0,0,1)*IF(ABS(B$3*10^12-$A137)&gt;(B$3*10^12-$A136),$A136,$A137))</f>
        <v>0</v>
      </c>
      <c r="C136" s="0" t="n">
        <f aca="false">IF(IF((C$3*10^12-$A137)*(C$3*10^12-$A136)*-1&lt;0,0,1)*IF(ABS(C$3*10^12-$A137)&gt;(C$3*10^12-$A136),$A136,$A137)=C137,0,IF((C$3*10^12-$A137)*(C$3*10^12-$A136)*-1&lt;0,0,1)*IF(ABS(C$3*10^12-$A137)&gt;(C$3*10^12-$A136),$A136,$A137))</f>
        <v>0</v>
      </c>
      <c r="D136" s="0" t="n">
        <f aca="false">IF(IF((D$3*10^12-$A137)*(D$3*10^12-$A136)*-1&lt;0,0,1)*IF(ABS(D$3*10^12-$A137)&gt;(D$3*10^12-$A136),$A136,$A137)=D137,0,IF((D$3*10^12-$A137)*(D$3*10^12-$A136)*-1&lt;0,0,1)*IF(ABS(D$3*10^12-$A137)&gt;(D$3*10^12-$A136),$A136,$A137))</f>
        <v>0</v>
      </c>
      <c r="E136" s="0" t="n">
        <f aca="false">IF(IF((E$3*10^12-$A137)*(E$3*10^12-$A136)*-1&lt;0,0,1)*IF(ABS(E$3*10^12-$A137)&gt;(E$3*10^12-$A136),$A136,$A137)=E137,0,IF((E$3*10^12-$A137)*(E$3*10^12-$A136)*-1&lt;0,0,1)*IF(ABS(E$3*10^12-$A137)&gt;(E$3*10^12-$A136),$A136,$A137))</f>
        <v>0</v>
      </c>
      <c r="F136" s="0" t="n">
        <f aca="false">IF(IF((F$3*10^12-$A137)*(F$3*10^12-$A136)*-1&lt;0,0,1)*IF(ABS(F$3*10^12-$A137)&gt;(F$3*10^12-$A136),$A136,$A137)=F137,0,IF((F$3*10^12-$A137)*(F$3*10^12-$A136)*-1&lt;0,0,1)*IF(ABS(F$3*10^12-$A137)&gt;(F$3*10^12-$A136),$A136,$A137))</f>
        <v>0</v>
      </c>
      <c r="G136" s="0" t="n">
        <f aca="false">IF(IF((G$3*10^12-$A137)*(G$3*10^12-$A136)*-1&lt;0,0,1)*IF(ABS(G$3*10^12-$A137)&gt;(G$3*10^12-$A136),$A136,$A137)=G137,0,IF((G$3*10^12-$A137)*(G$3*10^12-$A136)*-1&lt;0,0,1)*IF(ABS(G$3*10^12-$A137)&gt;(G$3*10^12-$A136),$A136,$A137))</f>
        <v>0</v>
      </c>
      <c r="H136" s="0" t="n">
        <f aca="false">IF(IF((H$3*10^12-$A137)*(H$3*10^12-$A136)*-1&lt;0,0,1)*IF(ABS(H$3*10^12-$A137)&gt;(H$3*10^12-$A136),$A136,$A137)=H137,0,IF((H$3*10^12-$A137)*(H$3*10^12-$A136)*-1&lt;0,0,1)*IF(ABS(H$3*10^12-$A137)&gt;(H$3*10^12-$A136),$A136,$A137))</f>
        <v>0</v>
      </c>
      <c r="I136" s="0" t="n">
        <f aca="false">IF(IF((I$3*10^12-$A137)*(I$3*10^12-$A136)*-1&lt;0,0,1)*IF(ABS(I$3*10^12-$A137)&gt;(I$3*10^12-$A136),$A136,$A137)=I137,0,IF((I$3*10^12-$A137)*(I$3*10^12-$A136)*-1&lt;0,0,1)*IF(ABS(I$3*10^12-$A137)&gt;(I$3*10^12-$A136),$A136,$A137))</f>
        <v>0</v>
      </c>
      <c r="J136" s="0" t="n">
        <f aca="false">IF(IF((J$3*10^12-$A137)*(J$3*10^12-$A136)*-1&lt;0,0,1)*IF(ABS(J$3*10^12-$A137)&gt;(J$3*10^12-$A136),$A136,$A137)=J137,0,IF((J$3*10^12-$A137)*(J$3*10^12-$A136)*-1&lt;0,0,1)*IF(ABS(J$3*10^12-$A137)&gt;(J$3*10^12-$A136),$A136,$A137))</f>
        <v>0</v>
      </c>
      <c r="K136" s="0" t="n">
        <f aca="false">IF(IF((K$3*10^12-$A137)*(K$3*10^12-$A136)*-1&lt;0,0,1)*IF(ABS(K$3*10^12-$A137)&gt;(K$3*10^12-$A136),$A136,$A137)=K137,0,IF((K$3*10^12-$A137)*(K$3*10^12-$A136)*-1&lt;0,0,1)*IF(ABS(K$3*10^12-$A137)&gt;(K$3*10^12-$A136),$A136,$A137))</f>
        <v>0</v>
      </c>
      <c r="L136" s="0" t="n">
        <f aca="false">IF(IF((L$3*10^12-$A137)*(L$3*10^12-$A136)*-1&lt;0,0,1)*IF(ABS(L$3*10^12-$A137)&gt;(L$3*10^12-$A136),$A136,$A137)=L137,0,IF((L$3*10^12-$A137)*(L$3*10^12-$A136)*-1&lt;0,0,1)*IF(ABS(L$3*10^12-$A137)&gt;(L$3*10^12-$A136),$A136,$A137))</f>
        <v>0</v>
      </c>
      <c r="M136" s="0" t="n">
        <f aca="false">IF(IF((M$3*10^12-$A137)*(M$3*10^12-$A136)*-1&lt;0,0,1)*IF(ABS(M$3*10^12-$A137)&gt;(M$3*10^12-$A136),$A136,$A137)=M137,0,IF((M$3*10^12-$A137)*(M$3*10^12-$A136)*-1&lt;0,0,1)*IF(ABS(M$3*10^12-$A137)&gt;(M$3*10^12-$A136),$A136,$A137))</f>
        <v>0</v>
      </c>
      <c r="N136" s="0" t="e">
        <f aca="false">IF(IF((N$3*10^12-$A137)*(N$3*10^12-$A136)*-1&lt;0,0,1)*IF(ABS(N$3*10^12-$A137)&gt;(N$3*10^12-$A136),$A136,$A137)=N137,0,IF((N$3*10^12-$A137)*(N$3*10^12-$A136)*-1&lt;0,0,1)*IF(ABS(N$3*10^12-$A137)&gt;(N$3*10^12-$A136),$A136,$A137))</f>
        <v>#VALUE!</v>
      </c>
    </row>
    <row r="137" customFormat="false" ht="12.75" hidden="false" customHeight="false" outlineLevel="0" collapsed="false">
      <c r="A137" s="0" t="n">
        <f aca="false">A125*10</f>
        <v>39000000000</v>
      </c>
      <c r="B137" s="0" t="n">
        <f aca="false">IF(IF((B$3*10^12-$A138)*(B$3*10^12-$A137)*-1&lt;0,0,1)*IF(ABS(B$3*10^12-$A138)&gt;(B$3*10^12-$A137),$A137,$A138)=B138,0,IF((B$3*10^12-$A138)*(B$3*10^12-$A137)*-1&lt;0,0,1)*IF(ABS(B$3*10^12-$A138)&gt;(B$3*10^12-$A137),$A137,$A138))</f>
        <v>0</v>
      </c>
      <c r="C137" s="0" t="n">
        <f aca="false">IF(IF((C$3*10^12-$A138)*(C$3*10^12-$A137)*-1&lt;0,0,1)*IF(ABS(C$3*10^12-$A138)&gt;(C$3*10^12-$A137),$A137,$A138)=C138,0,IF((C$3*10^12-$A138)*(C$3*10^12-$A137)*-1&lt;0,0,1)*IF(ABS(C$3*10^12-$A138)&gt;(C$3*10^12-$A137),$A137,$A138))</f>
        <v>0</v>
      </c>
      <c r="D137" s="0" t="n">
        <f aca="false">IF(IF((D$3*10^12-$A138)*(D$3*10^12-$A137)*-1&lt;0,0,1)*IF(ABS(D$3*10^12-$A138)&gt;(D$3*10^12-$A137),$A137,$A138)=D138,0,IF((D$3*10^12-$A138)*(D$3*10^12-$A137)*-1&lt;0,0,1)*IF(ABS(D$3*10^12-$A138)&gt;(D$3*10^12-$A137),$A137,$A138))</f>
        <v>0</v>
      </c>
      <c r="E137" s="0" t="n">
        <f aca="false">IF(IF((E$3*10^12-$A138)*(E$3*10^12-$A137)*-1&lt;0,0,1)*IF(ABS(E$3*10^12-$A138)&gt;(E$3*10^12-$A137),$A137,$A138)=E138,0,IF((E$3*10^12-$A138)*(E$3*10^12-$A137)*-1&lt;0,0,1)*IF(ABS(E$3*10^12-$A138)&gt;(E$3*10^12-$A137),$A137,$A138))</f>
        <v>0</v>
      </c>
      <c r="F137" s="0" t="n">
        <f aca="false">IF(IF((F$3*10^12-$A138)*(F$3*10^12-$A137)*-1&lt;0,0,1)*IF(ABS(F$3*10^12-$A138)&gt;(F$3*10^12-$A137),$A137,$A138)=F138,0,IF((F$3*10^12-$A138)*(F$3*10^12-$A137)*-1&lt;0,0,1)*IF(ABS(F$3*10^12-$A138)&gt;(F$3*10^12-$A137),$A137,$A138))</f>
        <v>0</v>
      </c>
      <c r="G137" s="0" t="n">
        <f aca="false">IF(IF((G$3*10^12-$A138)*(G$3*10^12-$A137)*-1&lt;0,0,1)*IF(ABS(G$3*10^12-$A138)&gt;(G$3*10^12-$A137),$A137,$A138)=G138,0,IF((G$3*10^12-$A138)*(G$3*10^12-$A137)*-1&lt;0,0,1)*IF(ABS(G$3*10^12-$A138)&gt;(G$3*10^12-$A137),$A137,$A138))</f>
        <v>0</v>
      </c>
      <c r="H137" s="0" t="n">
        <f aca="false">IF(IF((H$3*10^12-$A138)*(H$3*10^12-$A137)*-1&lt;0,0,1)*IF(ABS(H$3*10^12-$A138)&gt;(H$3*10^12-$A137),$A137,$A138)=H138,0,IF((H$3*10^12-$A138)*(H$3*10^12-$A137)*-1&lt;0,0,1)*IF(ABS(H$3*10^12-$A138)&gt;(H$3*10^12-$A137),$A137,$A138))</f>
        <v>0</v>
      </c>
      <c r="I137" s="0" t="n">
        <f aca="false">IF(IF((I$3*10^12-$A138)*(I$3*10^12-$A137)*-1&lt;0,0,1)*IF(ABS(I$3*10^12-$A138)&gt;(I$3*10^12-$A137),$A137,$A138)=I138,0,IF((I$3*10^12-$A138)*(I$3*10^12-$A137)*-1&lt;0,0,1)*IF(ABS(I$3*10^12-$A138)&gt;(I$3*10^12-$A137),$A137,$A138))</f>
        <v>0</v>
      </c>
      <c r="J137" s="0" t="n">
        <f aca="false">IF(IF((J$3*10^12-$A138)*(J$3*10^12-$A137)*-1&lt;0,0,1)*IF(ABS(J$3*10^12-$A138)&gt;(J$3*10^12-$A137),$A137,$A138)=J138,0,IF((J$3*10^12-$A138)*(J$3*10^12-$A137)*-1&lt;0,0,1)*IF(ABS(J$3*10^12-$A138)&gt;(J$3*10^12-$A137),$A137,$A138))</f>
        <v>0</v>
      </c>
      <c r="K137" s="0" t="n">
        <f aca="false">IF(IF((K$3*10^12-$A138)*(K$3*10^12-$A137)*-1&lt;0,0,1)*IF(ABS(K$3*10^12-$A138)&gt;(K$3*10^12-$A137),$A137,$A138)=K138,0,IF((K$3*10^12-$A138)*(K$3*10^12-$A137)*-1&lt;0,0,1)*IF(ABS(K$3*10^12-$A138)&gt;(K$3*10^12-$A137),$A137,$A138))</f>
        <v>0</v>
      </c>
      <c r="L137" s="0" t="n">
        <f aca="false">IF(IF((L$3*10^12-$A138)*(L$3*10^12-$A137)*-1&lt;0,0,1)*IF(ABS(L$3*10^12-$A138)&gt;(L$3*10^12-$A137),$A137,$A138)=L138,0,IF((L$3*10^12-$A138)*(L$3*10^12-$A137)*-1&lt;0,0,1)*IF(ABS(L$3*10^12-$A138)&gt;(L$3*10^12-$A137),$A137,$A138))</f>
        <v>0</v>
      </c>
      <c r="M137" s="0" t="n">
        <f aca="false">IF(IF((M$3*10^12-$A138)*(M$3*10^12-$A137)*-1&lt;0,0,1)*IF(ABS(M$3*10^12-$A138)&gt;(M$3*10^12-$A137),$A137,$A138)=M138,0,IF((M$3*10^12-$A138)*(M$3*10^12-$A137)*-1&lt;0,0,1)*IF(ABS(M$3*10^12-$A138)&gt;(M$3*10^12-$A137),$A137,$A138))</f>
        <v>0</v>
      </c>
      <c r="N137" s="0" t="e">
        <f aca="false">IF(IF((N$3*10^12-$A138)*(N$3*10^12-$A137)*-1&lt;0,0,1)*IF(ABS(N$3*10^12-$A138)&gt;(N$3*10^12-$A137),$A137,$A138)=N138,0,IF((N$3*10^12-$A138)*(N$3*10^12-$A137)*-1&lt;0,0,1)*IF(ABS(N$3*10^12-$A138)&gt;(N$3*10^12-$A137),$A137,$A138))</f>
        <v>#VALUE!</v>
      </c>
    </row>
    <row r="138" customFormat="false" ht="12.75" hidden="false" customHeight="false" outlineLevel="0" collapsed="false">
      <c r="A138" s="0" t="n">
        <f aca="false">A126*10</f>
        <v>47000000000</v>
      </c>
      <c r="B138" s="0" t="n">
        <f aca="false">IF(IF((B$3*10^12-$A139)*(B$3*10^12-$A138)*-1&lt;0,0,1)*IF(ABS(B$3*10^12-$A139)&gt;(B$3*10^12-$A138),$A138,$A139)=B139,0,IF((B$3*10^12-$A139)*(B$3*10^12-$A138)*-1&lt;0,0,1)*IF(ABS(B$3*10^12-$A139)&gt;(B$3*10^12-$A138),$A138,$A139))</f>
        <v>0</v>
      </c>
      <c r="C138" s="0" t="n">
        <f aca="false">IF(IF((C$3*10^12-$A139)*(C$3*10^12-$A138)*-1&lt;0,0,1)*IF(ABS(C$3*10^12-$A139)&gt;(C$3*10^12-$A138),$A138,$A139)=C139,0,IF((C$3*10^12-$A139)*(C$3*10^12-$A138)*-1&lt;0,0,1)*IF(ABS(C$3*10^12-$A139)&gt;(C$3*10^12-$A138),$A138,$A139))</f>
        <v>0</v>
      </c>
      <c r="D138" s="0" t="n">
        <f aca="false">IF(IF((D$3*10^12-$A139)*(D$3*10^12-$A138)*-1&lt;0,0,1)*IF(ABS(D$3*10^12-$A139)&gt;(D$3*10^12-$A138),$A138,$A139)=D139,0,IF((D$3*10^12-$A139)*(D$3*10^12-$A138)*-1&lt;0,0,1)*IF(ABS(D$3*10^12-$A139)&gt;(D$3*10^12-$A138),$A138,$A139))</f>
        <v>0</v>
      </c>
      <c r="E138" s="0" t="n">
        <f aca="false">IF(IF((E$3*10^12-$A139)*(E$3*10^12-$A138)*-1&lt;0,0,1)*IF(ABS(E$3*10^12-$A139)&gt;(E$3*10^12-$A138),$A138,$A139)=E139,0,IF((E$3*10^12-$A139)*(E$3*10^12-$A138)*-1&lt;0,0,1)*IF(ABS(E$3*10^12-$A139)&gt;(E$3*10^12-$A138),$A138,$A139))</f>
        <v>0</v>
      </c>
      <c r="F138" s="0" t="n">
        <f aca="false">IF(IF((F$3*10^12-$A139)*(F$3*10^12-$A138)*-1&lt;0,0,1)*IF(ABS(F$3*10^12-$A139)&gt;(F$3*10^12-$A138),$A138,$A139)=F139,0,IF((F$3*10^12-$A139)*(F$3*10^12-$A138)*-1&lt;0,0,1)*IF(ABS(F$3*10^12-$A139)&gt;(F$3*10^12-$A138),$A138,$A139))</f>
        <v>0</v>
      </c>
      <c r="G138" s="0" t="n">
        <f aca="false">IF(IF((G$3*10^12-$A139)*(G$3*10^12-$A138)*-1&lt;0,0,1)*IF(ABS(G$3*10^12-$A139)&gt;(G$3*10^12-$A138),$A138,$A139)=G139,0,IF((G$3*10^12-$A139)*(G$3*10^12-$A138)*-1&lt;0,0,1)*IF(ABS(G$3*10^12-$A139)&gt;(G$3*10^12-$A138),$A138,$A139))</f>
        <v>0</v>
      </c>
      <c r="H138" s="0" t="n">
        <f aca="false">IF(IF((H$3*10^12-$A139)*(H$3*10^12-$A138)*-1&lt;0,0,1)*IF(ABS(H$3*10^12-$A139)&gt;(H$3*10^12-$A138),$A138,$A139)=H139,0,IF((H$3*10^12-$A139)*(H$3*10^12-$A138)*-1&lt;0,0,1)*IF(ABS(H$3*10^12-$A139)&gt;(H$3*10^12-$A138),$A138,$A139))</f>
        <v>0</v>
      </c>
      <c r="I138" s="0" t="n">
        <f aca="false">IF(IF((I$3*10^12-$A139)*(I$3*10^12-$A138)*-1&lt;0,0,1)*IF(ABS(I$3*10^12-$A139)&gt;(I$3*10^12-$A138),$A138,$A139)=I139,0,IF((I$3*10^12-$A139)*(I$3*10^12-$A138)*-1&lt;0,0,1)*IF(ABS(I$3*10^12-$A139)&gt;(I$3*10^12-$A138),$A138,$A139))</f>
        <v>0</v>
      </c>
      <c r="J138" s="0" t="n">
        <f aca="false">IF(IF((J$3*10^12-$A139)*(J$3*10^12-$A138)*-1&lt;0,0,1)*IF(ABS(J$3*10^12-$A139)&gt;(J$3*10^12-$A138),$A138,$A139)=J139,0,IF((J$3*10^12-$A139)*(J$3*10^12-$A138)*-1&lt;0,0,1)*IF(ABS(J$3*10^12-$A139)&gt;(J$3*10^12-$A138),$A138,$A139))</f>
        <v>0</v>
      </c>
      <c r="K138" s="0" t="n">
        <f aca="false">IF(IF((K$3*10^12-$A139)*(K$3*10^12-$A138)*-1&lt;0,0,1)*IF(ABS(K$3*10^12-$A139)&gt;(K$3*10^12-$A138),$A138,$A139)=K139,0,IF((K$3*10^12-$A139)*(K$3*10^12-$A138)*-1&lt;0,0,1)*IF(ABS(K$3*10^12-$A139)&gt;(K$3*10^12-$A138),$A138,$A139))</f>
        <v>0</v>
      </c>
      <c r="L138" s="0" t="n">
        <f aca="false">IF(IF((L$3*10^12-$A139)*(L$3*10^12-$A138)*-1&lt;0,0,1)*IF(ABS(L$3*10^12-$A139)&gt;(L$3*10^12-$A138),$A138,$A139)=L139,0,IF((L$3*10^12-$A139)*(L$3*10^12-$A138)*-1&lt;0,0,1)*IF(ABS(L$3*10^12-$A139)&gt;(L$3*10^12-$A138),$A138,$A139))</f>
        <v>0</v>
      </c>
      <c r="M138" s="0" t="n">
        <f aca="false">IF(IF((M$3*10^12-$A139)*(M$3*10^12-$A138)*-1&lt;0,0,1)*IF(ABS(M$3*10^12-$A139)&gt;(M$3*10^12-$A138),$A138,$A139)=M139,0,IF((M$3*10^12-$A139)*(M$3*10^12-$A138)*-1&lt;0,0,1)*IF(ABS(M$3*10^12-$A139)&gt;(M$3*10^12-$A138),$A138,$A139))</f>
        <v>0</v>
      </c>
      <c r="N138" s="0" t="e">
        <f aca="false">IF(IF((N$3*10^12-$A139)*(N$3*10^12-$A138)*-1&lt;0,0,1)*IF(ABS(N$3*10^12-$A139)&gt;(N$3*10^12-$A138),$A138,$A139)=N139,0,IF((N$3*10^12-$A139)*(N$3*10^12-$A138)*-1&lt;0,0,1)*IF(ABS(N$3*10^12-$A139)&gt;(N$3*10^12-$A138),$A138,$A139))</f>
        <v>#VALUE!</v>
      </c>
    </row>
    <row r="139" customFormat="false" ht="12.75" hidden="false" customHeight="false" outlineLevel="0" collapsed="false">
      <c r="A139" s="0" t="n">
        <f aca="false">A127*10</f>
        <v>56000000000</v>
      </c>
      <c r="B139" s="0" t="n">
        <f aca="false">IF(IF((B$3*10^12-$A140)*(B$3*10^12-$A139)*-1&lt;0,0,1)*IF(ABS(B$3*10^12-$A140)&gt;(B$3*10^12-$A139),$A139,$A140)=B140,0,IF((B$3*10^12-$A140)*(B$3*10^12-$A139)*-1&lt;0,0,1)*IF(ABS(B$3*10^12-$A140)&gt;(B$3*10^12-$A139),$A139,$A140))</f>
        <v>0</v>
      </c>
      <c r="C139" s="0" t="n">
        <f aca="false">IF(IF((C$3*10^12-$A140)*(C$3*10^12-$A139)*-1&lt;0,0,1)*IF(ABS(C$3*10^12-$A140)&gt;(C$3*10^12-$A139),$A139,$A140)=C140,0,IF((C$3*10^12-$A140)*(C$3*10^12-$A139)*-1&lt;0,0,1)*IF(ABS(C$3*10^12-$A140)&gt;(C$3*10^12-$A139),$A139,$A140))</f>
        <v>0</v>
      </c>
      <c r="D139" s="0" t="n">
        <f aca="false">IF(IF((D$3*10^12-$A140)*(D$3*10^12-$A139)*-1&lt;0,0,1)*IF(ABS(D$3*10^12-$A140)&gt;(D$3*10^12-$A139),$A139,$A140)=D140,0,IF((D$3*10^12-$A140)*(D$3*10^12-$A139)*-1&lt;0,0,1)*IF(ABS(D$3*10^12-$A140)&gt;(D$3*10^12-$A139),$A139,$A140))</f>
        <v>0</v>
      </c>
      <c r="E139" s="0" t="n">
        <f aca="false">IF(IF((E$3*10^12-$A140)*(E$3*10^12-$A139)*-1&lt;0,0,1)*IF(ABS(E$3*10^12-$A140)&gt;(E$3*10^12-$A139),$A139,$A140)=E140,0,IF((E$3*10^12-$A140)*(E$3*10^12-$A139)*-1&lt;0,0,1)*IF(ABS(E$3*10^12-$A140)&gt;(E$3*10^12-$A139),$A139,$A140))</f>
        <v>0</v>
      </c>
      <c r="F139" s="0" t="n">
        <f aca="false">IF(IF((F$3*10^12-$A140)*(F$3*10^12-$A139)*-1&lt;0,0,1)*IF(ABS(F$3*10^12-$A140)&gt;(F$3*10^12-$A139),$A139,$A140)=F140,0,IF((F$3*10^12-$A140)*(F$3*10^12-$A139)*-1&lt;0,0,1)*IF(ABS(F$3*10^12-$A140)&gt;(F$3*10^12-$A139),$A139,$A140))</f>
        <v>0</v>
      </c>
      <c r="G139" s="0" t="n">
        <f aca="false">IF(IF((G$3*10^12-$A140)*(G$3*10^12-$A139)*-1&lt;0,0,1)*IF(ABS(G$3*10^12-$A140)&gt;(G$3*10^12-$A139),$A139,$A140)=G140,0,IF((G$3*10^12-$A140)*(G$3*10^12-$A139)*-1&lt;0,0,1)*IF(ABS(G$3*10^12-$A140)&gt;(G$3*10^12-$A139),$A139,$A140))</f>
        <v>0</v>
      </c>
      <c r="H139" s="0" t="n">
        <f aca="false">IF(IF((H$3*10^12-$A140)*(H$3*10^12-$A139)*-1&lt;0,0,1)*IF(ABS(H$3*10^12-$A140)&gt;(H$3*10^12-$A139),$A139,$A140)=H140,0,IF((H$3*10^12-$A140)*(H$3*10^12-$A139)*-1&lt;0,0,1)*IF(ABS(H$3*10^12-$A140)&gt;(H$3*10^12-$A139),$A139,$A140))</f>
        <v>0</v>
      </c>
      <c r="I139" s="0" t="n">
        <f aca="false">IF(IF((I$3*10^12-$A140)*(I$3*10^12-$A139)*-1&lt;0,0,1)*IF(ABS(I$3*10^12-$A140)&gt;(I$3*10^12-$A139),$A139,$A140)=I140,0,IF((I$3*10^12-$A140)*(I$3*10^12-$A139)*-1&lt;0,0,1)*IF(ABS(I$3*10^12-$A140)&gt;(I$3*10^12-$A139),$A139,$A140))</f>
        <v>0</v>
      </c>
      <c r="J139" s="0" t="n">
        <f aca="false">IF(IF((J$3*10^12-$A140)*(J$3*10^12-$A139)*-1&lt;0,0,1)*IF(ABS(J$3*10^12-$A140)&gt;(J$3*10^12-$A139),$A139,$A140)=J140,0,IF((J$3*10^12-$A140)*(J$3*10^12-$A139)*-1&lt;0,0,1)*IF(ABS(J$3*10^12-$A140)&gt;(J$3*10^12-$A139),$A139,$A140))</f>
        <v>0</v>
      </c>
      <c r="K139" s="0" t="n">
        <f aca="false">IF(IF((K$3*10^12-$A140)*(K$3*10^12-$A139)*-1&lt;0,0,1)*IF(ABS(K$3*10^12-$A140)&gt;(K$3*10^12-$A139),$A139,$A140)=K140,0,IF((K$3*10^12-$A140)*(K$3*10^12-$A139)*-1&lt;0,0,1)*IF(ABS(K$3*10^12-$A140)&gt;(K$3*10^12-$A139),$A139,$A140))</f>
        <v>0</v>
      </c>
      <c r="L139" s="0" t="n">
        <f aca="false">IF(IF((L$3*10^12-$A140)*(L$3*10^12-$A139)*-1&lt;0,0,1)*IF(ABS(L$3*10^12-$A140)&gt;(L$3*10^12-$A139),$A139,$A140)=L140,0,IF((L$3*10^12-$A140)*(L$3*10^12-$A139)*-1&lt;0,0,1)*IF(ABS(L$3*10^12-$A140)&gt;(L$3*10^12-$A139),$A139,$A140))</f>
        <v>0</v>
      </c>
      <c r="M139" s="0" t="n">
        <f aca="false">IF(IF((M$3*10^12-$A140)*(M$3*10^12-$A139)*-1&lt;0,0,1)*IF(ABS(M$3*10^12-$A140)&gt;(M$3*10^12-$A139),$A139,$A140)=M140,0,IF((M$3*10^12-$A140)*(M$3*10^12-$A139)*-1&lt;0,0,1)*IF(ABS(M$3*10^12-$A140)&gt;(M$3*10^12-$A139),$A139,$A140))</f>
        <v>0</v>
      </c>
      <c r="N139" s="0" t="e">
        <f aca="false">IF(IF((N$3*10^12-$A140)*(N$3*10^12-$A139)*-1&lt;0,0,1)*IF(ABS(N$3*10^12-$A140)&gt;(N$3*10^12-$A139),$A139,$A140)=N140,0,IF((N$3*10^12-$A140)*(N$3*10^12-$A139)*-1&lt;0,0,1)*IF(ABS(N$3*10^12-$A140)&gt;(N$3*10^12-$A139),$A139,$A140))</f>
        <v>#VALUE!</v>
      </c>
    </row>
    <row r="140" customFormat="false" ht="12.75" hidden="false" customHeight="false" outlineLevel="0" collapsed="false">
      <c r="A140" s="0" t="n">
        <f aca="false">A128*10</f>
        <v>68000000000</v>
      </c>
      <c r="B140" s="0" t="n">
        <f aca="false">IF(IF((B$3*10^12-$A141)*(B$3*10^12-$A140)*-1&lt;0,0,1)*IF(ABS(B$3*10^12-$A141)&gt;(B$3*10^12-$A140),$A140,$A141)=B141,0,IF((B$3*10^12-$A141)*(B$3*10^12-$A140)*-1&lt;0,0,1)*IF(ABS(B$3*10^12-$A141)&gt;(B$3*10^12-$A140),$A140,$A141))</f>
        <v>0</v>
      </c>
      <c r="C140" s="0" t="n">
        <f aca="false">IF(IF((C$3*10^12-$A141)*(C$3*10^12-$A140)*-1&lt;0,0,1)*IF(ABS(C$3*10^12-$A141)&gt;(C$3*10^12-$A140),$A140,$A141)=C141,0,IF((C$3*10^12-$A141)*(C$3*10^12-$A140)*-1&lt;0,0,1)*IF(ABS(C$3*10^12-$A141)&gt;(C$3*10^12-$A140),$A140,$A141))</f>
        <v>0</v>
      </c>
      <c r="D140" s="0" t="n">
        <f aca="false">IF(IF((D$3*10^12-$A141)*(D$3*10^12-$A140)*-1&lt;0,0,1)*IF(ABS(D$3*10^12-$A141)&gt;(D$3*10^12-$A140),$A140,$A141)=D141,0,IF((D$3*10^12-$A141)*(D$3*10^12-$A140)*-1&lt;0,0,1)*IF(ABS(D$3*10^12-$A141)&gt;(D$3*10^12-$A140),$A140,$A141))</f>
        <v>0</v>
      </c>
      <c r="E140" s="0" t="n">
        <f aca="false">IF(IF((E$3*10^12-$A141)*(E$3*10^12-$A140)*-1&lt;0,0,1)*IF(ABS(E$3*10^12-$A141)&gt;(E$3*10^12-$A140),$A140,$A141)=E141,0,IF((E$3*10^12-$A141)*(E$3*10^12-$A140)*-1&lt;0,0,1)*IF(ABS(E$3*10^12-$A141)&gt;(E$3*10^12-$A140),$A140,$A141))</f>
        <v>0</v>
      </c>
      <c r="F140" s="0" t="n">
        <f aca="false">IF(IF((F$3*10^12-$A141)*(F$3*10^12-$A140)*-1&lt;0,0,1)*IF(ABS(F$3*10^12-$A141)&gt;(F$3*10^12-$A140),$A140,$A141)=F141,0,IF((F$3*10^12-$A141)*(F$3*10^12-$A140)*-1&lt;0,0,1)*IF(ABS(F$3*10^12-$A141)&gt;(F$3*10^12-$A140),$A140,$A141))</f>
        <v>0</v>
      </c>
      <c r="G140" s="0" t="n">
        <f aca="false">IF(IF((G$3*10^12-$A141)*(G$3*10^12-$A140)*-1&lt;0,0,1)*IF(ABS(G$3*10^12-$A141)&gt;(G$3*10^12-$A140),$A140,$A141)=G141,0,IF((G$3*10^12-$A141)*(G$3*10^12-$A140)*-1&lt;0,0,1)*IF(ABS(G$3*10^12-$A141)&gt;(G$3*10^12-$A140),$A140,$A141))</f>
        <v>0</v>
      </c>
      <c r="H140" s="0" t="n">
        <f aca="false">IF(IF((H$3*10^12-$A141)*(H$3*10^12-$A140)*-1&lt;0,0,1)*IF(ABS(H$3*10^12-$A141)&gt;(H$3*10^12-$A140),$A140,$A141)=H141,0,IF((H$3*10^12-$A141)*(H$3*10^12-$A140)*-1&lt;0,0,1)*IF(ABS(H$3*10^12-$A141)&gt;(H$3*10^12-$A140),$A140,$A141))</f>
        <v>0</v>
      </c>
      <c r="I140" s="0" t="n">
        <f aca="false">IF(IF((I$3*10^12-$A141)*(I$3*10^12-$A140)*-1&lt;0,0,1)*IF(ABS(I$3*10^12-$A141)&gt;(I$3*10^12-$A140),$A140,$A141)=I141,0,IF((I$3*10^12-$A141)*(I$3*10^12-$A140)*-1&lt;0,0,1)*IF(ABS(I$3*10^12-$A141)&gt;(I$3*10^12-$A140),$A140,$A141))</f>
        <v>0</v>
      </c>
      <c r="J140" s="0" t="n">
        <f aca="false">IF(IF((J$3*10^12-$A141)*(J$3*10^12-$A140)*-1&lt;0,0,1)*IF(ABS(J$3*10^12-$A141)&gt;(J$3*10^12-$A140),$A140,$A141)=J141,0,IF((J$3*10^12-$A141)*(J$3*10^12-$A140)*-1&lt;0,0,1)*IF(ABS(J$3*10^12-$A141)&gt;(J$3*10^12-$A140),$A140,$A141))</f>
        <v>0</v>
      </c>
      <c r="K140" s="0" t="n">
        <f aca="false">IF(IF((K$3*10^12-$A141)*(K$3*10^12-$A140)*-1&lt;0,0,1)*IF(ABS(K$3*10^12-$A141)&gt;(K$3*10^12-$A140),$A140,$A141)=K141,0,IF((K$3*10^12-$A141)*(K$3*10^12-$A140)*-1&lt;0,0,1)*IF(ABS(K$3*10^12-$A141)&gt;(K$3*10^12-$A140),$A140,$A141))</f>
        <v>0</v>
      </c>
      <c r="L140" s="0" t="n">
        <f aca="false">IF(IF((L$3*10^12-$A141)*(L$3*10^12-$A140)*-1&lt;0,0,1)*IF(ABS(L$3*10^12-$A141)&gt;(L$3*10^12-$A140),$A140,$A141)=L141,0,IF((L$3*10^12-$A141)*(L$3*10^12-$A140)*-1&lt;0,0,1)*IF(ABS(L$3*10^12-$A141)&gt;(L$3*10^12-$A140),$A140,$A141))</f>
        <v>0</v>
      </c>
      <c r="M140" s="0" t="n">
        <f aca="false">IF(IF((M$3*10^12-$A141)*(M$3*10^12-$A140)*-1&lt;0,0,1)*IF(ABS(M$3*10^12-$A141)&gt;(M$3*10^12-$A140),$A140,$A141)=M141,0,IF((M$3*10^12-$A141)*(M$3*10^12-$A140)*-1&lt;0,0,1)*IF(ABS(M$3*10^12-$A141)&gt;(M$3*10^12-$A140),$A140,$A141))</f>
        <v>0</v>
      </c>
      <c r="N140" s="0" t="e">
        <f aca="false">IF(IF((N$3*10^12-$A141)*(N$3*10^12-$A140)*-1&lt;0,0,1)*IF(ABS(N$3*10^12-$A141)&gt;(N$3*10^12-$A140),$A140,$A141)=N141,0,IF((N$3*10^12-$A141)*(N$3*10^12-$A140)*-1&lt;0,0,1)*IF(ABS(N$3*10^12-$A141)&gt;(N$3*10^12-$A140),$A140,$A141))</f>
        <v>#VALUE!</v>
      </c>
    </row>
    <row r="141" customFormat="false" ht="12.75" hidden="false" customHeight="false" outlineLevel="0" collapsed="false">
      <c r="A141" s="0" t="n">
        <f aca="false">A129*10</f>
        <v>82000000000</v>
      </c>
      <c r="B141" s="0" t="n">
        <f aca="false">IF(IF((B$3*10^12-$A142)*(B$3*10^12-$A141)*-1&lt;0,0,1)*IF(ABS(B$3*10^12-$A142)&gt;(B$3*10^12-$A141),$A141,$A142)=B142,0,IF((B$3*10^12-$A142)*(B$3*10^12-$A141)*-1&lt;0,0,1)*IF(ABS(B$3*10^12-$A142)&gt;(B$3*10^12-$A141),$A141,$A142))</f>
        <v>0</v>
      </c>
      <c r="C141" s="0" t="n">
        <f aca="false">IF(IF((C$3*10^12-$A142)*(C$3*10^12-$A141)*-1&lt;0,0,1)*IF(ABS(C$3*10^12-$A142)&gt;(C$3*10^12-$A141),$A141,$A142)=C142,0,IF((C$3*10^12-$A142)*(C$3*10^12-$A141)*-1&lt;0,0,1)*IF(ABS(C$3*10^12-$A142)&gt;(C$3*10^12-$A141),$A141,$A142))</f>
        <v>0</v>
      </c>
      <c r="D141" s="0" t="n">
        <f aca="false">IF(IF((D$3*10^12-$A142)*(D$3*10^12-$A141)*-1&lt;0,0,1)*IF(ABS(D$3*10^12-$A142)&gt;(D$3*10^12-$A141),$A141,$A142)=D142,0,IF((D$3*10^12-$A142)*(D$3*10^12-$A141)*-1&lt;0,0,1)*IF(ABS(D$3*10^12-$A142)&gt;(D$3*10^12-$A141),$A141,$A142))</f>
        <v>0</v>
      </c>
      <c r="E141" s="0" t="n">
        <f aca="false">IF(IF((E$3*10^12-$A142)*(E$3*10^12-$A141)*-1&lt;0,0,1)*IF(ABS(E$3*10^12-$A142)&gt;(E$3*10^12-$A141),$A141,$A142)=E142,0,IF((E$3*10^12-$A142)*(E$3*10^12-$A141)*-1&lt;0,0,1)*IF(ABS(E$3*10^12-$A142)&gt;(E$3*10^12-$A141),$A141,$A142))</f>
        <v>0</v>
      </c>
      <c r="F141" s="0" t="n">
        <f aca="false">IF(IF((F$3*10^12-$A142)*(F$3*10^12-$A141)*-1&lt;0,0,1)*IF(ABS(F$3*10^12-$A142)&gt;(F$3*10^12-$A141),$A141,$A142)=F142,0,IF((F$3*10^12-$A142)*(F$3*10^12-$A141)*-1&lt;0,0,1)*IF(ABS(F$3*10^12-$A142)&gt;(F$3*10^12-$A141),$A141,$A142))</f>
        <v>0</v>
      </c>
      <c r="G141" s="0" t="n">
        <f aca="false">IF(IF((G$3*10^12-$A142)*(G$3*10^12-$A141)*-1&lt;0,0,1)*IF(ABS(G$3*10^12-$A142)&gt;(G$3*10^12-$A141),$A141,$A142)=G142,0,IF((G$3*10^12-$A142)*(G$3*10^12-$A141)*-1&lt;0,0,1)*IF(ABS(G$3*10^12-$A142)&gt;(G$3*10^12-$A141),$A141,$A142))</f>
        <v>0</v>
      </c>
      <c r="H141" s="0" t="n">
        <f aca="false">IF(IF((H$3*10^12-$A142)*(H$3*10^12-$A141)*-1&lt;0,0,1)*IF(ABS(H$3*10^12-$A142)&gt;(H$3*10^12-$A141),$A141,$A142)=H142,0,IF((H$3*10^12-$A142)*(H$3*10^12-$A141)*-1&lt;0,0,1)*IF(ABS(H$3*10^12-$A142)&gt;(H$3*10^12-$A141),$A141,$A142))</f>
        <v>0</v>
      </c>
      <c r="I141" s="0" t="n">
        <f aca="false">IF(IF((I$3*10^12-$A142)*(I$3*10^12-$A141)*-1&lt;0,0,1)*IF(ABS(I$3*10^12-$A142)&gt;(I$3*10^12-$A141),$A141,$A142)=I142,0,IF((I$3*10^12-$A142)*(I$3*10^12-$A141)*-1&lt;0,0,1)*IF(ABS(I$3*10^12-$A142)&gt;(I$3*10^12-$A141),$A141,$A142))</f>
        <v>0</v>
      </c>
      <c r="J141" s="0" t="n">
        <f aca="false">IF(IF((J$3*10^12-$A142)*(J$3*10^12-$A141)*-1&lt;0,0,1)*IF(ABS(J$3*10^12-$A142)&gt;(J$3*10^12-$A141),$A141,$A142)=J142,0,IF((J$3*10^12-$A142)*(J$3*10^12-$A141)*-1&lt;0,0,1)*IF(ABS(J$3*10^12-$A142)&gt;(J$3*10^12-$A141),$A141,$A142))</f>
        <v>0</v>
      </c>
      <c r="K141" s="0" t="n">
        <f aca="false">IF(IF((K$3*10^12-$A142)*(K$3*10^12-$A141)*-1&lt;0,0,1)*IF(ABS(K$3*10^12-$A142)&gt;(K$3*10^12-$A141),$A141,$A142)=K142,0,IF((K$3*10^12-$A142)*(K$3*10^12-$A141)*-1&lt;0,0,1)*IF(ABS(K$3*10^12-$A142)&gt;(K$3*10^12-$A141),$A141,$A142))</f>
        <v>0</v>
      </c>
      <c r="L141" s="0" t="n">
        <f aca="false">IF(IF((L$3*10^12-$A142)*(L$3*10^12-$A141)*-1&lt;0,0,1)*IF(ABS(L$3*10^12-$A142)&gt;(L$3*10^12-$A141),$A141,$A142)=L142,0,IF((L$3*10^12-$A142)*(L$3*10^12-$A141)*-1&lt;0,0,1)*IF(ABS(L$3*10^12-$A142)&gt;(L$3*10^12-$A141),$A141,$A142))</f>
        <v>0</v>
      </c>
      <c r="M141" s="0" t="n">
        <f aca="false">IF(IF((M$3*10^12-$A142)*(M$3*10^12-$A141)*-1&lt;0,0,1)*IF(ABS(M$3*10^12-$A142)&gt;(M$3*10^12-$A141),$A141,$A142)=M142,0,IF((M$3*10^12-$A142)*(M$3*10^12-$A141)*-1&lt;0,0,1)*IF(ABS(M$3*10^12-$A142)&gt;(M$3*10^12-$A141),$A141,$A142))</f>
        <v>0</v>
      </c>
      <c r="N141" s="0" t="e">
        <f aca="false">IF(IF((N$3*10^12-$A142)*(N$3*10^12-$A141)*-1&lt;0,0,1)*IF(ABS(N$3*10^12-$A142)&gt;(N$3*10^12-$A141),$A141,$A142)=N142,0,IF((N$3*10^12-$A142)*(N$3*10^12-$A141)*-1&lt;0,0,1)*IF(ABS(N$3*10^12-$A142)&gt;(N$3*10^12-$A141),$A141,$A142))</f>
        <v>#VALUE!</v>
      </c>
    </row>
    <row r="142" customFormat="false" ht="12.75" hidden="false" customHeight="false" outlineLevel="0" collapsed="false">
      <c r="A142" s="0" t="n">
        <f aca="false">A130*10</f>
        <v>100000000000</v>
      </c>
      <c r="B142" s="0" t="n">
        <f aca="false">IF(IF((B$3*10^12-$A143)*(B$3*10^12-$A142)*-1&lt;0,0,1)*IF(ABS(B$3*10^12-$A143)&gt;(B$3*10^12-$A142),$A142,$A143)=B143,0,IF((B$3*10^12-$A143)*(B$3*10^12-$A142)*-1&lt;0,0,1)*IF(ABS(B$3*10^12-$A143)&gt;(B$3*10^12-$A142),$A142,$A143))</f>
        <v>0</v>
      </c>
      <c r="C142" s="0" t="n">
        <f aca="false">IF(IF((C$3*10^12-$A143)*(C$3*10^12-$A142)*-1&lt;0,0,1)*IF(ABS(C$3*10^12-$A143)&gt;(C$3*10^12-$A142),$A142,$A143)=C143,0,IF((C$3*10^12-$A143)*(C$3*10^12-$A142)*-1&lt;0,0,1)*IF(ABS(C$3*10^12-$A143)&gt;(C$3*10^12-$A142),$A142,$A143))</f>
        <v>0</v>
      </c>
      <c r="D142" s="0" t="n">
        <f aca="false">IF(IF((D$3*10^12-$A143)*(D$3*10^12-$A142)*-1&lt;0,0,1)*IF(ABS(D$3*10^12-$A143)&gt;(D$3*10^12-$A142),$A142,$A143)=D143,0,IF((D$3*10^12-$A143)*(D$3*10^12-$A142)*-1&lt;0,0,1)*IF(ABS(D$3*10^12-$A143)&gt;(D$3*10^12-$A142),$A142,$A143))</f>
        <v>0</v>
      </c>
      <c r="E142" s="0" t="n">
        <f aca="false">IF(IF((E$3*10^12-$A143)*(E$3*10^12-$A142)*-1&lt;0,0,1)*IF(ABS(E$3*10^12-$A143)&gt;(E$3*10^12-$A142),$A142,$A143)=E143,0,IF((E$3*10^12-$A143)*(E$3*10^12-$A142)*-1&lt;0,0,1)*IF(ABS(E$3*10^12-$A143)&gt;(E$3*10^12-$A142),$A142,$A143))</f>
        <v>0</v>
      </c>
      <c r="F142" s="0" t="n">
        <f aca="false">IF(IF((F$3*10^12-$A143)*(F$3*10^12-$A142)*-1&lt;0,0,1)*IF(ABS(F$3*10^12-$A143)&gt;(F$3*10^12-$A142),$A142,$A143)=F143,0,IF((F$3*10^12-$A143)*(F$3*10^12-$A142)*-1&lt;0,0,1)*IF(ABS(F$3*10^12-$A143)&gt;(F$3*10^12-$A142),$A142,$A143))</f>
        <v>0</v>
      </c>
      <c r="G142" s="0" t="n">
        <f aca="false">IF(IF((G$3*10^12-$A143)*(G$3*10^12-$A142)*-1&lt;0,0,1)*IF(ABS(G$3*10^12-$A143)&gt;(G$3*10^12-$A142),$A142,$A143)=G143,0,IF((G$3*10^12-$A143)*(G$3*10^12-$A142)*-1&lt;0,0,1)*IF(ABS(G$3*10^12-$A143)&gt;(G$3*10^12-$A142),$A142,$A143))</f>
        <v>0</v>
      </c>
      <c r="H142" s="0" t="n">
        <f aca="false">IF(IF((H$3*10^12-$A143)*(H$3*10^12-$A142)*-1&lt;0,0,1)*IF(ABS(H$3*10^12-$A143)&gt;(H$3*10^12-$A142),$A142,$A143)=H143,0,IF((H$3*10^12-$A143)*(H$3*10^12-$A142)*-1&lt;0,0,1)*IF(ABS(H$3*10^12-$A143)&gt;(H$3*10^12-$A142),$A142,$A143))</f>
        <v>0</v>
      </c>
      <c r="I142" s="0" t="n">
        <f aca="false">IF(IF((I$3*10^12-$A143)*(I$3*10^12-$A142)*-1&lt;0,0,1)*IF(ABS(I$3*10^12-$A143)&gt;(I$3*10^12-$A142),$A142,$A143)=I143,0,IF((I$3*10^12-$A143)*(I$3*10^12-$A142)*-1&lt;0,0,1)*IF(ABS(I$3*10^12-$A143)&gt;(I$3*10^12-$A142),$A142,$A143))</f>
        <v>0</v>
      </c>
      <c r="J142" s="0" t="n">
        <f aca="false">IF(IF((J$3*10^12-$A143)*(J$3*10^12-$A142)*-1&lt;0,0,1)*IF(ABS(J$3*10^12-$A143)&gt;(J$3*10^12-$A142),$A142,$A143)=J143,0,IF((J$3*10^12-$A143)*(J$3*10^12-$A142)*-1&lt;0,0,1)*IF(ABS(J$3*10^12-$A143)&gt;(J$3*10^12-$A142),$A142,$A143))</f>
        <v>0</v>
      </c>
      <c r="K142" s="0" t="n">
        <f aca="false">IF(IF((K$3*10^12-$A143)*(K$3*10^12-$A142)*-1&lt;0,0,1)*IF(ABS(K$3*10^12-$A143)&gt;(K$3*10^12-$A142),$A142,$A143)=K143,0,IF((K$3*10^12-$A143)*(K$3*10^12-$A142)*-1&lt;0,0,1)*IF(ABS(K$3*10^12-$A143)&gt;(K$3*10^12-$A142),$A142,$A143))</f>
        <v>0</v>
      </c>
      <c r="L142" s="0" t="n">
        <f aca="false">IF(IF((L$3*10^12-$A143)*(L$3*10^12-$A142)*-1&lt;0,0,1)*IF(ABS(L$3*10^12-$A143)&gt;(L$3*10^12-$A142),$A142,$A143)=L143,0,IF((L$3*10^12-$A143)*(L$3*10^12-$A142)*-1&lt;0,0,1)*IF(ABS(L$3*10^12-$A143)&gt;(L$3*10^12-$A142),$A142,$A143))</f>
        <v>0</v>
      </c>
      <c r="M142" s="0" t="n">
        <f aca="false">IF(IF((M$3*10^12-$A143)*(M$3*10^12-$A142)*-1&lt;0,0,1)*IF(ABS(M$3*10^12-$A143)&gt;(M$3*10^12-$A142),$A142,$A143)=M143,0,IF((M$3*10^12-$A143)*(M$3*10^12-$A142)*-1&lt;0,0,1)*IF(ABS(M$3*10^12-$A143)&gt;(M$3*10^12-$A142),$A142,$A143))</f>
        <v>0</v>
      </c>
      <c r="N142" s="0" t="e">
        <f aca="false">IF(IF((N$3*10^12-$A143)*(N$3*10^12-$A142)*-1&lt;0,0,1)*IF(ABS(N$3*10^12-$A143)&gt;(N$3*10^12-$A142),$A142,$A143)=N143,0,IF((N$3*10^12-$A143)*(N$3*10^12-$A142)*-1&lt;0,0,1)*IF(ABS(N$3*10^12-$A143)&gt;(N$3*10^12-$A142),$A142,$A143))</f>
        <v>#VALUE!</v>
      </c>
    </row>
    <row r="143" customFormat="false" ht="12.75" hidden="false" customHeight="false" outlineLevel="0" collapsed="false">
      <c r="A143" s="0" t="n">
        <f aca="false">A131*10</f>
        <v>120000000000</v>
      </c>
      <c r="B143" s="0" t="n">
        <f aca="false">IF(IF((B$3*10^12-$A144)*(B$3*10^12-$A143)*-1&lt;0,0,1)*IF(ABS(B$3*10^12-$A144)&gt;(B$3*10^12-$A143),$A143,$A144)=B144,0,IF((B$3*10^12-$A144)*(B$3*10^12-$A143)*-1&lt;0,0,1)*IF(ABS(B$3*10^12-$A144)&gt;(B$3*10^12-$A143),$A143,$A144))</f>
        <v>0</v>
      </c>
      <c r="C143" s="0" t="n">
        <f aca="false">IF(IF((C$3*10^12-$A144)*(C$3*10^12-$A143)*-1&lt;0,0,1)*IF(ABS(C$3*10^12-$A144)&gt;(C$3*10^12-$A143),$A143,$A144)=C144,0,IF((C$3*10^12-$A144)*(C$3*10^12-$A143)*-1&lt;0,0,1)*IF(ABS(C$3*10^12-$A144)&gt;(C$3*10^12-$A143),$A143,$A144))</f>
        <v>0</v>
      </c>
      <c r="D143" s="0" t="n">
        <f aca="false">IF(IF((D$3*10^12-$A144)*(D$3*10^12-$A143)*-1&lt;0,0,1)*IF(ABS(D$3*10^12-$A144)&gt;(D$3*10^12-$A143),$A143,$A144)=D144,0,IF((D$3*10^12-$A144)*(D$3*10^12-$A143)*-1&lt;0,0,1)*IF(ABS(D$3*10^12-$A144)&gt;(D$3*10^12-$A143),$A143,$A144))</f>
        <v>0</v>
      </c>
      <c r="E143" s="0" t="n">
        <f aca="false">IF(IF((E$3*10^12-$A144)*(E$3*10^12-$A143)*-1&lt;0,0,1)*IF(ABS(E$3*10^12-$A144)&gt;(E$3*10^12-$A143),$A143,$A144)=E144,0,IF((E$3*10^12-$A144)*(E$3*10^12-$A143)*-1&lt;0,0,1)*IF(ABS(E$3*10^12-$A144)&gt;(E$3*10^12-$A143),$A143,$A144))</f>
        <v>0</v>
      </c>
      <c r="F143" s="0" t="n">
        <f aca="false">IF(IF((F$3*10^12-$A144)*(F$3*10^12-$A143)*-1&lt;0,0,1)*IF(ABS(F$3*10^12-$A144)&gt;(F$3*10^12-$A143),$A143,$A144)=F144,0,IF((F$3*10^12-$A144)*(F$3*10^12-$A143)*-1&lt;0,0,1)*IF(ABS(F$3*10^12-$A144)&gt;(F$3*10^12-$A143),$A143,$A144))</f>
        <v>0</v>
      </c>
      <c r="G143" s="0" t="n">
        <f aca="false">IF(IF((G$3*10^12-$A144)*(G$3*10^12-$A143)*-1&lt;0,0,1)*IF(ABS(G$3*10^12-$A144)&gt;(G$3*10^12-$A143),$A143,$A144)=G144,0,IF((G$3*10^12-$A144)*(G$3*10^12-$A143)*-1&lt;0,0,1)*IF(ABS(G$3*10^12-$A144)&gt;(G$3*10^12-$A143),$A143,$A144))</f>
        <v>0</v>
      </c>
      <c r="H143" s="0" t="n">
        <f aca="false">IF(IF((H$3*10^12-$A144)*(H$3*10^12-$A143)*-1&lt;0,0,1)*IF(ABS(H$3*10^12-$A144)&gt;(H$3*10^12-$A143),$A143,$A144)=H144,0,IF((H$3*10^12-$A144)*(H$3*10^12-$A143)*-1&lt;0,0,1)*IF(ABS(H$3*10^12-$A144)&gt;(H$3*10^12-$A143),$A143,$A144))</f>
        <v>0</v>
      </c>
      <c r="I143" s="0" t="n">
        <f aca="false">IF(IF((I$3*10^12-$A144)*(I$3*10^12-$A143)*-1&lt;0,0,1)*IF(ABS(I$3*10^12-$A144)&gt;(I$3*10^12-$A143),$A143,$A144)=I144,0,IF((I$3*10^12-$A144)*(I$3*10^12-$A143)*-1&lt;0,0,1)*IF(ABS(I$3*10^12-$A144)&gt;(I$3*10^12-$A143),$A143,$A144))</f>
        <v>0</v>
      </c>
      <c r="J143" s="0" t="n">
        <f aca="false">IF(IF((J$3*10^12-$A144)*(J$3*10^12-$A143)*-1&lt;0,0,1)*IF(ABS(J$3*10^12-$A144)&gt;(J$3*10^12-$A143),$A143,$A144)=J144,0,IF((J$3*10^12-$A144)*(J$3*10^12-$A143)*-1&lt;0,0,1)*IF(ABS(J$3*10^12-$A144)&gt;(J$3*10^12-$A143),$A143,$A144))</f>
        <v>0</v>
      </c>
      <c r="K143" s="0" t="n">
        <f aca="false">IF(IF((K$3*10^12-$A144)*(K$3*10^12-$A143)*-1&lt;0,0,1)*IF(ABS(K$3*10^12-$A144)&gt;(K$3*10^12-$A143),$A143,$A144)=K144,0,IF((K$3*10^12-$A144)*(K$3*10^12-$A143)*-1&lt;0,0,1)*IF(ABS(K$3*10^12-$A144)&gt;(K$3*10^12-$A143),$A143,$A144))</f>
        <v>0</v>
      </c>
      <c r="L143" s="0" t="n">
        <f aca="false">IF(IF((L$3*10^12-$A144)*(L$3*10^12-$A143)*-1&lt;0,0,1)*IF(ABS(L$3*10^12-$A144)&gt;(L$3*10^12-$A143),$A143,$A144)=L144,0,IF((L$3*10^12-$A144)*(L$3*10^12-$A143)*-1&lt;0,0,1)*IF(ABS(L$3*10^12-$A144)&gt;(L$3*10^12-$A143),$A143,$A144))</f>
        <v>0</v>
      </c>
      <c r="M143" s="0" t="n">
        <f aca="false">IF(IF((M$3*10^12-$A144)*(M$3*10^12-$A143)*-1&lt;0,0,1)*IF(ABS(M$3*10^12-$A144)&gt;(M$3*10^12-$A143),$A143,$A144)=M144,0,IF((M$3*10^12-$A144)*(M$3*10^12-$A143)*-1&lt;0,0,1)*IF(ABS(M$3*10^12-$A144)&gt;(M$3*10^12-$A143),$A143,$A144))</f>
        <v>0</v>
      </c>
      <c r="N143" s="0" t="e">
        <f aca="false">IF(IF((N$3*10^12-$A144)*(N$3*10^12-$A143)*-1&lt;0,0,1)*IF(ABS(N$3*10^12-$A144)&gt;(N$3*10^12-$A143),$A143,$A144)=N144,0,IF((N$3*10^12-$A144)*(N$3*10^12-$A143)*-1&lt;0,0,1)*IF(ABS(N$3*10^12-$A144)&gt;(N$3*10^12-$A143),$A143,$A144))</f>
        <v>#VALUE!</v>
      </c>
    </row>
    <row r="144" customFormat="false" ht="12.75" hidden="false" customHeight="false" outlineLevel="0" collapsed="false">
      <c r="A144" s="0" t="n">
        <f aca="false">A132*10</f>
        <v>150000000000</v>
      </c>
      <c r="B144" s="0" t="n">
        <f aca="false">IF(IF((B$3*10^12-$A145)*(B$3*10^12-$A144)*-1&lt;0,0,1)*IF(ABS(B$3*10^12-$A145)&gt;(B$3*10^12-$A144),$A144,$A145)=B145,0,IF((B$3*10^12-$A145)*(B$3*10^12-$A144)*-1&lt;0,0,1)*IF(ABS(B$3*10^12-$A145)&gt;(B$3*10^12-$A144),$A144,$A145))</f>
        <v>0</v>
      </c>
      <c r="C144" s="0" t="n">
        <f aca="false">IF(IF((C$3*10^12-$A145)*(C$3*10^12-$A144)*-1&lt;0,0,1)*IF(ABS(C$3*10^12-$A145)&gt;(C$3*10^12-$A144),$A144,$A145)=C145,0,IF((C$3*10^12-$A145)*(C$3*10^12-$A144)*-1&lt;0,0,1)*IF(ABS(C$3*10^12-$A145)&gt;(C$3*10^12-$A144),$A144,$A145))</f>
        <v>0</v>
      </c>
      <c r="D144" s="0" t="n">
        <f aca="false">IF(IF((D$3*10^12-$A145)*(D$3*10^12-$A144)*-1&lt;0,0,1)*IF(ABS(D$3*10^12-$A145)&gt;(D$3*10^12-$A144),$A144,$A145)=D145,0,IF((D$3*10^12-$A145)*(D$3*10^12-$A144)*-1&lt;0,0,1)*IF(ABS(D$3*10^12-$A145)&gt;(D$3*10^12-$A144),$A144,$A145))</f>
        <v>0</v>
      </c>
      <c r="E144" s="0" t="n">
        <f aca="false">IF(IF((E$3*10^12-$A145)*(E$3*10^12-$A144)*-1&lt;0,0,1)*IF(ABS(E$3*10^12-$A145)&gt;(E$3*10^12-$A144),$A144,$A145)=E145,0,IF((E$3*10^12-$A145)*(E$3*10^12-$A144)*-1&lt;0,0,1)*IF(ABS(E$3*10^12-$A145)&gt;(E$3*10^12-$A144),$A144,$A145))</f>
        <v>0</v>
      </c>
      <c r="F144" s="0" t="n">
        <f aca="false">IF(IF((F$3*10^12-$A145)*(F$3*10^12-$A144)*-1&lt;0,0,1)*IF(ABS(F$3*10^12-$A145)&gt;(F$3*10^12-$A144),$A144,$A145)=F145,0,IF((F$3*10^12-$A145)*(F$3*10^12-$A144)*-1&lt;0,0,1)*IF(ABS(F$3*10^12-$A145)&gt;(F$3*10^12-$A144),$A144,$A145))</f>
        <v>0</v>
      </c>
      <c r="G144" s="0" t="n">
        <f aca="false">IF(IF((G$3*10^12-$A145)*(G$3*10^12-$A144)*-1&lt;0,0,1)*IF(ABS(G$3*10^12-$A145)&gt;(G$3*10^12-$A144),$A144,$A145)=G145,0,IF((G$3*10^12-$A145)*(G$3*10^12-$A144)*-1&lt;0,0,1)*IF(ABS(G$3*10^12-$A145)&gt;(G$3*10^12-$A144),$A144,$A145))</f>
        <v>0</v>
      </c>
      <c r="H144" s="0" t="n">
        <f aca="false">IF(IF((H$3*10^12-$A145)*(H$3*10^12-$A144)*-1&lt;0,0,1)*IF(ABS(H$3*10^12-$A145)&gt;(H$3*10^12-$A144),$A144,$A145)=H145,0,IF((H$3*10^12-$A145)*(H$3*10^12-$A144)*-1&lt;0,0,1)*IF(ABS(H$3*10^12-$A145)&gt;(H$3*10^12-$A144),$A144,$A145))</f>
        <v>0</v>
      </c>
      <c r="I144" s="0" t="n">
        <f aca="false">IF(IF((I$3*10^12-$A145)*(I$3*10^12-$A144)*-1&lt;0,0,1)*IF(ABS(I$3*10^12-$A145)&gt;(I$3*10^12-$A144),$A144,$A145)=I145,0,IF((I$3*10^12-$A145)*(I$3*10^12-$A144)*-1&lt;0,0,1)*IF(ABS(I$3*10^12-$A145)&gt;(I$3*10^12-$A144),$A144,$A145))</f>
        <v>0</v>
      </c>
      <c r="J144" s="0" t="n">
        <f aca="false">IF(IF((J$3*10^12-$A145)*(J$3*10^12-$A144)*-1&lt;0,0,1)*IF(ABS(J$3*10^12-$A145)&gt;(J$3*10^12-$A144),$A144,$A145)=J145,0,IF((J$3*10^12-$A145)*(J$3*10^12-$A144)*-1&lt;0,0,1)*IF(ABS(J$3*10^12-$A145)&gt;(J$3*10^12-$A144),$A144,$A145))</f>
        <v>0</v>
      </c>
      <c r="K144" s="0" t="n">
        <f aca="false">IF(IF((K$3*10^12-$A145)*(K$3*10^12-$A144)*-1&lt;0,0,1)*IF(ABS(K$3*10^12-$A145)&gt;(K$3*10^12-$A144),$A144,$A145)=K145,0,IF((K$3*10^12-$A145)*(K$3*10^12-$A144)*-1&lt;0,0,1)*IF(ABS(K$3*10^12-$A145)&gt;(K$3*10^12-$A144),$A144,$A145))</f>
        <v>0</v>
      </c>
      <c r="L144" s="0" t="n">
        <f aca="false">IF(IF((L$3*10^12-$A145)*(L$3*10^12-$A144)*-1&lt;0,0,1)*IF(ABS(L$3*10^12-$A145)&gt;(L$3*10^12-$A144),$A144,$A145)=L145,0,IF((L$3*10^12-$A145)*(L$3*10^12-$A144)*-1&lt;0,0,1)*IF(ABS(L$3*10^12-$A145)&gt;(L$3*10^12-$A144),$A144,$A145))</f>
        <v>0</v>
      </c>
      <c r="M144" s="0" t="n">
        <f aca="false">IF(IF((M$3*10^12-$A145)*(M$3*10^12-$A144)*-1&lt;0,0,1)*IF(ABS(M$3*10^12-$A145)&gt;(M$3*10^12-$A144),$A144,$A145)=M145,0,IF((M$3*10^12-$A145)*(M$3*10^12-$A144)*-1&lt;0,0,1)*IF(ABS(M$3*10^12-$A145)&gt;(M$3*10^12-$A144),$A144,$A145))</f>
        <v>0</v>
      </c>
      <c r="N144" s="0" t="e">
        <f aca="false">IF(IF((N$3*10^12-$A145)*(N$3*10^12-$A144)*-1&lt;0,0,1)*IF(ABS(N$3*10^12-$A145)&gt;(N$3*10^12-$A144),$A144,$A145)=N145,0,IF((N$3*10^12-$A145)*(N$3*10^12-$A144)*-1&lt;0,0,1)*IF(ABS(N$3*10^12-$A145)&gt;(N$3*10^12-$A144),$A144,$A145))</f>
        <v>#VALUE!</v>
      </c>
    </row>
    <row r="145" customFormat="false" ht="12.75" hidden="false" customHeight="false" outlineLevel="0" collapsed="false">
      <c r="A145" s="0" t="n">
        <f aca="false">A133*10</f>
        <v>180000000000</v>
      </c>
      <c r="B145" s="0" t="n">
        <f aca="false">IF(IF((B$3*10^12-$A146)*(B$3*10^12-$A145)*-1&lt;0,0,1)*IF(ABS(B$3*10^12-$A146)&gt;(B$3*10^12-$A145),$A145,$A146)=B146,0,IF((B$3*10^12-$A146)*(B$3*10^12-$A145)*-1&lt;0,0,1)*IF(ABS(B$3*10^12-$A146)&gt;(B$3*10^12-$A145),$A145,$A146))</f>
        <v>0</v>
      </c>
      <c r="C145" s="0" t="n">
        <f aca="false">IF(IF((C$3*10^12-$A146)*(C$3*10^12-$A145)*-1&lt;0,0,1)*IF(ABS(C$3*10^12-$A146)&gt;(C$3*10^12-$A145),$A145,$A146)=C146,0,IF((C$3*10^12-$A146)*(C$3*10^12-$A145)*-1&lt;0,0,1)*IF(ABS(C$3*10^12-$A146)&gt;(C$3*10^12-$A145),$A145,$A146))</f>
        <v>0</v>
      </c>
      <c r="D145" s="0" t="n">
        <f aca="false">IF(IF((D$3*10^12-$A146)*(D$3*10^12-$A145)*-1&lt;0,0,1)*IF(ABS(D$3*10^12-$A146)&gt;(D$3*10^12-$A145),$A145,$A146)=D146,0,IF((D$3*10^12-$A146)*(D$3*10^12-$A145)*-1&lt;0,0,1)*IF(ABS(D$3*10^12-$A146)&gt;(D$3*10^12-$A145),$A145,$A146))</f>
        <v>0</v>
      </c>
      <c r="E145" s="0" t="n">
        <f aca="false">IF(IF((E$3*10^12-$A146)*(E$3*10^12-$A145)*-1&lt;0,0,1)*IF(ABS(E$3*10^12-$A146)&gt;(E$3*10^12-$A145),$A145,$A146)=E146,0,IF((E$3*10^12-$A146)*(E$3*10^12-$A145)*-1&lt;0,0,1)*IF(ABS(E$3*10^12-$A146)&gt;(E$3*10^12-$A145),$A145,$A146))</f>
        <v>0</v>
      </c>
      <c r="F145" s="0" t="n">
        <f aca="false">IF(IF((F$3*10^12-$A146)*(F$3*10^12-$A145)*-1&lt;0,0,1)*IF(ABS(F$3*10^12-$A146)&gt;(F$3*10^12-$A145),$A145,$A146)=F146,0,IF((F$3*10^12-$A146)*(F$3*10^12-$A145)*-1&lt;0,0,1)*IF(ABS(F$3*10^12-$A146)&gt;(F$3*10^12-$A145),$A145,$A146))</f>
        <v>0</v>
      </c>
      <c r="G145" s="0" t="n">
        <f aca="false">IF(IF((G$3*10^12-$A146)*(G$3*10^12-$A145)*-1&lt;0,0,1)*IF(ABS(G$3*10^12-$A146)&gt;(G$3*10^12-$A145),$A145,$A146)=G146,0,IF((G$3*10^12-$A146)*(G$3*10^12-$A145)*-1&lt;0,0,1)*IF(ABS(G$3*10^12-$A146)&gt;(G$3*10^12-$A145),$A145,$A146))</f>
        <v>0</v>
      </c>
      <c r="H145" s="0" t="n">
        <f aca="false">IF(IF((H$3*10^12-$A146)*(H$3*10^12-$A145)*-1&lt;0,0,1)*IF(ABS(H$3*10^12-$A146)&gt;(H$3*10^12-$A145),$A145,$A146)=H146,0,IF((H$3*10^12-$A146)*(H$3*10^12-$A145)*-1&lt;0,0,1)*IF(ABS(H$3*10^12-$A146)&gt;(H$3*10^12-$A145),$A145,$A146))</f>
        <v>0</v>
      </c>
      <c r="I145" s="0" t="n">
        <f aca="false">IF(IF((I$3*10^12-$A146)*(I$3*10^12-$A145)*-1&lt;0,0,1)*IF(ABS(I$3*10^12-$A146)&gt;(I$3*10^12-$A145),$A145,$A146)=I146,0,IF((I$3*10^12-$A146)*(I$3*10^12-$A145)*-1&lt;0,0,1)*IF(ABS(I$3*10^12-$A146)&gt;(I$3*10^12-$A145),$A145,$A146))</f>
        <v>0</v>
      </c>
      <c r="J145" s="0" t="n">
        <f aca="false">IF(IF((J$3*10^12-$A146)*(J$3*10^12-$A145)*-1&lt;0,0,1)*IF(ABS(J$3*10^12-$A146)&gt;(J$3*10^12-$A145),$A145,$A146)=J146,0,IF((J$3*10^12-$A146)*(J$3*10^12-$A145)*-1&lt;0,0,1)*IF(ABS(J$3*10^12-$A146)&gt;(J$3*10^12-$A145),$A145,$A146))</f>
        <v>0</v>
      </c>
      <c r="K145" s="0" t="n">
        <f aca="false">IF(IF((K$3*10^12-$A146)*(K$3*10^12-$A145)*-1&lt;0,0,1)*IF(ABS(K$3*10^12-$A146)&gt;(K$3*10^12-$A145),$A145,$A146)=K146,0,IF((K$3*10^12-$A146)*(K$3*10^12-$A145)*-1&lt;0,0,1)*IF(ABS(K$3*10^12-$A146)&gt;(K$3*10^12-$A145),$A145,$A146))</f>
        <v>0</v>
      </c>
      <c r="L145" s="0" t="n">
        <f aca="false">IF(IF((L$3*10^12-$A146)*(L$3*10^12-$A145)*-1&lt;0,0,1)*IF(ABS(L$3*10^12-$A146)&gt;(L$3*10^12-$A145),$A145,$A146)=L146,0,IF((L$3*10^12-$A146)*(L$3*10^12-$A145)*-1&lt;0,0,1)*IF(ABS(L$3*10^12-$A146)&gt;(L$3*10^12-$A145),$A145,$A146))</f>
        <v>0</v>
      </c>
      <c r="M145" s="0" t="n">
        <f aca="false">IF(IF((M$3*10^12-$A146)*(M$3*10^12-$A145)*-1&lt;0,0,1)*IF(ABS(M$3*10^12-$A146)&gt;(M$3*10^12-$A145),$A145,$A146)=M146,0,IF((M$3*10^12-$A146)*(M$3*10^12-$A145)*-1&lt;0,0,1)*IF(ABS(M$3*10^12-$A146)&gt;(M$3*10^12-$A145),$A145,$A146))</f>
        <v>0</v>
      </c>
      <c r="N145" s="0" t="e">
        <f aca="false">IF(IF((N$3*10^12-$A146)*(N$3*10^12-$A145)*-1&lt;0,0,1)*IF(ABS(N$3*10^12-$A146)&gt;(N$3*10^12-$A145),$A145,$A146)=N146,0,IF((N$3*10^12-$A146)*(N$3*10^12-$A145)*-1&lt;0,0,1)*IF(ABS(N$3*10^12-$A146)&gt;(N$3*10^12-$A145),$A145,$A146))</f>
        <v>#VALUE!</v>
      </c>
    </row>
    <row r="146" customFormat="false" ht="12.75" hidden="false" customHeight="false" outlineLevel="0" collapsed="false">
      <c r="A146" s="0" t="n">
        <f aca="false">A134*10</f>
        <v>220000000000</v>
      </c>
      <c r="B146" s="0" t="n">
        <f aca="false">IF(IF((B$3*10^12-$A147)*(B$3*10^12-$A146)*-1&lt;0,0,1)*IF(ABS(B$3*10^12-$A147)&gt;(B$3*10^12-$A146),$A146,$A147)=B147,0,IF((B$3*10^12-$A147)*(B$3*10^12-$A146)*-1&lt;0,0,1)*IF(ABS(B$3*10^12-$A147)&gt;(B$3*10^12-$A146),$A146,$A147))</f>
        <v>0</v>
      </c>
      <c r="C146" s="0" t="n">
        <f aca="false">IF(IF((C$3*10^12-$A147)*(C$3*10^12-$A146)*-1&lt;0,0,1)*IF(ABS(C$3*10^12-$A147)&gt;(C$3*10^12-$A146),$A146,$A147)=C147,0,IF((C$3*10^12-$A147)*(C$3*10^12-$A146)*-1&lt;0,0,1)*IF(ABS(C$3*10^12-$A147)&gt;(C$3*10^12-$A146),$A146,$A147))</f>
        <v>0</v>
      </c>
      <c r="D146" s="0" t="n">
        <f aca="false">IF(IF((D$3*10^12-$A147)*(D$3*10^12-$A146)*-1&lt;0,0,1)*IF(ABS(D$3*10^12-$A147)&gt;(D$3*10^12-$A146),$A146,$A147)=D147,0,IF((D$3*10^12-$A147)*(D$3*10^12-$A146)*-1&lt;0,0,1)*IF(ABS(D$3*10^12-$A147)&gt;(D$3*10^12-$A146),$A146,$A147))</f>
        <v>0</v>
      </c>
      <c r="E146" s="0" t="n">
        <f aca="false">IF(IF((E$3*10^12-$A147)*(E$3*10^12-$A146)*-1&lt;0,0,1)*IF(ABS(E$3*10^12-$A147)&gt;(E$3*10^12-$A146),$A146,$A147)=E147,0,IF((E$3*10^12-$A147)*(E$3*10^12-$A146)*-1&lt;0,0,1)*IF(ABS(E$3*10^12-$A147)&gt;(E$3*10^12-$A146),$A146,$A147))</f>
        <v>0</v>
      </c>
      <c r="F146" s="0" t="n">
        <f aca="false">IF(IF((F$3*10^12-$A147)*(F$3*10^12-$A146)*-1&lt;0,0,1)*IF(ABS(F$3*10^12-$A147)&gt;(F$3*10^12-$A146),$A146,$A147)=F147,0,IF((F$3*10^12-$A147)*(F$3*10^12-$A146)*-1&lt;0,0,1)*IF(ABS(F$3*10^12-$A147)&gt;(F$3*10^12-$A146),$A146,$A147))</f>
        <v>0</v>
      </c>
      <c r="G146" s="0" t="n">
        <f aca="false">IF(IF((G$3*10^12-$A147)*(G$3*10^12-$A146)*-1&lt;0,0,1)*IF(ABS(G$3*10^12-$A147)&gt;(G$3*10^12-$A146),$A146,$A147)=G147,0,IF((G$3*10^12-$A147)*(G$3*10^12-$A146)*-1&lt;0,0,1)*IF(ABS(G$3*10^12-$A147)&gt;(G$3*10^12-$A146),$A146,$A147))</f>
        <v>0</v>
      </c>
      <c r="H146" s="0" t="n">
        <f aca="false">IF(IF((H$3*10^12-$A147)*(H$3*10^12-$A146)*-1&lt;0,0,1)*IF(ABS(H$3*10^12-$A147)&gt;(H$3*10^12-$A146),$A146,$A147)=H147,0,IF((H$3*10^12-$A147)*(H$3*10^12-$A146)*-1&lt;0,0,1)*IF(ABS(H$3*10^12-$A147)&gt;(H$3*10^12-$A146),$A146,$A147))</f>
        <v>0</v>
      </c>
      <c r="I146" s="0" t="n">
        <f aca="false">IF(IF((I$3*10^12-$A147)*(I$3*10^12-$A146)*-1&lt;0,0,1)*IF(ABS(I$3*10^12-$A147)&gt;(I$3*10^12-$A146),$A146,$A147)=I147,0,IF((I$3*10^12-$A147)*(I$3*10^12-$A146)*-1&lt;0,0,1)*IF(ABS(I$3*10^12-$A147)&gt;(I$3*10^12-$A146),$A146,$A147))</f>
        <v>0</v>
      </c>
      <c r="J146" s="0" t="n">
        <f aca="false">IF(IF((J$3*10^12-$A147)*(J$3*10^12-$A146)*-1&lt;0,0,1)*IF(ABS(J$3*10^12-$A147)&gt;(J$3*10^12-$A146),$A146,$A147)=J147,0,IF((J$3*10^12-$A147)*(J$3*10^12-$A146)*-1&lt;0,0,1)*IF(ABS(J$3*10^12-$A147)&gt;(J$3*10^12-$A146),$A146,$A147))</f>
        <v>0</v>
      </c>
      <c r="K146" s="0" t="n">
        <f aca="false">IF(IF((K$3*10^12-$A147)*(K$3*10^12-$A146)*-1&lt;0,0,1)*IF(ABS(K$3*10^12-$A147)&gt;(K$3*10^12-$A146),$A146,$A147)=K147,0,IF((K$3*10^12-$A147)*(K$3*10^12-$A146)*-1&lt;0,0,1)*IF(ABS(K$3*10^12-$A147)&gt;(K$3*10^12-$A146),$A146,$A147))</f>
        <v>0</v>
      </c>
      <c r="L146" s="0" t="n">
        <f aca="false">IF(IF((L$3*10^12-$A147)*(L$3*10^12-$A146)*-1&lt;0,0,1)*IF(ABS(L$3*10^12-$A147)&gt;(L$3*10^12-$A146),$A146,$A147)=L147,0,IF((L$3*10^12-$A147)*(L$3*10^12-$A146)*-1&lt;0,0,1)*IF(ABS(L$3*10^12-$A147)&gt;(L$3*10^12-$A146),$A146,$A147))</f>
        <v>0</v>
      </c>
      <c r="M146" s="0" t="n">
        <f aca="false">IF(IF((M$3*10^12-$A147)*(M$3*10^12-$A146)*-1&lt;0,0,1)*IF(ABS(M$3*10^12-$A147)&gt;(M$3*10^12-$A146),$A146,$A147)=M147,0,IF((M$3*10^12-$A147)*(M$3*10^12-$A146)*-1&lt;0,0,1)*IF(ABS(M$3*10^12-$A147)&gt;(M$3*10^12-$A146),$A146,$A147))</f>
        <v>0</v>
      </c>
      <c r="N146" s="0" t="e">
        <f aca="false">IF(IF((N$3*10^12-$A147)*(N$3*10^12-$A146)*-1&lt;0,0,1)*IF(ABS(N$3*10^12-$A147)&gt;(N$3*10^12-$A146),$A146,$A147)=N147,0,IF((N$3*10^12-$A147)*(N$3*10^12-$A146)*-1&lt;0,0,1)*IF(ABS(N$3*10^12-$A147)&gt;(N$3*10^12-$A146),$A146,$A147))</f>
        <v>#VALUE!</v>
      </c>
    </row>
    <row r="147" customFormat="false" ht="12.75" hidden="false" customHeight="false" outlineLevel="0" collapsed="false">
      <c r="A147" s="0" t="n">
        <f aca="false">A135*10</f>
        <v>270000000000</v>
      </c>
      <c r="B147" s="0" t="n">
        <f aca="false">IF(IF((B$3*10^12-$A148)*(B$3*10^12-$A147)*-1&lt;0,0,1)*IF(ABS(B$3*10^12-$A148)&gt;(B$3*10^12-$A147),$A147,$A148)=B148,0,IF((B$3*10^12-$A148)*(B$3*10^12-$A147)*-1&lt;0,0,1)*IF(ABS(B$3*10^12-$A148)&gt;(B$3*10^12-$A147),$A147,$A148))</f>
        <v>0</v>
      </c>
      <c r="C147" s="0" t="n">
        <f aca="false">IF(IF((C$3*10^12-$A148)*(C$3*10^12-$A147)*-1&lt;0,0,1)*IF(ABS(C$3*10^12-$A148)&gt;(C$3*10^12-$A147),$A147,$A148)=C148,0,IF((C$3*10^12-$A148)*(C$3*10^12-$A147)*-1&lt;0,0,1)*IF(ABS(C$3*10^12-$A148)&gt;(C$3*10^12-$A147),$A147,$A148))</f>
        <v>0</v>
      </c>
      <c r="D147" s="0" t="n">
        <f aca="false">IF(IF((D$3*10^12-$A148)*(D$3*10^12-$A147)*-1&lt;0,0,1)*IF(ABS(D$3*10^12-$A148)&gt;(D$3*10^12-$A147),$A147,$A148)=D148,0,IF((D$3*10^12-$A148)*(D$3*10^12-$A147)*-1&lt;0,0,1)*IF(ABS(D$3*10^12-$A148)&gt;(D$3*10^12-$A147),$A147,$A148))</f>
        <v>0</v>
      </c>
      <c r="E147" s="0" t="n">
        <f aca="false">IF(IF((E$3*10^12-$A148)*(E$3*10^12-$A147)*-1&lt;0,0,1)*IF(ABS(E$3*10^12-$A148)&gt;(E$3*10^12-$A147),$A147,$A148)=E148,0,IF((E$3*10^12-$A148)*(E$3*10^12-$A147)*-1&lt;0,0,1)*IF(ABS(E$3*10^12-$A148)&gt;(E$3*10^12-$A147),$A147,$A148))</f>
        <v>0</v>
      </c>
      <c r="F147" s="0" t="n">
        <f aca="false">IF(IF((F$3*10^12-$A148)*(F$3*10^12-$A147)*-1&lt;0,0,1)*IF(ABS(F$3*10^12-$A148)&gt;(F$3*10^12-$A147),$A147,$A148)=F148,0,IF((F$3*10^12-$A148)*(F$3*10^12-$A147)*-1&lt;0,0,1)*IF(ABS(F$3*10^12-$A148)&gt;(F$3*10^12-$A147),$A147,$A148))</f>
        <v>0</v>
      </c>
      <c r="G147" s="0" t="n">
        <f aca="false">IF(IF((G$3*10^12-$A148)*(G$3*10^12-$A147)*-1&lt;0,0,1)*IF(ABS(G$3*10^12-$A148)&gt;(G$3*10^12-$A147),$A147,$A148)=G148,0,IF((G$3*10^12-$A148)*(G$3*10^12-$A147)*-1&lt;0,0,1)*IF(ABS(G$3*10^12-$A148)&gt;(G$3*10^12-$A147),$A147,$A148))</f>
        <v>0</v>
      </c>
      <c r="H147" s="0" t="n">
        <f aca="false">IF(IF((H$3*10^12-$A148)*(H$3*10^12-$A147)*-1&lt;0,0,1)*IF(ABS(H$3*10^12-$A148)&gt;(H$3*10^12-$A147),$A147,$A148)=H148,0,IF((H$3*10^12-$A148)*(H$3*10^12-$A147)*-1&lt;0,0,1)*IF(ABS(H$3*10^12-$A148)&gt;(H$3*10^12-$A147),$A147,$A148))</f>
        <v>0</v>
      </c>
      <c r="I147" s="0" t="n">
        <f aca="false">IF(IF((I$3*10^12-$A148)*(I$3*10^12-$A147)*-1&lt;0,0,1)*IF(ABS(I$3*10^12-$A148)&gt;(I$3*10^12-$A147),$A147,$A148)=I148,0,IF((I$3*10^12-$A148)*(I$3*10^12-$A147)*-1&lt;0,0,1)*IF(ABS(I$3*10^12-$A148)&gt;(I$3*10^12-$A147),$A147,$A148))</f>
        <v>0</v>
      </c>
      <c r="J147" s="0" t="n">
        <f aca="false">IF(IF((J$3*10^12-$A148)*(J$3*10^12-$A147)*-1&lt;0,0,1)*IF(ABS(J$3*10^12-$A148)&gt;(J$3*10^12-$A147),$A147,$A148)=J148,0,IF((J$3*10^12-$A148)*(J$3*10^12-$A147)*-1&lt;0,0,1)*IF(ABS(J$3*10^12-$A148)&gt;(J$3*10^12-$A147),$A147,$A148))</f>
        <v>0</v>
      </c>
      <c r="K147" s="0" t="n">
        <f aca="false">IF(IF((K$3*10^12-$A148)*(K$3*10^12-$A147)*-1&lt;0,0,1)*IF(ABS(K$3*10^12-$A148)&gt;(K$3*10^12-$A147),$A147,$A148)=K148,0,IF((K$3*10^12-$A148)*(K$3*10^12-$A147)*-1&lt;0,0,1)*IF(ABS(K$3*10^12-$A148)&gt;(K$3*10^12-$A147),$A147,$A148))</f>
        <v>0</v>
      </c>
      <c r="L147" s="0" t="n">
        <f aca="false">IF(IF((L$3*10^12-$A148)*(L$3*10^12-$A147)*-1&lt;0,0,1)*IF(ABS(L$3*10^12-$A148)&gt;(L$3*10^12-$A147),$A147,$A148)=L148,0,IF((L$3*10^12-$A148)*(L$3*10^12-$A147)*-1&lt;0,0,1)*IF(ABS(L$3*10^12-$A148)&gt;(L$3*10^12-$A147),$A147,$A148))</f>
        <v>0</v>
      </c>
      <c r="M147" s="0" t="n">
        <f aca="false">IF(IF((M$3*10^12-$A148)*(M$3*10^12-$A147)*-1&lt;0,0,1)*IF(ABS(M$3*10^12-$A148)&gt;(M$3*10^12-$A147),$A147,$A148)=M148,0,IF((M$3*10^12-$A148)*(M$3*10^12-$A147)*-1&lt;0,0,1)*IF(ABS(M$3*10^12-$A148)&gt;(M$3*10^12-$A147),$A147,$A148))</f>
        <v>0</v>
      </c>
      <c r="N147" s="0" t="e">
        <f aca="false">IF(IF((N$3*10^12-$A148)*(N$3*10^12-$A147)*-1&lt;0,0,1)*IF(ABS(N$3*10^12-$A148)&gt;(N$3*10^12-$A147),$A147,$A148)=N148,0,IF((N$3*10^12-$A148)*(N$3*10^12-$A147)*-1&lt;0,0,1)*IF(ABS(N$3*10^12-$A148)&gt;(N$3*10^12-$A147),$A147,$A148))</f>
        <v>#VALUE!</v>
      </c>
    </row>
    <row r="148" customFormat="false" ht="12.75" hidden="false" customHeight="false" outlineLevel="0" collapsed="false">
      <c r="A148" s="0" t="n">
        <f aca="false">A136*10</f>
        <v>330000000000</v>
      </c>
      <c r="B148" s="0" t="n">
        <f aca="false">IF(IF((B$3*10^12-$A149)*(B$3*10^12-$A148)*-1&lt;0,0,1)*IF(ABS(B$3*10^12-$A149)&gt;(B$3*10^12-$A148),$A148,$A149)=B149,0,IF((B$3*10^12-$A149)*(B$3*10^12-$A148)*-1&lt;0,0,1)*IF(ABS(B$3*10^12-$A149)&gt;(B$3*10^12-$A148),$A148,$A149))</f>
        <v>0</v>
      </c>
      <c r="C148" s="0" t="n">
        <f aca="false">IF(IF((C$3*10^12-$A149)*(C$3*10^12-$A148)*-1&lt;0,0,1)*IF(ABS(C$3*10^12-$A149)&gt;(C$3*10^12-$A148),$A148,$A149)=C149,0,IF((C$3*10^12-$A149)*(C$3*10^12-$A148)*-1&lt;0,0,1)*IF(ABS(C$3*10^12-$A149)&gt;(C$3*10^12-$A148),$A148,$A149))</f>
        <v>0</v>
      </c>
      <c r="D148" s="0" t="n">
        <f aca="false">IF(IF((D$3*10^12-$A149)*(D$3*10^12-$A148)*-1&lt;0,0,1)*IF(ABS(D$3*10^12-$A149)&gt;(D$3*10^12-$A148),$A148,$A149)=D149,0,IF((D$3*10^12-$A149)*(D$3*10^12-$A148)*-1&lt;0,0,1)*IF(ABS(D$3*10^12-$A149)&gt;(D$3*10^12-$A148),$A148,$A149))</f>
        <v>0</v>
      </c>
      <c r="E148" s="0" t="n">
        <f aca="false">IF(IF((E$3*10^12-$A149)*(E$3*10^12-$A148)*-1&lt;0,0,1)*IF(ABS(E$3*10^12-$A149)&gt;(E$3*10^12-$A148),$A148,$A149)=E149,0,IF((E$3*10^12-$A149)*(E$3*10^12-$A148)*-1&lt;0,0,1)*IF(ABS(E$3*10^12-$A149)&gt;(E$3*10^12-$A148),$A148,$A149))</f>
        <v>0</v>
      </c>
      <c r="F148" s="0" t="n">
        <f aca="false">IF(IF((F$3*10^12-$A149)*(F$3*10^12-$A148)*-1&lt;0,0,1)*IF(ABS(F$3*10^12-$A149)&gt;(F$3*10^12-$A148),$A148,$A149)=F149,0,IF((F$3*10^12-$A149)*(F$3*10^12-$A148)*-1&lt;0,0,1)*IF(ABS(F$3*10^12-$A149)&gt;(F$3*10^12-$A148),$A148,$A149))</f>
        <v>0</v>
      </c>
      <c r="G148" s="0" t="n">
        <f aca="false">IF(IF((G$3*10^12-$A149)*(G$3*10^12-$A148)*-1&lt;0,0,1)*IF(ABS(G$3*10^12-$A149)&gt;(G$3*10^12-$A148),$A148,$A149)=G149,0,IF((G$3*10^12-$A149)*(G$3*10^12-$A148)*-1&lt;0,0,1)*IF(ABS(G$3*10^12-$A149)&gt;(G$3*10^12-$A148),$A148,$A149))</f>
        <v>0</v>
      </c>
      <c r="H148" s="0" t="n">
        <f aca="false">IF(IF((H$3*10^12-$A149)*(H$3*10^12-$A148)*-1&lt;0,0,1)*IF(ABS(H$3*10^12-$A149)&gt;(H$3*10^12-$A148),$A148,$A149)=H149,0,IF((H$3*10^12-$A149)*(H$3*10^12-$A148)*-1&lt;0,0,1)*IF(ABS(H$3*10^12-$A149)&gt;(H$3*10^12-$A148),$A148,$A149))</f>
        <v>0</v>
      </c>
      <c r="I148" s="0" t="n">
        <f aca="false">IF(IF((I$3*10^12-$A149)*(I$3*10^12-$A148)*-1&lt;0,0,1)*IF(ABS(I$3*10^12-$A149)&gt;(I$3*10^12-$A148),$A148,$A149)=I149,0,IF((I$3*10^12-$A149)*(I$3*10^12-$A148)*-1&lt;0,0,1)*IF(ABS(I$3*10^12-$A149)&gt;(I$3*10^12-$A148),$A148,$A149))</f>
        <v>0</v>
      </c>
      <c r="J148" s="0" t="n">
        <f aca="false">IF(IF((J$3*10^12-$A149)*(J$3*10^12-$A148)*-1&lt;0,0,1)*IF(ABS(J$3*10^12-$A149)&gt;(J$3*10^12-$A148),$A148,$A149)=J149,0,IF((J$3*10^12-$A149)*(J$3*10^12-$A148)*-1&lt;0,0,1)*IF(ABS(J$3*10^12-$A149)&gt;(J$3*10^12-$A148),$A148,$A149))</f>
        <v>0</v>
      </c>
      <c r="K148" s="0" t="n">
        <f aca="false">IF(IF((K$3*10^12-$A149)*(K$3*10^12-$A148)*-1&lt;0,0,1)*IF(ABS(K$3*10^12-$A149)&gt;(K$3*10^12-$A148),$A148,$A149)=K149,0,IF((K$3*10^12-$A149)*(K$3*10^12-$A148)*-1&lt;0,0,1)*IF(ABS(K$3*10^12-$A149)&gt;(K$3*10^12-$A148),$A148,$A149))</f>
        <v>0</v>
      </c>
      <c r="L148" s="0" t="n">
        <f aca="false">IF(IF((L$3*10^12-$A149)*(L$3*10^12-$A148)*-1&lt;0,0,1)*IF(ABS(L$3*10^12-$A149)&gt;(L$3*10^12-$A148),$A148,$A149)=L149,0,IF((L$3*10^12-$A149)*(L$3*10^12-$A148)*-1&lt;0,0,1)*IF(ABS(L$3*10^12-$A149)&gt;(L$3*10^12-$A148),$A148,$A149))</f>
        <v>0</v>
      </c>
      <c r="M148" s="0" t="n">
        <f aca="false">IF(IF((M$3*10^12-$A149)*(M$3*10^12-$A148)*-1&lt;0,0,1)*IF(ABS(M$3*10^12-$A149)&gt;(M$3*10^12-$A148),$A148,$A149)=M149,0,IF((M$3*10^12-$A149)*(M$3*10^12-$A148)*-1&lt;0,0,1)*IF(ABS(M$3*10^12-$A149)&gt;(M$3*10^12-$A148),$A148,$A149))</f>
        <v>0</v>
      </c>
      <c r="N148" s="0" t="e">
        <f aca="false">IF(IF((N$3*10^12-$A149)*(N$3*10^12-$A148)*-1&lt;0,0,1)*IF(ABS(N$3*10^12-$A149)&gt;(N$3*10^12-$A148),$A148,$A149)=N149,0,IF((N$3*10^12-$A149)*(N$3*10^12-$A148)*-1&lt;0,0,1)*IF(ABS(N$3*10^12-$A149)&gt;(N$3*10^12-$A148),$A148,$A149))</f>
        <v>#VALUE!</v>
      </c>
    </row>
    <row r="149" customFormat="false" ht="12.75" hidden="false" customHeight="false" outlineLevel="0" collapsed="false">
      <c r="A149" s="0" t="n">
        <f aca="false">A137*10</f>
        <v>390000000000</v>
      </c>
      <c r="B149" s="0" t="n">
        <f aca="false">IF(IF((B$3*10^12-$A150)*(B$3*10^12-$A149)*-1&lt;0,0,1)*IF(ABS(B$3*10^12-$A150)&gt;(B$3*10^12-$A149),$A149,$A150)=B150,0,IF((B$3*10^12-$A150)*(B$3*10^12-$A149)*-1&lt;0,0,1)*IF(ABS(B$3*10^12-$A150)&gt;(B$3*10^12-$A149),$A149,$A150))</f>
        <v>0</v>
      </c>
      <c r="C149" s="0" t="n">
        <f aca="false">IF(IF((C$3*10^12-$A150)*(C$3*10^12-$A149)*-1&lt;0,0,1)*IF(ABS(C$3*10^12-$A150)&gt;(C$3*10^12-$A149),$A149,$A150)=C150,0,IF((C$3*10^12-$A150)*(C$3*10^12-$A149)*-1&lt;0,0,1)*IF(ABS(C$3*10^12-$A150)&gt;(C$3*10^12-$A149),$A149,$A150))</f>
        <v>0</v>
      </c>
      <c r="D149" s="0" t="n">
        <f aca="false">IF(IF((D$3*10^12-$A150)*(D$3*10^12-$A149)*-1&lt;0,0,1)*IF(ABS(D$3*10^12-$A150)&gt;(D$3*10^12-$A149),$A149,$A150)=D150,0,IF((D$3*10^12-$A150)*(D$3*10^12-$A149)*-1&lt;0,0,1)*IF(ABS(D$3*10^12-$A150)&gt;(D$3*10^12-$A149),$A149,$A150))</f>
        <v>0</v>
      </c>
      <c r="E149" s="0" t="n">
        <f aca="false">IF(IF((E$3*10^12-$A150)*(E$3*10^12-$A149)*-1&lt;0,0,1)*IF(ABS(E$3*10^12-$A150)&gt;(E$3*10^12-$A149),$A149,$A150)=E150,0,IF((E$3*10^12-$A150)*(E$3*10^12-$A149)*-1&lt;0,0,1)*IF(ABS(E$3*10^12-$A150)&gt;(E$3*10^12-$A149),$A149,$A150))</f>
        <v>0</v>
      </c>
      <c r="F149" s="0" t="n">
        <f aca="false">IF(IF((F$3*10^12-$A150)*(F$3*10^12-$A149)*-1&lt;0,0,1)*IF(ABS(F$3*10^12-$A150)&gt;(F$3*10^12-$A149),$A149,$A150)=F150,0,IF((F$3*10^12-$A150)*(F$3*10^12-$A149)*-1&lt;0,0,1)*IF(ABS(F$3*10^12-$A150)&gt;(F$3*10^12-$A149),$A149,$A150))</f>
        <v>0</v>
      </c>
      <c r="G149" s="0" t="n">
        <f aca="false">IF(IF((G$3*10^12-$A150)*(G$3*10^12-$A149)*-1&lt;0,0,1)*IF(ABS(G$3*10^12-$A150)&gt;(G$3*10^12-$A149),$A149,$A150)=G150,0,IF((G$3*10^12-$A150)*(G$3*10^12-$A149)*-1&lt;0,0,1)*IF(ABS(G$3*10^12-$A150)&gt;(G$3*10^12-$A149),$A149,$A150))</f>
        <v>0</v>
      </c>
      <c r="H149" s="0" t="n">
        <f aca="false">IF(IF((H$3*10^12-$A150)*(H$3*10^12-$A149)*-1&lt;0,0,1)*IF(ABS(H$3*10^12-$A150)&gt;(H$3*10^12-$A149),$A149,$A150)=H150,0,IF((H$3*10^12-$A150)*(H$3*10^12-$A149)*-1&lt;0,0,1)*IF(ABS(H$3*10^12-$A150)&gt;(H$3*10^12-$A149),$A149,$A150))</f>
        <v>0</v>
      </c>
      <c r="I149" s="0" t="n">
        <f aca="false">IF(IF((I$3*10^12-$A150)*(I$3*10^12-$A149)*-1&lt;0,0,1)*IF(ABS(I$3*10^12-$A150)&gt;(I$3*10^12-$A149),$A149,$A150)=I150,0,IF((I$3*10^12-$A150)*(I$3*10^12-$A149)*-1&lt;0,0,1)*IF(ABS(I$3*10^12-$A150)&gt;(I$3*10^12-$A149),$A149,$A150))</f>
        <v>0</v>
      </c>
      <c r="J149" s="0" t="n">
        <f aca="false">IF(IF((J$3*10^12-$A150)*(J$3*10^12-$A149)*-1&lt;0,0,1)*IF(ABS(J$3*10^12-$A150)&gt;(J$3*10^12-$A149),$A149,$A150)=J150,0,IF((J$3*10^12-$A150)*(J$3*10^12-$A149)*-1&lt;0,0,1)*IF(ABS(J$3*10^12-$A150)&gt;(J$3*10^12-$A149),$A149,$A150))</f>
        <v>0</v>
      </c>
      <c r="K149" s="0" t="n">
        <f aca="false">IF(IF((K$3*10^12-$A150)*(K$3*10^12-$A149)*-1&lt;0,0,1)*IF(ABS(K$3*10^12-$A150)&gt;(K$3*10^12-$A149),$A149,$A150)=K150,0,IF((K$3*10^12-$A150)*(K$3*10^12-$A149)*-1&lt;0,0,1)*IF(ABS(K$3*10^12-$A150)&gt;(K$3*10^12-$A149),$A149,$A150))</f>
        <v>0</v>
      </c>
      <c r="L149" s="0" t="n">
        <f aca="false">IF(IF((L$3*10^12-$A150)*(L$3*10^12-$A149)*-1&lt;0,0,1)*IF(ABS(L$3*10^12-$A150)&gt;(L$3*10^12-$A149),$A149,$A150)=L150,0,IF((L$3*10^12-$A150)*(L$3*10^12-$A149)*-1&lt;0,0,1)*IF(ABS(L$3*10^12-$A150)&gt;(L$3*10^12-$A149),$A149,$A150))</f>
        <v>0</v>
      </c>
      <c r="M149" s="0" t="n">
        <f aca="false">IF(IF((M$3*10^12-$A150)*(M$3*10^12-$A149)*-1&lt;0,0,1)*IF(ABS(M$3*10^12-$A150)&gt;(M$3*10^12-$A149),$A149,$A150)=M150,0,IF((M$3*10^12-$A150)*(M$3*10^12-$A149)*-1&lt;0,0,1)*IF(ABS(M$3*10^12-$A150)&gt;(M$3*10^12-$A149),$A149,$A150))</f>
        <v>0</v>
      </c>
      <c r="N149" s="0" t="e">
        <f aca="false">IF(IF((N$3*10^12-$A150)*(N$3*10^12-$A149)*-1&lt;0,0,1)*IF(ABS(N$3*10^12-$A150)&gt;(N$3*10^12-$A149),$A149,$A150)=N150,0,IF((N$3*10^12-$A150)*(N$3*10^12-$A149)*-1&lt;0,0,1)*IF(ABS(N$3*10^12-$A150)&gt;(N$3*10^12-$A149),$A149,$A150))</f>
        <v>#VALUE!</v>
      </c>
    </row>
    <row r="150" customFormat="false" ht="12.75" hidden="false" customHeight="false" outlineLevel="0" collapsed="false">
      <c r="A150" s="0" t="n">
        <f aca="false">A138*10</f>
        <v>470000000000</v>
      </c>
      <c r="B150" s="0" t="n">
        <f aca="false">IF(IF((B$3*10^12-$A151)*(B$3*10^12-$A150)*-1&lt;0,0,1)*IF(ABS(B$3*10^12-$A151)&gt;(B$3*10^12-$A150),$A150,$A151)=B151,0,IF((B$3*10^12-$A151)*(B$3*10^12-$A150)*-1&lt;0,0,1)*IF(ABS(B$3*10^12-$A151)&gt;(B$3*10^12-$A150),$A150,$A151))</f>
        <v>0</v>
      </c>
      <c r="C150" s="0" t="n">
        <f aca="false">IF(IF((C$3*10^12-$A151)*(C$3*10^12-$A150)*-1&lt;0,0,1)*IF(ABS(C$3*10^12-$A151)&gt;(C$3*10^12-$A150),$A150,$A151)=C151,0,IF((C$3*10^12-$A151)*(C$3*10^12-$A150)*-1&lt;0,0,1)*IF(ABS(C$3*10^12-$A151)&gt;(C$3*10^12-$A150),$A150,$A151))</f>
        <v>0</v>
      </c>
      <c r="D150" s="0" t="n">
        <f aca="false">IF(IF((D$3*10^12-$A151)*(D$3*10^12-$A150)*-1&lt;0,0,1)*IF(ABS(D$3*10^12-$A151)&gt;(D$3*10^12-$A150),$A150,$A151)=D151,0,IF((D$3*10^12-$A151)*(D$3*10^12-$A150)*-1&lt;0,0,1)*IF(ABS(D$3*10^12-$A151)&gt;(D$3*10^12-$A150),$A150,$A151))</f>
        <v>0</v>
      </c>
      <c r="E150" s="0" t="n">
        <f aca="false">IF(IF((E$3*10^12-$A151)*(E$3*10^12-$A150)*-1&lt;0,0,1)*IF(ABS(E$3*10^12-$A151)&gt;(E$3*10^12-$A150),$A150,$A151)=E151,0,IF((E$3*10^12-$A151)*(E$3*10^12-$A150)*-1&lt;0,0,1)*IF(ABS(E$3*10^12-$A151)&gt;(E$3*10^12-$A150),$A150,$A151))</f>
        <v>0</v>
      </c>
      <c r="F150" s="0" t="n">
        <f aca="false">IF(IF((F$3*10^12-$A151)*(F$3*10^12-$A150)*-1&lt;0,0,1)*IF(ABS(F$3*10^12-$A151)&gt;(F$3*10^12-$A150),$A150,$A151)=F151,0,IF((F$3*10^12-$A151)*(F$3*10^12-$A150)*-1&lt;0,0,1)*IF(ABS(F$3*10^12-$A151)&gt;(F$3*10^12-$A150),$A150,$A151))</f>
        <v>0</v>
      </c>
      <c r="G150" s="0" t="n">
        <f aca="false">IF(IF((G$3*10^12-$A151)*(G$3*10^12-$A150)*-1&lt;0,0,1)*IF(ABS(G$3*10^12-$A151)&gt;(G$3*10^12-$A150),$A150,$A151)=G151,0,IF((G$3*10^12-$A151)*(G$3*10^12-$A150)*-1&lt;0,0,1)*IF(ABS(G$3*10^12-$A151)&gt;(G$3*10^12-$A150),$A150,$A151))</f>
        <v>0</v>
      </c>
      <c r="H150" s="0" t="n">
        <f aca="false">IF(IF((H$3*10^12-$A151)*(H$3*10^12-$A150)*-1&lt;0,0,1)*IF(ABS(H$3*10^12-$A151)&gt;(H$3*10^12-$A150),$A150,$A151)=H151,0,IF((H$3*10^12-$A151)*(H$3*10^12-$A150)*-1&lt;0,0,1)*IF(ABS(H$3*10^12-$A151)&gt;(H$3*10^12-$A150),$A150,$A151))</f>
        <v>0</v>
      </c>
      <c r="I150" s="0" t="n">
        <f aca="false">IF(IF((I$3*10^12-$A151)*(I$3*10^12-$A150)*-1&lt;0,0,1)*IF(ABS(I$3*10^12-$A151)&gt;(I$3*10^12-$A150),$A150,$A151)=I151,0,IF((I$3*10^12-$A151)*(I$3*10^12-$A150)*-1&lt;0,0,1)*IF(ABS(I$3*10^12-$A151)&gt;(I$3*10^12-$A150),$A150,$A151))</f>
        <v>0</v>
      </c>
      <c r="J150" s="0" t="n">
        <f aca="false">IF(IF((J$3*10^12-$A151)*(J$3*10^12-$A150)*-1&lt;0,0,1)*IF(ABS(J$3*10^12-$A151)&gt;(J$3*10^12-$A150),$A150,$A151)=J151,0,IF((J$3*10^12-$A151)*(J$3*10^12-$A150)*-1&lt;0,0,1)*IF(ABS(J$3*10^12-$A151)&gt;(J$3*10^12-$A150),$A150,$A151))</f>
        <v>0</v>
      </c>
      <c r="K150" s="0" t="n">
        <f aca="false">IF(IF((K$3*10^12-$A151)*(K$3*10^12-$A150)*-1&lt;0,0,1)*IF(ABS(K$3*10^12-$A151)&gt;(K$3*10^12-$A150),$A150,$A151)=K151,0,IF((K$3*10^12-$A151)*(K$3*10^12-$A150)*-1&lt;0,0,1)*IF(ABS(K$3*10^12-$A151)&gt;(K$3*10^12-$A150),$A150,$A151))</f>
        <v>0</v>
      </c>
      <c r="L150" s="0" t="n">
        <f aca="false">IF(IF((L$3*10^12-$A151)*(L$3*10^12-$A150)*-1&lt;0,0,1)*IF(ABS(L$3*10^12-$A151)&gt;(L$3*10^12-$A150),$A150,$A151)=L151,0,IF((L$3*10^12-$A151)*(L$3*10^12-$A150)*-1&lt;0,0,1)*IF(ABS(L$3*10^12-$A151)&gt;(L$3*10^12-$A150),$A150,$A151))</f>
        <v>0</v>
      </c>
      <c r="M150" s="0" t="n">
        <f aca="false">IF(IF((M$3*10^12-$A151)*(M$3*10^12-$A150)*-1&lt;0,0,1)*IF(ABS(M$3*10^12-$A151)&gt;(M$3*10^12-$A150),$A150,$A151)=M151,0,IF((M$3*10^12-$A151)*(M$3*10^12-$A150)*-1&lt;0,0,1)*IF(ABS(M$3*10^12-$A151)&gt;(M$3*10^12-$A150),$A150,$A151))</f>
        <v>0</v>
      </c>
      <c r="N150" s="0" t="e">
        <f aca="false">IF(IF((N$3*10^12-$A151)*(N$3*10^12-$A150)*-1&lt;0,0,1)*IF(ABS(N$3*10^12-$A151)&gt;(N$3*10^12-$A150),$A150,$A151)=N151,0,IF((N$3*10^12-$A151)*(N$3*10^12-$A150)*-1&lt;0,0,1)*IF(ABS(N$3*10^12-$A151)&gt;(N$3*10^12-$A150),$A150,$A151))</f>
        <v>#VALUE!</v>
      </c>
    </row>
    <row r="151" customFormat="false" ht="12.75" hidden="false" customHeight="false" outlineLevel="0" collapsed="false">
      <c r="A151" s="0" t="n">
        <f aca="false">A139*10</f>
        <v>560000000000</v>
      </c>
      <c r="B151" s="0" t="n">
        <f aca="false">IF(IF((B$3*10^12-$A152)*(B$3*10^12-$A151)*-1&lt;0,0,1)*IF(ABS(B$3*10^12-$A152)&gt;(B$3*10^12-$A151),$A151,$A152)=B152,0,IF((B$3*10^12-$A152)*(B$3*10^12-$A151)*-1&lt;0,0,1)*IF(ABS(B$3*10^12-$A152)&gt;(B$3*10^12-$A151),$A151,$A152))</f>
        <v>0</v>
      </c>
      <c r="C151" s="0" t="n">
        <f aca="false">IF(IF((C$3*10^12-$A152)*(C$3*10^12-$A151)*-1&lt;0,0,1)*IF(ABS(C$3*10^12-$A152)&gt;(C$3*10^12-$A151),$A151,$A152)=C152,0,IF((C$3*10^12-$A152)*(C$3*10^12-$A151)*-1&lt;0,0,1)*IF(ABS(C$3*10^12-$A152)&gt;(C$3*10^12-$A151),$A151,$A152))</f>
        <v>0</v>
      </c>
      <c r="D151" s="0" t="n">
        <f aca="false">IF(IF((D$3*10^12-$A152)*(D$3*10^12-$A151)*-1&lt;0,0,1)*IF(ABS(D$3*10^12-$A152)&gt;(D$3*10^12-$A151),$A151,$A152)=D152,0,IF((D$3*10^12-$A152)*(D$3*10^12-$A151)*-1&lt;0,0,1)*IF(ABS(D$3*10^12-$A152)&gt;(D$3*10^12-$A151),$A151,$A152))</f>
        <v>0</v>
      </c>
      <c r="E151" s="0" t="n">
        <f aca="false">IF(IF((E$3*10^12-$A152)*(E$3*10^12-$A151)*-1&lt;0,0,1)*IF(ABS(E$3*10^12-$A152)&gt;(E$3*10^12-$A151),$A151,$A152)=E152,0,IF((E$3*10^12-$A152)*(E$3*10^12-$A151)*-1&lt;0,0,1)*IF(ABS(E$3*10^12-$A152)&gt;(E$3*10^12-$A151),$A151,$A152))</f>
        <v>0</v>
      </c>
      <c r="F151" s="0" t="n">
        <f aca="false">IF(IF((F$3*10^12-$A152)*(F$3*10^12-$A151)*-1&lt;0,0,1)*IF(ABS(F$3*10^12-$A152)&gt;(F$3*10^12-$A151),$A151,$A152)=F152,0,IF((F$3*10^12-$A152)*(F$3*10^12-$A151)*-1&lt;0,0,1)*IF(ABS(F$3*10^12-$A152)&gt;(F$3*10^12-$A151),$A151,$A152))</f>
        <v>0</v>
      </c>
      <c r="G151" s="0" t="n">
        <f aca="false">IF(IF((G$3*10^12-$A152)*(G$3*10^12-$A151)*-1&lt;0,0,1)*IF(ABS(G$3*10^12-$A152)&gt;(G$3*10^12-$A151),$A151,$A152)=G152,0,IF((G$3*10^12-$A152)*(G$3*10^12-$A151)*-1&lt;0,0,1)*IF(ABS(G$3*10^12-$A152)&gt;(G$3*10^12-$A151),$A151,$A152))</f>
        <v>0</v>
      </c>
      <c r="H151" s="0" t="n">
        <f aca="false">IF(IF((H$3*10^12-$A152)*(H$3*10^12-$A151)*-1&lt;0,0,1)*IF(ABS(H$3*10^12-$A152)&gt;(H$3*10^12-$A151),$A151,$A152)=H152,0,IF((H$3*10^12-$A152)*(H$3*10^12-$A151)*-1&lt;0,0,1)*IF(ABS(H$3*10^12-$A152)&gt;(H$3*10^12-$A151),$A151,$A152))</f>
        <v>0</v>
      </c>
      <c r="I151" s="0" t="n">
        <f aca="false">IF(IF((I$3*10^12-$A152)*(I$3*10^12-$A151)*-1&lt;0,0,1)*IF(ABS(I$3*10^12-$A152)&gt;(I$3*10^12-$A151),$A151,$A152)=I152,0,IF((I$3*10^12-$A152)*(I$3*10^12-$A151)*-1&lt;0,0,1)*IF(ABS(I$3*10^12-$A152)&gt;(I$3*10^12-$A151),$A151,$A152))</f>
        <v>0</v>
      </c>
      <c r="J151" s="0" t="n">
        <f aca="false">IF(IF((J$3*10^12-$A152)*(J$3*10^12-$A151)*-1&lt;0,0,1)*IF(ABS(J$3*10^12-$A152)&gt;(J$3*10^12-$A151),$A151,$A152)=J152,0,IF((J$3*10^12-$A152)*(J$3*10^12-$A151)*-1&lt;0,0,1)*IF(ABS(J$3*10^12-$A152)&gt;(J$3*10^12-$A151),$A151,$A152))</f>
        <v>0</v>
      </c>
      <c r="K151" s="0" t="n">
        <f aca="false">IF(IF((K$3*10^12-$A152)*(K$3*10^12-$A151)*-1&lt;0,0,1)*IF(ABS(K$3*10^12-$A152)&gt;(K$3*10^12-$A151),$A151,$A152)=K152,0,IF((K$3*10^12-$A152)*(K$3*10^12-$A151)*-1&lt;0,0,1)*IF(ABS(K$3*10^12-$A152)&gt;(K$3*10^12-$A151),$A151,$A152))</f>
        <v>0</v>
      </c>
      <c r="L151" s="0" t="n">
        <f aca="false">IF(IF((L$3*10^12-$A152)*(L$3*10^12-$A151)*-1&lt;0,0,1)*IF(ABS(L$3*10^12-$A152)&gt;(L$3*10^12-$A151),$A151,$A152)=L152,0,IF((L$3*10^12-$A152)*(L$3*10^12-$A151)*-1&lt;0,0,1)*IF(ABS(L$3*10^12-$A152)&gt;(L$3*10^12-$A151),$A151,$A152))</f>
        <v>0</v>
      </c>
      <c r="M151" s="0" t="n">
        <f aca="false">IF(IF((M$3*10^12-$A152)*(M$3*10^12-$A151)*-1&lt;0,0,1)*IF(ABS(M$3*10^12-$A152)&gt;(M$3*10^12-$A151),$A151,$A152)=M152,0,IF((M$3*10^12-$A152)*(M$3*10^12-$A151)*-1&lt;0,0,1)*IF(ABS(M$3*10^12-$A152)&gt;(M$3*10^12-$A151),$A151,$A152))</f>
        <v>0</v>
      </c>
      <c r="N151" s="0" t="e">
        <f aca="false">IF(IF((N$3*10^12-$A152)*(N$3*10^12-$A151)*-1&lt;0,0,1)*IF(ABS(N$3*10^12-$A152)&gt;(N$3*10^12-$A151),$A151,$A152)=N152,0,IF((N$3*10^12-$A152)*(N$3*10^12-$A151)*-1&lt;0,0,1)*IF(ABS(N$3*10^12-$A152)&gt;(N$3*10^12-$A151),$A151,$A152))</f>
        <v>#VALUE!</v>
      </c>
    </row>
    <row r="152" customFormat="false" ht="12.75" hidden="false" customHeight="false" outlineLevel="0" collapsed="false">
      <c r="A152" s="0" t="n">
        <f aca="false">A140*10</f>
        <v>680000000000</v>
      </c>
      <c r="B152" s="0" t="n">
        <f aca="false">IF(IF((B$3*10^12-$A153)*(B$3*10^12-$A152)*-1&lt;0,0,1)*IF(ABS(B$3*10^12-$A153)&gt;(B$3*10^12-$A152),$A152,$A153)=B153,0,IF((B$3*10^12-$A153)*(B$3*10^12-$A152)*-1&lt;0,0,1)*IF(ABS(B$3*10^12-$A153)&gt;(B$3*10^12-$A152),$A152,$A153))</f>
        <v>0</v>
      </c>
      <c r="C152" s="0" t="n">
        <f aca="false">IF(IF((C$3*10^12-$A153)*(C$3*10^12-$A152)*-1&lt;0,0,1)*IF(ABS(C$3*10^12-$A153)&gt;(C$3*10^12-$A152),$A152,$A153)=C153,0,IF((C$3*10^12-$A153)*(C$3*10^12-$A152)*-1&lt;0,0,1)*IF(ABS(C$3*10^12-$A153)&gt;(C$3*10^12-$A152),$A152,$A153))</f>
        <v>0</v>
      </c>
      <c r="D152" s="0" t="n">
        <f aca="false">IF(IF((D$3*10^12-$A153)*(D$3*10^12-$A152)*-1&lt;0,0,1)*IF(ABS(D$3*10^12-$A153)&gt;(D$3*10^12-$A152),$A152,$A153)=D153,0,IF((D$3*10^12-$A153)*(D$3*10^12-$A152)*-1&lt;0,0,1)*IF(ABS(D$3*10^12-$A153)&gt;(D$3*10^12-$A152),$A152,$A153))</f>
        <v>0</v>
      </c>
      <c r="E152" s="0" t="n">
        <f aca="false">IF(IF((E$3*10^12-$A153)*(E$3*10^12-$A152)*-1&lt;0,0,1)*IF(ABS(E$3*10^12-$A153)&gt;(E$3*10^12-$A152),$A152,$A153)=E153,0,IF((E$3*10^12-$A153)*(E$3*10^12-$A152)*-1&lt;0,0,1)*IF(ABS(E$3*10^12-$A153)&gt;(E$3*10^12-$A152),$A152,$A153))</f>
        <v>0</v>
      </c>
      <c r="F152" s="0" t="n">
        <f aca="false">IF(IF((F$3*10^12-$A153)*(F$3*10^12-$A152)*-1&lt;0,0,1)*IF(ABS(F$3*10^12-$A153)&gt;(F$3*10^12-$A152),$A152,$A153)=F153,0,IF((F$3*10^12-$A153)*(F$3*10^12-$A152)*-1&lt;0,0,1)*IF(ABS(F$3*10^12-$A153)&gt;(F$3*10^12-$A152),$A152,$A153))</f>
        <v>0</v>
      </c>
      <c r="G152" s="0" t="n">
        <f aca="false">IF(IF((G$3*10^12-$A153)*(G$3*10^12-$A152)*-1&lt;0,0,1)*IF(ABS(G$3*10^12-$A153)&gt;(G$3*10^12-$A152),$A152,$A153)=G153,0,IF((G$3*10^12-$A153)*(G$3*10^12-$A152)*-1&lt;0,0,1)*IF(ABS(G$3*10^12-$A153)&gt;(G$3*10^12-$A152),$A152,$A153))</f>
        <v>0</v>
      </c>
      <c r="H152" s="0" t="n">
        <f aca="false">IF(IF((H$3*10^12-$A153)*(H$3*10^12-$A152)*-1&lt;0,0,1)*IF(ABS(H$3*10^12-$A153)&gt;(H$3*10^12-$A152),$A152,$A153)=H153,0,IF((H$3*10^12-$A153)*(H$3*10^12-$A152)*-1&lt;0,0,1)*IF(ABS(H$3*10^12-$A153)&gt;(H$3*10^12-$A152),$A152,$A153))</f>
        <v>0</v>
      </c>
      <c r="I152" s="0" t="n">
        <f aca="false">IF(IF((I$3*10^12-$A153)*(I$3*10^12-$A152)*-1&lt;0,0,1)*IF(ABS(I$3*10^12-$A153)&gt;(I$3*10^12-$A152),$A152,$A153)=I153,0,IF((I$3*10^12-$A153)*(I$3*10^12-$A152)*-1&lt;0,0,1)*IF(ABS(I$3*10^12-$A153)&gt;(I$3*10^12-$A152),$A152,$A153))</f>
        <v>0</v>
      </c>
      <c r="J152" s="0" t="n">
        <f aca="false">IF(IF((J$3*10^12-$A153)*(J$3*10^12-$A152)*-1&lt;0,0,1)*IF(ABS(J$3*10^12-$A153)&gt;(J$3*10^12-$A152),$A152,$A153)=J153,0,IF((J$3*10^12-$A153)*(J$3*10^12-$A152)*-1&lt;0,0,1)*IF(ABS(J$3*10^12-$A153)&gt;(J$3*10^12-$A152),$A152,$A153))</f>
        <v>0</v>
      </c>
      <c r="K152" s="0" t="n">
        <f aca="false">IF(IF((K$3*10^12-$A153)*(K$3*10^12-$A152)*-1&lt;0,0,1)*IF(ABS(K$3*10^12-$A153)&gt;(K$3*10^12-$A152),$A152,$A153)=K153,0,IF((K$3*10^12-$A153)*(K$3*10^12-$A152)*-1&lt;0,0,1)*IF(ABS(K$3*10^12-$A153)&gt;(K$3*10^12-$A152),$A152,$A153))</f>
        <v>0</v>
      </c>
      <c r="L152" s="0" t="n">
        <f aca="false">IF(IF((L$3*10^12-$A153)*(L$3*10^12-$A152)*-1&lt;0,0,1)*IF(ABS(L$3*10^12-$A153)&gt;(L$3*10^12-$A152),$A152,$A153)=L153,0,IF((L$3*10^12-$A153)*(L$3*10^12-$A152)*-1&lt;0,0,1)*IF(ABS(L$3*10^12-$A153)&gt;(L$3*10^12-$A152),$A152,$A153))</f>
        <v>0</v>
      </c>
      <c r="M152" s="0" t="n">
        <f aca="false">IF(IF((M$3*10^12-$A153)*(M$3*10^12-$A152)*-1&lt;0,0,1)*IF(ABS(M$3*10^12-$A153)&gt;(M$3*10^12-$A152),$A152,$A153)=M153,0,IF((M$3*10^12-$A153)*(M$3*10^12-$A152)*-1&lt;0,0,1)*IF(ABS(M$3*10^12-$A153)&gt;(M$3*10^12-$A152),$A152,$A153))</f>
        <v>0</v>
      </c>
      <c r="N152" s="0" t="e">
        <f aca="false">IF(IF((N$3*10^12-$A153)*(N$3*10^12-$A152)*-1&lt;0,0,1)*IF(ABS(N$3*10^12-$A153)&gt;(N$3*10^12-$A152),$A152,$A153)=N153,0,IF((N$3*10^12-$A153)*(N$3*10^12-$A152)*-1&lt;0,0,1)*IF(ABS(N$3*10^12-$A153)&gt;(N$3*10^12-$A152),$A152,$A153))</f>
        <v>#VALUE!</v>
      </c>
    </row>
    <row r="153" customFormat="false" ht="12.75" hidden="false" customHeight="false" outlineLevel="0" collapsed="false">
      <c r="A153" s="0" t="n">
        <f aca="false">A141*10</f>
        <v>820000000000</v>
      </c>
      <c r="B153" s="0" t="n">
        <f aca="false">IF(IF((B$3*10^12-$A154)*(B$3*10^12-$A153)*-1&lt;0,0,1)*IF(ABS(B$3*10^12-$A154)&gt;(B$3*10^12-$A153),$A153,$A154)=B154,0,IF((B$3*10^12-$A154)*(B$3*10^12-$A153)*-1&lt;0,0,1)*IF(ABS(B$3*10^12-$A154)&gt;(B$3*10^12-$A153),$A153,$A154))</f>
        <v>0</v>
      </c>
      <c r="C153" s="0" t="n">
        <f aca="false">IF(IF((C$3*10^12-$A154)*(C$3*10^12-$A153)*-1&lt;0,0,1)*IF(ABS(C$3*10^12-$A154)&gt;(C$3*10^12-$A153),$A153,$A154)=C154,0,IF((C$3*10^12-$A154)*(C$3*10^12-$A153)*-1&lt;0,0,1)*IF(ABS(C$3*10^12-$A154)&gt;(C$3*10^12-$A153),$A153,$A154))</f>
        <v>0</v>
      </c>
      <c r="D153" s="0" t="n">
        <f aca="false">IF(IF((D$3*10^12-$A154)*(D$3*10^12-$A153)*-1&lt;0,0,1)*IF(ABS(D$3*10^12-$A154)&gt;(D$3*10^12-$A153),$A153,$A154)=D154,0,IF((D$3*10^12-$A154)*(D$3*10^12-$A153)*-1&lt;0,0,1)*IF(ABS(D$3*10^12-$A154)&gt;(D$3*10^12-$A153),$A153,$A154))</f>
        <v>0</v>
      </c>
      <c r="E153" s="0" t="n">
        <f aca="false">IF(IF((E$3*10^12-$A154)*(E$3*10^12-$A153)*-1&lt;0,0,1)*IF(ABS(E$3*10^12-$A154)&gt;(E$3*10^12-$A153),$A153,$A154)=E154,0,IF((E$3*10^12-$A154)*(E$3*10^12-$A153)*-1&lt;0,0,1)*IF(ABS(E$3*10^12-$A154)&gt;(E$3*10^12-$A153),$A153,$A154))</f>
        <v>0</v>
      </c>
      <c r="F153" s="0" t="n">
        <f aca="false">IF(IF((F$3*10^12-$A154)*(F$3*10^12-$A153)*-1&lt;0,0,1)*IF(ABS(F$3*10^12-$A154)&gt;(F$3*10^12-$A153),$A153,$A154)=F154,0,IF((F$3*10^12-$A154)*(F$3*10^12-$A153)*-1&lt;0,0,1)*IF(ABS(F$3*10^12-$A154)&gt;(F$3*10^12-$A153),$A153,$A154))</f>
        <v>0</v>
      </c>
      <c r="G153" s="0" t="n">
        <f aca="false">IF(IF((G$3*10^12-$A154)*(G$3*10^12-$A153)*-1&lt;0,0,1)*IF(ABS(G$3*10^12-$A154)&gt;(G$3*10^12-$A153),$A153,$A154)=G154,0,IF((G$3*10^12-$A154)*(G$3*10^12-$A153)*-1&lt;0,0,1)*IF(ABS(G$3*10^12-$A154)&gt;(G$3*10^12-$A153),$A153,$A154))</f>
        <v>0</v>
      </c>
      <c r="H153" s="0" t="n">
        <f aca="false">IF(IF((H$3*10^12-$A154)*(H$3*10^12-$A153)*-1&lt;0,0,1)*IF(ABS(H$3*10^12-$A154)&gt;(H$3*10^12-$A153),$A153,$A154)=H154,0,IF((H$3*10^12-$A154)*(H$3*10^12-$A153)*-1&lt;0,0,1)*IF(ABS(H$3*10^12-$A154)&gt;(H$3*10^12-$A153),$A153,$A154))</f>
        <v>0</v>
      </c>
      <c r="I153" s="0" t="n">
        <f aca="false">IF(IF((I$3*10^12-$A154)*(I$3*10^12-$A153)*-1&lt;0,0,1)*IF(ABS(I$3*10^12-$A154)&gt;(I$3*10^12-$A153),$A153,$A154)=I154,0,IF((I$3*10^12-$A154)*(I$3*10^12-$A153)*-1&lt;0,0,1)*IF(ABS(I$3*10^12-$A154)&gt;(I$3*10^12-$A153),$A153,$A154))</f>
        <v>0</v>
      </c>
      <c r="J153" s="0" t="n">
        <f aca="false">IF(IF((J$3*10^12-$A154)*(J$3*10^12-$A153)*-1&lt;0,0,1)*IF(ABS(J$3*10^12-$A154)&gt;(J$3*10^12-$A153),$A153,$A154)=J154,0,IF((J$3*10^12-$A154)*(J$3*10^12-$A153)*-1&lt;0,0,1)*IF(ABS(J$3*10^12-$A154)&gt;(J$3*10^12-$A153),$A153,$A154))</f>
        <v>0</v>
      </c>
      <c r="K153" s="0" t="n">
        <f aca="false">IF(IF((K$3*10^12-$A154)*(K$3*10^12-$A153)*-1&lt;0,0,1)*IF(ABS(K$3*10^12-$A154)&gt;(K$3*10^12-$A153),$A153,$A154)=K154,0,IF((K$3*10^12-$A154)*(K$3*10^12-$A153)*-1&lt;0,0,1)*IF(ABS(K$3*10^12-$A154)&gt;(K$3*10^12-$A153),$A153,$A154))</f>
        <v>0</v>
      </c>
      <c r="L153" s="0" t="n">
        <f aca="false">IF(IF((L$3*10^12-$A154)*(L$3*10^12-$A153)*-1&lt;0,0,1)*IF(ABS(L$3*10^12-$A154)&gt;(L$3*10^12-$A153),$A153,$A154)=L154,0,IF((L$3*10^12-$A154)*(L$3*10^12-$A153)*-1&lt;0,0,1)*IF(ABS(L$3*10^12-$A154)&gt;(L$3*10^12-$A153),$A153,$A154))</f>
        <v>0</v>
      </c>
      <c r="M153" s="0" t="n">
        <f aca="false">IF(IF((M$3*10^12-$A154)*(M$3*10^12-$A153)*-1&lt;0,0,1)*IF(ABS(M$3*10^12-$A154)&gt;(M$3*10^12-$A153),$A153,$A154)=M154,0,IF((M$3*10^12-$A154)*(M$3*10^12-$A153)*-1&lt;0,0,1)*IF(ABS(M$3*10^12-$A154)&gt;(M$3*10^12-$A153),$A153,$A154))</f>
        <v>0</v>
      </c>
      <c r="N153" s="0" t="e">
        <f aca="false">IF(IF((N$3*10^12-$A154)*(N$3*10^12-$A153)*-1&lt;0,0,1)*IF(ABS(N$3*10^12-$A154)&gt;(N$3*10^12-$A153),$A153,$A154)=N154,0,IF((N$3*10^12-$A154)*(N$3*10^12-$A153)*-1&lt;0,0,1)*IF(ABS(N$3*10^12-$A154)&gt;(N$3*10^12-$A153),$A153,$A154))</f>
        <v>#VALUE!</v>
      </c>
    </row>
    <row r="154" customFormat="false" ht="12.75" hidden="false" customHeight="false" outlineLevel="0" collapsed="false">
      <c r="A154" s="0" t="n">
        <f aca="false">A142*10</f>
        <v>1000000000000</v>
      </c>
      <c r="B154" s="0" t="n">
        <f aca="false">IF(IF((B$3*10^12-$A155)*(B$3*10^12-$A154)*-1&lt;0,0,1)*IF(ABS(B$3*10^12-$A155)&gt;(B$3*10^12-$A154),$A154,$A155)=B155,0,IF((B$3*10^12-$A155)*(B$3*10^12-$A154)*-1&lt;0,0,1)*IF(ABS(B$3*10^12-$A155)&gt;(B$3*10^12-$A154),$A154,$A155))</f>
        <v>0</v>
      </c>
      <c r="C154" s="0" t="n">
        <f aca="false">IF(IF((C$3*10^12-$A155)*(C$3*10^12-$A154)*-1&lt;0,0,1)*IF(ABS(C$3*10^12-$A155)&gt;(C$3*10^12-$A154),$A154,$A155)=C155,0,IF((C$3*10^12-$A155)*(C$3*10^12-$A154)*-1&lt;0,0,1)*IF(ABS(C$3*10^12-$A155)&gt;(C$3*10^12-$A154),$A154,$A155))</f>
        <v>0</v>
      </c>
      <c r="D154" s="0" t="n">
        <f aca="false">IF(IF((D$3*10^12-$A155)*(D$3*10^12-$A154)*-1&lt;0,0,1)*IF(ABS(D$3*10^12-$A155)&gt;(D$3*10^12-$A154),$A154,$A155)=D155,0,IF((D$3*10^12-$A155)*(D$3*10^12-$A154)*-1&lt;0,0,1)*IF(ABS(D$3*10^12-$A155)&gt;(D$3*10^12-$A154),$A154,$A155))</f>
        <v>0</v>
      </c>
      <c r="E154" s="0" t="n">
        <f aca="false">IF(IF((E$3*10^12-$A155)*(E$3*10^12-$A154)*-1&lt;0,0,1)*IF(ABS(E$3*10^12-$A155)&gt;(E$3*10^12-$A154),$A154,$A155)=E155,0,IF((E$3*10^12-$A155)*(E$3*10^12-$A154)*-1&lt;0,0,1)*IF(ABS(E$3*10^12-$A155)&gt;(E$3*10^12-$A154),$A154,$A155))</f>
        <v>0</v>
      </c>
      <c r="F154" s="0" t="n">
        <f aca="false">IF(IF((F$3*10^12-$A155)*(F$3*10^12-$A154)*-1&lt;0,0,1)*IF(ABS(F$3*10^12-$A155)&gt;(F$3*10^12-$A154),$A154,$A155)=F155,0,IF((F$3*10^12-$A155)*(F$3*10^12-$A154)*-1&lt;0,0,1)*IF(ABS(F$3*10^12-$A155)&gt;(F$3*10^12-$A154),$A154,$A155))</f>
        <v>0</v>
      </c>
      <c r="G154" s="0" t="n">
        <f aca="false">IF(IF((G$3*10^12-$A155)*(G$3*10^12-$A154)*-1&lt;0,0,1)*IF(ABS(G$3*10^12-$A155)&gt;(G$3*10^12-$A154),$A154,$A155)=G155,0,IF((G$3*10^12-$A155)*(G$3*10^12-$A154)*-1&lt;0,0,1)*IF(ABS(G$3*10^12-$A155)&gt;(G$3*10^12-$A154),$A154,$A155))</f>
        <v>0</v>
      </c>
      <c r="H154" s="0" t="n">
        <f aca="false">IF(IF((H$3*10^12-$A155)*(H$3*10^12-$A154)*-1&lt;0,0,1)*IF(ABS(H$3*10^12-$A155)&gt;(H$3*10^12-$A154),$A154,$A155)=H155,0,IF((H$3*10^12-$A155)*(H$3*10^12-$A154)*-1&lt;0,0,1)*IF(ABS(H$3*10^12-$A155)&gt;(H$3*10^12-$A154),$A154,$A155))</f>
        <v>0</v>
      </c>
      <c r="I154" s="0" t="n">
        <f aca="false">IF(IF((I$3*10^12-$A155)*(I$3*10^12-$A154)*-1&lt;0,0,1)*IF(ABS(I$3*10^12-$A155)&gt;(I$3*10^12-$A154),$A154,$A155)=I155,0,IF((I$3*10^12-$A155)*(I$3*10^12-$A154)*-1&lt;0,0,1)*IF(ABS(I$3*10^12-$A155)&gt;(I$3*10^12-$A154),$A154,$A155))</f>
        <v>0</v>
      </c>
      <c r="J154" s="0" t="n">
        <f aca="false">IF(IF((J$3*10^12-$A155)*(J$3*10^12-$A154)*-1&lt;0,0,1)*IF(ABS(J$3*10^12-$A155)&gt;(J$3*10^12-$A154),$A154,$A155)=J155,0,IF((J$3*10^12-$A155)*(J$3*10^12-$A154)*-1&lt;0,0,1)*IF(ABS(J$3*10^12-$A155)&gt;(J$3*10^12-$A154),$A154,$A155))</f>
        <v>0</v>
      </c>
      <c r="K154" s="0" t="n">
        <f aca="false">IF(IF((K$3*10^12-$A155)*(K$3*10^12-$A154)*-1&lt;0,0,1)*IF(ABS(K$3*10^12-$A155)&gt;(K$3*10^12-$A154),$A154,$A155)=K155,0,IF((K$3*10^12-$A155)*(K$3*10^12-$A154)*-1&lt;0,0,1)*IF(ABS(K$3*10^12-$A155)&gt;(K$3*10^12-$A154),$A154,$A155))</f>
        <v>0</v>
      </c>
      <c r="L154" s="0" t="n">
        <f aca="false">IF(IF((L$3*10^12-$A155)*(L$3*10^12-$A154)*-1&lt;0,0,1)*IF(ABS(L$3*10^12-$A155)&gt;(L$3*10^12-$A154),$A154,$A155)=L155,0,IF((L$3*10^12-$A155)*(L$3*10^12-$A154)*-1&lt;0,0,1)*IF(ABS(L$3*10^12-$A155)&gt;(L$3*10^12-$A154),$A154,$A155))</f>
        <v>0</v>
      </c>
      <c r="M154" s="0" t="n">
        <f aca="false">IF(IF((M$3*10^12-$A155)*(M$3*10^12-$A154)*-1&lt;0,0,1)*IF(ABS(M$3*10^12-$A155)&gt;(M$3*10^12-$A154),$A154,$A155)=M155,0,IF((M$3*10^12-$A155)*(M$3*10^12-$A154)*-1&lt;0,0,1)*IF(ABS(M$3*10^12-$A155)&gt;(M$3*10^12-$A154),$A154,$A155))</f>
        <v>0</v>
      </c>
      <c r="N154" s="0" t="e">
        <f aca="false">IF(IF((N$3*10^12-$A155)*(N$3*10^12-$A154)*-1&lt;0,0,1)*IF(ABS(N$3*10^12-$A155)&gt;(N$3*10^12-$A154),$A154,$A155)=N155,0,IF((N$3*10^12-$A155)*(N$3*10^12-$A154)*-1&lt;0,0,1)*IF(ABS(N$3*10^12-$A155)&gt;(N$3*10^12-$A154),$A154,$A155))</f>
        <v>#VALUE!</v>
      </c>
    </row>
    <row r="155" customFormat="false" ht="12.75" hidden="false" customHeight="false" outlineLevel="0" collapsed="false">
      <c r="A155" s="0" t="n">
        <f aca="false">A143*10</f>
        <v>1200000000000</v>
      </c>
      <c r="B155" s="0" t="n">
        <f aca="false">IF(IF((B$3*10^12-$A156)*(B$3*10^12-$A155)*-1&lt;0,0,1)*IF(ABS(B$3*10^12-$A156)&gt;(B$3*10^12-$A155),$A155,$A156)=B156,0,IF((B$3*10^12-$A156)*(B$3*10^12-$A155)*-1&lt;0,0,1)*IF(ABS(B$3*10^12-$A156)&gt;(B$3*10^12-$A155),$A155,$A156))</f>
        <v>0</v>
      </c>
      <c r="C155" s="0" t="n">
        <f aca="false">IF(IF((C$3*10^12-$A156)*(C$3*10^12-$A155)*-1&lt;0,0,1)*IF(ABS(C$3*10^12-$A156)&gt;(C$3*10^12-$A155),$A155,$A156)=C156,0,IF((C$3*10^12-$A156)*(C$3*10^12-$A155)*-1&lt;0,0,1)*IF(ABS(C$3*10^12-$A156)&gt;(C$3*10^12-$A155),$A155,$A156))</f>
        <v>0</v>
      </c>
      <c r="D155" s="0" t="n">
        <f aca="false">IF(IF((D$3*10^12-$A156)*(D$3*10^12-$A155)*-1&lt;0,0,1)*IF(ABS(D$3*10^12-$A156)&gt;(D$3*10^12-$A155),$A155,$A156)=D156,0,IF((D$3*10^12-$A156)*(D$3*10^12-$A155)*-1&lt;0,0,1)*IF(ABS(D$3*10^12-$A156)&gt;(D$3*10^12-$A155),$A155,$A156))</f>
        <v>0</v>
      </c>
      <c r="E155" s="0" t="n">
        <f aca="false">IF(IF((E$3*10^12-$A156)*(E$3*10^12-$A155)*-1&lt;0,0,1)*IF(ABS(E$3*10^12-$A156)&gt;(E$3*10^12-$A155),$A155,$A156)=E156,0,IF((E$3*10^12-$A156)*(E$3*10^12-$A155)*-1&lt;0,0,1)*IF(ABS(E$3*10^12-$A156)&gt;(E$3*10^12-$A155),$A155,$A156))</f>
        <v>0</v>
      </c>
      <c r="F155" s="0" t="n">
        <f aca="false">IF(IF((F$3*10^12-$A156)*(F$3*10^12-$A155)*-1&lt;0,0,1)*IF(ABS(F$3*10^12-$A156)&gt;(F$3*10^12-$A155),$A155,$A156)=F156,0,IF((F$3*10^12-$A156)*(F$3*10^12-$A155)*-1&lt;0,0,1)*IF(ABS(F$3*10^12-$A156)&gt;(F$3*10^12-$A155),$A155,$A156))</f>
        <v>0</v>
      </c>
      <c r="G155" s="0" t="n">
        <f aca="false">IF(IF((G$3*10^12-$A156)*(G$3*10^12-$A155)*-1&lt;0,0,1)*IF(ABS(G$3*10^12-$A156)&gt;(G$3*10^12-$A155),$A155,$A156)=G156,0,IF((G$3*10^12-$A156)*(G$3*10^12-$A155)*-1&lt;0,0,1)*IF(ABS(G$3*10^12-$A156)&gt;(G$3*10^12-$A155),$A155,$A156))</f>
        <v>0</v>
      </c>
      <c r="H155" s="0" t="n">
        <f aca="false">IF(IF((H$3*10^12-$A156)*(H$3*10^12-$A155)*-1&lt;0,0,1)*IF(ABS(H$3*10^12-$A156)&gt;(H$3*10^12-$A155),$A155,$A156)=H156,0,IF((H$3*10^12-$A156)*(H$3*10^12-$A155)*-1&lt;0,0,1)*IF(ABS(H$3*10^12-$A156)&gt;(H$3*10^12-$A155),$A155,$A156))</f>
        <v>0</v>
      </c>
      <c r="I155" s="0" t="n">
        <f aca="false">IF(IF((I$3*10^12-$A156)*(I$3*10^12-$A155)*-1&lt;0,0,1)*IF(ABS(I$3*10^12-$A156)&gt;(I$3*10^12-$A155),$A155,$A156)=I156,0,IF((I$3*10^12-$A156)*(I$3*10^12-$A155)*-1&lt;0,0,1)*IF(ABS(I$3*10^12-$A156)&gt;(I$3*10^12-$A155),$A155,$A156))</f>
        <v>0</v>
      </c>
      <c r="J155" s="0" t="n">
        <f aca="false">IF(IF((J$3*10^12-$A156)*(J$3*10^12-$A155)*-1&lt;0,0,1)*IF(ABS(J$3*10^12-$A156)&gt;(J$3*10^12-$A155),$A155,$A156)=J156,0,IF((J$3*10^12-$A156)*(J$3*10^12-$A155)*-1&lt;0,0,1)*IF(ABS(J$3*10^12-$A156)&gt;(J$3*10^12-$A155),$A155,$A156))</f>
        <v>0</v>
      </c>
      <c r="K155" s="0" t="n">
        <f aca="false">IF(IF((K$3*10^12-$A156)*(K$3*10^12-$A155)*-1&lt;0,0,1)*IF(ABS(K$3*10^12-$A156)&gt;(K$3*10^12-$A155),$A155,$A156)=K156,0,IF((K$3*10^12-$A156)*(K$3*10^12-$A155)*-1&lt;0,0,1)*IF(ABS(K$3*10^12-$A156)&gt;(K$3*10^12-$A155),$A155,$A156))</f>
        <v>0</v>
      </c>
      <c r="L155" s="0" t="n">
        <f aca="false">IF(IF((L$3*10^12-$A156)*(L$3*10^12-$A155)*-1&lt;0,0,1)*IF(ABS(L$3*10^12-$A156)&gt;(L$3*10^12-$A155),$A155,$A156)=L156,0,IF((L$3*10^12-$A156)*(L$3*10^12-$A155)*-1&lt;0,0,1)*IF(ABS(L$3*10^12-$A156)&gt;(L$3*10^12-$A155),$A155,$A156))</f>
        <v>0</v>
      </c>
      <c r="M155" s="0" t="n">
        <f aca="false">IF(IF((M$3*10^12-$A156)*(M$3*10^12-$A155)*-1&lt;0,0,1)*IF(ABS(M$3*10^12-$A156)&gt;(M$3*10^12-$A155),$A155,$A156)=M156,0,IF((M$3*10^12-$A156)*(M$3*10^12-$A155)*-1&lt;0,0,1)*IF(ABS(M$3*10^12-$A156)&gt;(M$3*10^12-$A155),$A155,$A156))</f>
        <v>0</v>
      </c>
      <c r="N155" s="0" t="e">
        <f aca="false">IF(IF((N$3*10^12-$A156)*(N$3*10^12-$A155)*-1&lt;0,0,1)*IF(ABS(N$3*10^12-$A156)&gt;(N$3*10^12-$A155),$A155,$A156)=N156,0,IF((N$3*10^12-$A156)*(N$3*10^12-$A155)*-1&lt;0,0,1)*IF(ABS(N$3*10^12-$A156)&gt;(N$3*10^12-$A155),$A155,$A156))</f>
        <v>#VALUE!</v>
      </c>
    </row>
    <row r="156" customFormat="false" ht="12.75" hidden="false" customHeight="false" outlineLevel="0" collapsed="false">
      <c r="A156" s="0" t="n">
        <f aca="false">A144*10</f>
        <v>1500000000000</v>
      </c>
      <c r="B156" s="0" t="n">
        <f aca="false">IF(IF((B$3*10^12-$A157)*(B$3*10^12-$A156)*-1&lt;0,0,1)*IF(ABS(B$3*10^12-$A157)&gt;(B$3*10^12-$A156),$A156,$A157)=B157,0,IF((B$3*10^12-$A157)*(B$3*10^12-$A156)*-1&lt;0,0,1)*IF(ABS(B$3*10^12-$A157)&gt;(B$3*10^12-$A156),$A156,$A157))</f>
        <v>0</v>
      </c>
      <c r="C156" s="0" t="n">
        <f aca="false">IF(IF((C$3*10^12-$A157)*(C$3*10^12-$A156)*-1&lt;0,0,1)*IF(ABS(C$3*10^12-$A157)&gt;(C$3*10^12-$A156),$A156,$A157)=C157,0,IF((C$3*10^12-$A157)*(C$3*10^12-$A156)*-1&lt;0,0,1)*IF(ABS(C$3*10^12-$A157)&gt;(C$3*10^12-$A156),$A156,$A157))</f>
        <v>0</v>
      </c>
      <c r="D156" s="0" t="n">
        <f aca="false">IF(IF((D$3*10^12-$A157)*(D$3*10^12-$A156)*-1&lt;0,0,1)*IF(ABS(D$3*10^12-$A157)&gt;(D$3*10^12-$A156),$A156,$A157)=D157,0,IF((D$3*10^12-$A157)*(D$3*10^12-$A156)*-1&lt;0,0,1)*IF(ABS(D$3*10^12-$A157)&gt;(D$3*10^12-$A156),$A156,$A157))</f>
        <v>0</v>
      </c>
      <c r="E156" s="0" t="n">
        <f aca="false">IF(IF((E$3*10^12-$A157)*(E$3*10^12-$A156)*-1&lt;0,0,1)*IF(ABS(E$3*10^12-$A157)&gt;(E$3*10^12-$A156),$A156,$A157)=E157,0,IF((E$3*10^12-$A157)*(E$3*10^12-$A156)*-1&lt;0,0,1)*IF(ABS(E$3*10^12-$A157)&gt;(E$3*10^12-$A156),$A156,$A157))</f>
        <v>0</v>
      </c>
      <c r="F156" s="0" t="n">
        <f aca="false">IF(IF((F$3*10^12-$A157)*(F$3*10^12-$A156)*-1&lt;0,0,1)*IF(ABS(F$3*10^12-$A157)&gt;(F$3*10^12-$A156),$A156,$A157)=F157,0,IF((F$3*10^12-$A157)*(F$3*10^12-$A156)*-1&lt;0,0,1)*IF(ABS(F$3*10^12-$A157)&gt;(F$3*10^12-$A156),$A156,$A157))</f>
        <v>0</v>
      </c>
      <c r="G156" s="0" t="n">
        <f aca="false">IF(IF((G$3*10^12-$A157)*(G$3*10^12-$A156)*-1&lt;0,0,1)*IF(ABS(G$3*10^12-$A157)&gt;(G$3*10^12-$A156),$A156,$A157)=G157,0,IF((G$3*10^12-$A157)*(G$3*10^12-$A156)*-1&lt;0,0,1)*IF(ABS(G$3*10^12-$A157)&gt;(G$3*10^12-$A156),$A156,$A157))</f>
        <v>0</v>
      </c>
      <c r="H156" s="0" t="n">
        <f aca="false">IF(IF((H$3*10^12-$A157)*(H$3*10^12-$A156)*-1&lt;0,0,1)*IF(ABS(H$3*10^12-$A157)&gt;(H$3*10^12-$A156),$A156,$A157)=H157,0,IF((H$3*10^12-$A157)*(H$3*10^12-$A156)*-1&lt;0,0,1)*IF(ABS(H$3*10^12-$A157)&gt;(H$3*10^12-$A156),$A156,$A157))</f>
        <v>0</v>
      </c>
      <c r="I156" s="0" t="n">
        <f aca="false">IF(IF((I$3*10^12-$A157)*(I$3*10^12-$A156)*-1&lt;0,0,1)*IF(ABS(I$3*10^12-$A157)&gt;(I$3*10^12-$A156),$A156,$A157)=I157,0,IF((I$3*10^12-$A157)*(I$3*10^12-$A156)*-1&lt;0,0,1)*IF(ABS(I$3*10^12-$A157)&gt;(I$3*10^12-$A156),$A156,$A157))</f>
        <v>0</v>
      </c>
      <c r="J156" s="0" t="n">
        <f aca="false">IF(IF((J$3*10^12-$A157)*(J$3*10^12-$A156)*-1&lt;0,0,1)*IF(ABS(J$3*10^12-$A157)&gt;(J$3*10^12-$A156),$A156,$A157)=J157,0,IF((J$3*10^12-$A157)*(J$3*10^12-$A156)*-1&lt;0,0,1)*IF(ABS(J$3*10^12-$A157)&gt;(J$3*10^12-$A156),$A156,$A157))</f>
        <v>0</v>
      </c>
      <c r="K156" s="0" t="n">
        <f aca="false">IF(IF((K$3*10^12-$A157)*(K$3*10^12-$A156)*-1&lt;0,0,1)*IF(ABS(K$3*10^12-$A157)&gt;(K$3*10^12-$A156),$A156,$A157)=K157,0,IF((K$3*10^12-$A157)*(K$3*10^12-$A156)*-1&lt;0,0,1)*IF(ABS(K$3*10^12-$A157)&gt;(K$3*10^12-$A156),$A156,$A157))</f>
        <v>0</v>
      </c>
      <c r="L156" s="0" t="n">
        <f aca="false">IF(IF((L$3*10^12-$A157)*(L$3*10^12-$A156)*-1&lt;0,0,1)*IF(ABS(L$3*10^12-$A157)&gt;(L$3*10^12-$A156),$A156,$A157)=L157,0,IF((L$3*10^12-$A157)*(L$3*10^12-$A156)*-1&lt;0,0,1)*IF(ABS(L$3*10^12-$A157)&gt;(L$3*10^12-$A156),$A156,$A157))</f>
        <v>0</v>
      </c>
      <c r="M156" s="0" t="n">
        <f aca="false">IF(IF((M$3*10^12-$A157)*(M$3*10^12-$A156)*-1&lt;0,0,1)*IF(ABS(M$3*10^12-$A157)&gt;(M$3*10^12-$A156),$A156,$A157)=M157,0,IF((M$3*10^12-$A157)*(M$3*10^12-$A156)*-1&lt;0,0,1)*IF(ABS(M$3*10^12-$A157)&gt;(M$3*10^12-$A156),$A156,$A157))</f>
        <v>0</v>
      </c>
      <c r="N156" s="0" t="e">
        <f aca="false">IF(IF((N$3*10^12-$A157)*(N$3*10^12-$A156)*-1&lt;0,0,1)*IF(ABS(N$3*10^12-$A157)&gt;(N$3*10^12-$A156),$A156,$A157)=N157,0,IF((N$3*10^12-$A157)*(N$3*10^12-$A156)*-1&lt;0,0,1)*IF(ABS(N$3*10^12-$A157)&gt;(N$3*10^12-$A156),$A156,$A157))</f>
        <v>#VALUE!</v>
      </c>
    </row>
    <row r="157" customFormat="false" ht="12.75" hidden="false" customHeight="false" outlineLevel="0" collapsed="false">
      <c r="A157" s="0" t="n">
        <f aca="false">A145*10</f>
        <v>1800000000000</v>
      </c>
      <c r="B157" s="0" t="n">
        <f aca="false">IF(IF((B$3*10^12-$A158)*(B$3*10^12-$A157)*-1&lt;0,0,1)*IF(ABS(B$3*10^12-$A158)&gt;(B$3*10^12-$A157),$A157,$A158)=B158,0,IF((B$3*10^12-$A158)*(B$3*10^12-$A157)*-1&lt;0,0,1)*IF(ABS(B$3*10^12-$A158)&gt;(B$3*10^12-$A157),$A157,$A158))</f>
        <v>0</v>
      </c>
      <c r="C157" s="0" t="n">
        <f aca="false">IF(IF((C$3*10^12-$A158)*(C$3*10^12-$A157)*-1&lt;0,0,1)*IF(ABS(C$3*10^12-$A158)&gt;(C$3*10^12-$A157),$A157,$A158)=C158,0,IF((C$3*10^12-$A158)*(C$3*10^12-$A157)*-1&lt;0,0,1)*IF(ABS(C$3*10^12-$A158)&gt;(C$3*10^12-$A157),$A157,$A158))</f>
        <v>0</v>
      </c>
      <c r="D157" s="0" t="n">
        <f aca="false">IF(IF((D$3*10^12-$A158)*(D$3*10^12-$A157)*-1&lt;0,0,1)*IF(ABS(D$3*10^12-$A158)&gt;(D$3*10^12-$A157),$A157,$A158)=D158,0,IF((D$3*10^12-$A158)*(D$3*10^12-$A157)*-1&lt;0,0,1)*IF(ABS(D$3*10^12-$A158)&gt;(D$3*10^12-$A157),$A157,$A158))</f>
        <v>0</v>
      </c>
      <c r="E157" s="0" t="n">
        <f aca="false">IF(IF((E$3*10^12-$A158)*(E$3*10^12-$A157)*-1&lt;0,0,1)*IF(ABS(E$3*10^12-$A158)&gt;(E$3*10^12-$A157),$A157,$A158)=E158,0,IF((E$3*10^12-$A158)*(E$3*10^12-$A157)*-1&lt;0,0,1)*IF(ABS(E$3*10^12-$A158)&gt;(E$3*10^12-$A157),$A157,$A158))</f>
        <v>0</v>
      </c>
      <c r="F157" s="0" t="n">
        <f aca="false">IF(IF((F$3*10^12-$A158)*(F$3*10^12-$A157)*-1&lt;0,0,1)*IF(ABS(F$3*10^12-$A158)&gt;(F$3*10^12-$A157),$A157,$A158)=F158,0,IF((F$3*10^12-$A158)*(F$3*10^12-$A157)*-1&lt;0,0,1)*IF(ABS(F$3*10^12-$A158)&gt;(F$3*10^12-$A157),$A157,$A158))</f>
        <v>0</v>
      </c>
      <c r="G157" s="0" t="n">
        <f aca="false">IF(IF((G$3*10^12-$A158)*(G$3*10^12-$A157)*-1&lt;0,0,1)*IF(ABS(G$3*10^12-$A158)&gt;(G$3*10^12-$A157),$A157,$A158)=G158,0,IF((G$3*10^12-$A158)*(G$3*10^12-$A157)*-1&lt;0,0,1)*IF(ABS(G$3*10^12-$A158)&gt;(G$3*10^12-$A157),$A157,$A158))</f>
        <v>0</v>
      </c>
      <c r="H157" s="0" t="n">
        <f aca="false">IF(IF((H$3*10^12-$A158)*(H$3*10^12-$A157)*-1&lt;0,0,1)*IF(ABS(H$3*10^12-$A158)&gt;(H$3*10^12-$A157),$A157,$A158)=H158,0,IF((H$3*10^12-$A158)*(H$3*10^12-$A157)*-1&lt;0,0,1)*IF(ABS(H$3*10^12-$A158)&gt;(H$3*10^12-$A157),$A157,$A158))</f>
        <v>0</v>
      </c>
      <c r="I157" s="0" t="n">
        <f aca="false">IF(IF((I$3*10^12-$A158)*(I$3*10^12-$A157)*-1&lt;0,0,1)*IF(ABS(I$3*10^12-$A158)&gt;(I$3*10^12-$A157),$A157,$A158)=I158,0,IF((I$3*10^12-$A158)*(I$3*10^12-$A157)*-1&lt;0,0,1)*IF(ABS(I$3*10^12-$A158)&gt;(I$3*10^12-$A157),$A157,$A158))</f>
        <v>0</v>
      </c>
      <c r="J157" s="0" t="n">
        <f aca="false">IF(IF((J$3*10^12-$A158)*(J$3*10^12-$A157)*-1&lt;0,0,1)*IF(ABS(J$3*10^12-$A158)&gt;(J$3*10^12-$A157),$A157,$A158)=J158,0,IF((J$3*10^12-$A158)*(J$3*10^12-$A157)*-1&lt;0,0,1)*IF(ABS(J$3*10^12-$A158)&gt;(J$3*10^12-$A157),$A157,$A158))</f>
        <v>0</v>
      </c>
      <c r="K157" s="0" t="n">
        <f aca="false">IF(IF((K$3*10^12-$A158)*(K$3*10^12-$A157)*-1&lt;0,0,1)*IF(ABS(K$3*10^12-$A158)&gt;(K$3*10^12-$A157),$A157,$A158)=K158,0,IF((K$3*10^12-$A158)*(K$3*10^12-$A157)*-1&lt;0,0,1)*IF(ABS(K$3*10^12-$A158)&gt;(K$3*10^12-$A157),$A157,$A158))</f>
        <v>0</v>
      </c>
      <c r="L157" s="0" t="n">
        <f aca="false">IF(IF((L$3*10^12-$A158)*(L$3*10^12-$A157)*-1&lt;0,0,1)*IF(ABS(L$3*10^12-$A158)&gt;(L$3*10^12-$A157),$A157,$A158)=L158,0,IF((L$3*10^12-$A158)*(L$3*10^12-$A157)*-1&lt;0,0,1)*IF(ABS(L$3*10^12-$A158)&gt;(L$3*10^12-$A157),$A157,$A158))</f>
        <v>0</v>
      </c>
      <c r="M157" s="0" t="n">
        <f aca="false">IF(IF((M$3*10^12-$A158)*(M$3*10^12-$A157)*-1&lt;0,0,1)*IF(ABS(M$3*10^12-$A158)&gt;(M$3*10^12-$A157),$A157,$A158)=M158,0,IF((M$3*10^12-$A158)*(M$3*10^12-$A157)*-1&lt;0,0,1)*IF(ABS(M$3*10^12-$A158)&gt;(M$3*10^12-$A157),$A157,$A158))</f>
        <v>0</v>
      </c>
      <c r="N157" s="0" t="e">
        <f aca="false">IF(IF((N$3*10^12-$A158)*(N$3*10^12-$A157)*-1&lt;0,0,1)*IF(ABS(N$3*10^12-$A158)&gt;(N$3*10^12-$A157),$A157,$A158)=N158,0,IF((N$3*10^12-$A158)*(N$3*10^12-$A157)*-1&lt;0,0,1)*IF(ABS(N$3*10^12-$A158)&gt;(N$3*10^12-$A157),$A157,$A158))</f>
        <v>#VALUE!</v>
      </c>
    </row>
    <row r="158" customFormat="false" ht="12.75" hidden="false" customHeight="false" outlineLevel="0" collapsed="false">
      <c r="A158" s="0" t="n">
        <f aca="false">A146*10</f>
        <v>2200000000000</v>
      </c>
      <c r="B158" s="0" t="n">
        <f aca="false">IF(IF((B$3*10^12-$A159)*(B$3*10^12-$A158)*-1&lt;0,0,1)*IF(ABS(B$3*10^12-$A159)&gt;(B$3*10^12-$A158),$A158,$A159)=B159,0,IF((B$3*10^12-$A159)*(B$3*10^12-$A158)*-1&lt;0,0,1)*IF(ABS(B$3*10^12-$A159)&gt;(B$3*10^12-$A158),$A158,$A159))</f>
        <v>0</v>
      </c>
      <c r="C158" s="0" t="n">
        <f aca="false">IF(IF((C$3*10^12-$A159)*(C$3*10^12-$A158)*-1&lt;0,0,1)*IF(ABS(C$3*10^12-$A159)&gt;(C$3*10^12-$A158),$A158,$A159)=C159,0,IF((C$3*10^12-$A159)*(C$3*10^12-$A158)*-1&lt;0,0,1)*IF(ABS(C$3*10^12-$A159)&gt;(C$3*10^12-$A158),$A158,$A159))</f>
        <v>0</v>
      </c>
      <c r="D158" s="0" t="n">
        <f aca="false">IF(IF((D$3*10^12-$A159)*(D$3*10^12-$A158)*-1&lt;0,0,1)*IF(ABS(D$3*10^12-$A159)&gt;(D$3*10^12-$A158),$A158,$A159)=D159,0,IF((D$3*10^12-$A159)*(D$3*10^12-$A158)*-1&lt;0,0,1)*IF(ABS(D$3*10^12-$A159)&gt;(D$3*10^12-$A158),$A158,$A159))</f>
        <v>0</v>
      </c>
      <c r="E158" s="0" t="n">
        <f aca="false">IF(IF((E$3*10^12-$A159)*(E$3*10^12-$A158)*-1&lt;0,0,1)*IF(ABS(E$3*10^12-$A159)&gt;(E$3*10^12-$A158),$A158,$A159)=E159,0,IF((E$3*10^12-$A159)*(E$3*10^12-$A158)*-1&lt;0,0,1)*IF(ABS(E$3*10^12-$A159)&gt;(E$3*10^12-$A158),$A158,$A159))</f>
        <v>0</v>
      </c>
      <c r="F158" s="0" t="n">
        <f aca="false">IF(IF((F$3*10^12-$A159)*(F$3*10^12-$A158)*-1&lt;0,0,1)*IF(ABS(F$3*10^12-$A159)&gt;(F$3*10^12-$A158),$A158,$A159)=F159,0,IF((F$3*10^12-$A159)*(F$3*10^12-$A158)*-1&lt;0,0,1)*IF(ABS(F$3*10^12-$A159)&gt;(F$3*10^12-$A158),$A158,$A159))</f>
        <v>0</v>
      </c>
      <c r="G158" s="0" t="n">
        <f aca="false">IF(IF((G$3*10^12-$A159)*(G$3*10^12-$A158)*-1&lt;0,0,1)*IF(ABS(G$3*10^12-$A159)&gt;(G$3*10^12-$A158),$A158,$A159)=G159,0,IF((G$3*10^12-$A159)*(G$3*10^12-$A158)*-1&lt;0,0,1)*IF(ABS(G$3*10^12-$A159)&gt;(G$3*10^12-$A158),$A158,$A159))</f>
        <v>0</v>
      </c>
      <c r="H158" s="0" t="n">
        <f aca="false">IF(IF((H$3*10^12-$A159)*(H$3*10^12-$A158)*-1&lt;0,0,1)*IF(ABS(H$3*10^12-$A159)&gt;(H$3*10^12-$A158),$A158,$A159)=H159,0,IF((H$3*10^12-$A159)*(H$3*10^12-$A158)*-1&lt;0,0,1)*IF(ABS(H$3*10^12-$A159)&gt;(H$3*10^12-$A158),$A158,$A159))</f>
        <v>0</v>
      </c>
      <c r="I158" s="0" t="n">
        <f aca="false">IF(IF((I$3*10^12-$A159)*(I$3*10^12-$A158)*-1&lt;0,0,1)*IF(ABS(I$3*10^12-$A159)&gt;(I$3*10^12-$A158),$A158,$A159)=I159,0,IF((I$3*10^12-$A159)*(I$3*10^12-$A158)*-1&lt;0,0,1)*IF(ABS(I$3*10^12-$A159)&gt;(I$3*10^12-$A158),$A158,$A159))</f>
        <v>0</v>
      </c>
      <c r="J158" s="0" t="n">
        <f aca="false">IF(IF((J$3*10^12-$A159)*(J$3*10^12-$A158)*-1&lt;0,0,1)*IF(ABS(J$3*10^12-$A159)&gt;(J$3*10^12-$A158),$A158,$A159)=J159,0,IF((J$3*10^12-$A159)*(J$3*10^12-$A158)*-1&lt;0,0,1)*IF(ABS(J$3*10^12-$A159)&gt;(J$3*10^12-$A158),$A158,$A159))</f>
        <v>0</v>
      </c>
      <c r="K158" s="0" t="n">
        <f aca="false">IF(IF((K$3*10^12-$A159)*(K$3*10^12-$A158)*-1&lt;0,0,1)*IF(ABS(K$3*10^12-$A159)&gt;(K$3*10^12-$A158),$A158,$A159)=K159,0,IF((K$3*10^12-$A159)*(K$3*10^12-$A158)*-1&lt;0,0,1)*IF(ABS(K$3*10^12-$A159)&gt;(K$3*10^12-$A158),$A158,$A159))</f>
        <v>0</v>
      </c>
      <c r="L158" s="0" t="n">
        <f aca="false">IF(IF((L$3*10^12-$A159)*(L$3*10^12-$A158)*-1&lt;0,0,1)*IF(ABS(L$3*10^12-$A159)&gt;(L$3*10^12-$A158),$A158,$A159)=L159,0,IF((L$3*10^12-$A159)*(L$3*10^12-$A158)*-1&lt;0,0,1)*IF(ABS(L$3*10^12-$A159)&gt;(L$3*10^12-$A158),$A158,$A159))</f>
        <v>0</v>
      </c>
      <c r="M158" s="0" t="n">
        <f aca="false">IF(IF((M$3*10^12-$A159)*(M$3*10^12-$A158)*-1&lt;0,0,1)*IF(ABS(M$3*10^12-$A159)&gt;(M$3*10^12-$A158),$A158,$A159)=M159,0,IF((M$3*10^12-$A159)*(M$3*10^12-$A158)*-1&lt;0,0,1)*IF(ABS(M$3*10^12-$A159)&gt;(M$3*10^12-$A158),$A158,$A159))</f>
        <v>0</v>
      </c>
      <c r="N158" s="0" t="e">
        <f aca="false">IF(IF((N$3*10^12-$A159)*(N$3*10^12-$A158)*-1&lt;0,0,1)*IF(ABS(N$3*10^12-$A159)&gt;(N$3*10^12-$A158),$A158,$A159)=N159,0,IF((N$3*10^12-$A159)*(N$3*10^12-$A158)*-1&lt;0,0,1)*IF(ABS(N$3*10^12-$A159)&gt;(N$3*10^12-$A158),$A158,$A159))</f>
        <v>#VALUE!</v>
      </c>
    </row>
    <row r="159" customFormat="false" ht="12.75" hidden="false" customHeight="false" outlineLevel="0" collapsed="false">
      <c r="A159" s="340" t="n">
        <f aca="false">A147*10</f>
        <v>2700000000000</v>
      </c>
      <c r="B159" s="0" t="n">
        <f aca="false">IF(IF((B$3*10^12-$A160)*(B$3*10^12-$A159)*-1&lt;0,0,1)*IF(ABS(B$3*10^12-$A160)&gt;(B$3*10^12-$A159),$A159,$A160)=B160,0,IF((B$3*10^12-$A160)*(B$3*10^12-$A159)*-1&lt;0,0,1)*IF(ABS(B$3*10^12-$A160)&gt;(B$3*10^12-$A159),$A159,$A160))</f>
        <v>2700000000000</v>
      </c>
      <c r="C159" s="0" t="n">
        <f aca="false">IF(IF((C$3*10^12-$A160)*(C$3*10^12-$A159)*-1&lt;0,0,1)*IF(ABS(C$3*10^12-$A160)&gt;(C$3*10^12-$A159),$A159,$A160)=C160,0,IF((C$3*10^12-$A160)*(C$3*10^12-$A159)*-1&lt;0,0,1)*IF(ABS(C$3*10^12-$A160)&gt;(C$3*10^12-$A159),$A159,$A160))</f>
        <v>2700000000000</v>
      </c>
      <c r="D159" s="0" t="n">
        <f aca="false">IF(IF((D$3*10^12-$A160)*(D$3*10^12-$A159)*-1&lt;0,0,1)*IF(ABS(D$3*10^12-$A160)&gt;(D$3*10^12-$A159),$A159,$A160)=D160,0,IF((D$3*10^12-$A160)*(D$3*10^12-$A159)*-1&lt;0,0,1)*IF(ABS(D$3*10^12-$A160)&gt;(D$3*10^12-$A159),$A159,$A160))</f>
        <v>2700000000000</v>
      </c>
      <c r="E159" s="0" t="n">
        <f aca="false">IF(IF((E$3*10^12-$A160)*(E$3*10^12-$A159)*-1&lt;0,0,1)*IF(ABS(E$3*10^12-$A160)&gt;(E$3*10^12-$A159),$A159,$A160)=E160,0,IF((E$3*10^12-$A160)*(E$3*10^12-$A159)*-1&lt;0,0,1)*IF(ABS(E$3*10^12-$A160)&gt;(E$3*10^12-$A159),$A159,$A160))</f>
        <v>2700000000000</v>
      </c>
      <c r="F159" s="0" t="n">
        <f aca="false">IF(IF((F$3*10^12-$A160)*(F$3*10^12-$A159)*-1&lt;0,0,1)*IF(ABS(F$3*10^12-$A160)&gt;(F$3*10^12-$A159),$A159,$A160)=F160,0,IF((F$3*10^12-$A160)*(F$3*10^12-$A159)*-1&lt;0,0,1)*IF(ABS(F$3*10^12-$A160)&gt;(F$3*10^12-$A159),$A159,$A160))</f>
        <v>2700000000000</v>
      </c>
      <c r="G159" s="0" t="n">
        <f aca="false">IF(IF((G$3*10^12-$A160)*(G$3*10^12-$A159)*-1&lt;0,0,1)*IF(ABS(G$3*10^12-$A160)&gt;(G$3*10^12-$A159),$A159,$A160)=G160,0,IF((G$3*10^12-$A160)*(G$3*10^12-$A159)*-1&lt;0,0,1)*IF(ABS(G$3*10^12-$A160)&gt;(G$3*10^12-$A159),$A159,$A160))</f>
        <v>2700000000000</v>
      </c>
      <c r="H159" s="0" t="n">
        <f aca="false">IF(IF((H$3*10^12-$A160)*(H$3*10^12-$A159)*-1&lt;0,0,1)*IF(ABS(H$3*10^12-$A160)&gt;(H$3*10^12-$A159),$A159,$A160)=H160,0,IF((H$3*10^12-$A160)*(H$3*10^12-$A159)*-1&lt;0,0,1)*IF(ABS(H$3*10^12-$A160)&gt;(H$3*10^12-$A159),$A159,$A160))</f>
        <v>2700000000000</v>
      </c>
      <c r="I159" s="0" t="n">
        <f aca="false">IF(IF((I$3*10^12-$A160)*(I$3*10^12-$A159)*-1&lt;0,0,1)*IF(ABS(I$3*10^12-$A160)&gt;(I$3*10^12-$A159),$A159,$A160)=I160,0,IF((I$3*10^12-$A160)*(I$3*10^12-$A159)*-1&lt;0,0,1)*IF(ABS(I$3*10^12-$A160)&gt;(I$3*10^12-$A159),$A159,$A160))</f>
        <v>2700000000000</v>
      </c>
      <c r="J159" s="0" t="n">
        <f aca="false">IF(IF((J$3*10^12-$A160)*(J$3*10^12-$A159)*-1&lt;0,0,1)*IF(ABS(J$3*10^12-$A160)&gt;(J$3*10^12-$A159),$A159,$A160)=J160,0,IF((J$3*10^12-$A160)*(J$3*10^12-$A159)*-1&lt;0,0,1)*IF(ABS(J$3*10^12-$A160)&gt;(J$3*10^12-$A159),$A159,$A160))</f>
        <v>2700000000000</v>
      </c>
      <c r="K159" s="0" t="n">
        <f aca="false">IF(IF((K$3*10^12-$A160)*(K$3*10^12-$A159)*-1&lt;0,0,1)*IF(ABS(K$3*10^12-$A160)&gt;(K$3*10^12-$A159),$A159,$A160)=K160,0,IF((K$3*10^12-$A160)*(K$3*10^12-$A159)*-1&lt;0,0,1)*IF(ABS(K$3*10^12-$A160)&gt;(K$3*10^12-$A159),$A159,$A160))</f>
        <v>0</v>
      </c>
      <c r="L159" s="0" t="n">
        <f aca="false">IF(IF((L$3*10^12-$A160)*(L$3*10^12-$A159)*-1&lt;0,0,1)*IF(ABS(L$3*10^12-$A160)&gt;(L$3*10^12-$A159),$A159,$A160)=L160,0,IF((L$3*10^12-$A160)*(L$3*10^12-$A159)*-1&lt;0,0,1)*IF(ABS(L$3*10^12-$A160)&gt;(L$3*10^12-$A159),$A159,$A160))</f>
        <v>2700000000000</v>
      </c>
      <c r="M159" s="0" t="n">
        <f aca="false">IF(IF((M$3*10^12-$A160)*(M$3*10^12-$A159)*-1&lt;0,0,1)*IF(ABS(M$3*10^12-$A160)&gt;(M$3*10^12-$A159),$A159,$A160)=M160,0,IF((M$3*10^12-$A160)*(M$3*10^12-$A159)*-1&lt;0,0,1)*IF(ABS(M$3*10^12-$A160)&gt;(M$3*10^12-$A159),$A159,$A160))</f>
        <v>2700000000000</v>
      </c>
      <c r="N159" s="0" t="e">
        <f aca="false">IF(IF((N$3*10^12-$A160)*(N$3*10^12-$A159)*-1&lt;0,0,1)*IF(ABS(N$3*10^12-$A160)&gt;(N$3*10^12-$A159),$A159,$A160)=N160,0,IF((N$3*10^12-$A160)*(N$3*10^12-$A159)*-1&lt;0,0,1)*IF(ABS(N$3*10^12-$A160)&gt;(N$3*10^12-$A159),$A159,$A160))</f>
        <v>#VALUE!</v>
      </c>
    </row>
  </sheetData>
  <printOptions headings="false" gridLines="false" gridLinesSet="true" horizontalCentered="false" verticalCentered="false"/>
  <pageMargins left="0.75" right="0.75" top="1" bottom="1"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sheetPr filterMode="false">
    <tabColor rgb="00FFFFFF"/>
    <pageSetUpPr fitToPage="false"/>
  </sheetPr>
  <dimension ref="A1:CC692"/>
  <sheetViews>
    <sheetView windowProtection="false" showFormulas="false" showGridLines="true" showRowColHeaders="true" showZeros="true" rightToLeft="false" tabSelected="false" showOutlineSymbols="true" defaultGridColor="true" view="normal" topLeftCell="B9" colorId="64" zoomScale="100" zoomScaleNormal="100" zoomScalePageLayoutView="100" workbookViewId="0">
      <selection pane="topLeft" activeCell="B691" activeCellId="0" sqref="B691"/>
    </sheetView>
  </sheetViews>
  <sheetFormatPr defaultRowHeight="12.75"/>
  <cols>
    <col collapsed="false" hidden="false" max="1" min="1" style="0" width="10.4234693877551"/>
    <col collapsed="false" hidden="false" max="2" min="2" style="0" width="10"/>
    <col collapsed="false" hidden="false" max="3" min="3" style="0" width="8.6734693877551"/>
    <col collapsed="false" hidden="false" max="4" min="4" style="0" width="12.4183673469388"/>
    <col collapsed="false" hidden="false" max="6" min="5" style="0" width="8.6734693877551"/>
    <col collapsed="false" hidden="false" max="7" min="7" style="0" width="11.1428571428571"/>
    <col collapsed="false" hidden="false" max="8" min="8" style="0" width="13.1377551020408"/>
    <col collapsed="false" hidden="false" max="12" min="9" style="0" width="8.6734693877551"/>
    <col collapsed="false" hidden="false" max="14" min="13" style="0" width="12.4183673469388"/>
    <col collapsed="false" hidden="false" max="15" min="15" style="0" width="8.6734693877551"/>
    <col collapsed="false" hidden="false" max="16" min="16" style="0" width="12.4183673469388"/>
    <col collapsed="false" hidden="false" max="17" min="17" style="0" width="8.6734693877551"/>
    <col collapsed="false" hidden="false" max="18" min="18" style="0" width="13.1377551020408"/>
    <col collapsed="false" hidden="false" max="19" min="19" style="0" width="8.6734693877551"/>
    <col collapsed="false" hidden="false" max="20" min="20" style="0" width="13.1377551020408"/>
    <col collapsed="false" hidden="false" max="21" min="21" style="0" width="8.6734693877551"/>
    <col collapsed="false" hidden="false" max="22" min="22" style="0" width="13.1377551020408"/>
    <col collapsed="false" hidden="false" max="23" min="23" style="0" width="8.6734693877551"/>
    <col collapsed="false" hidden="false" max="24" min="24" style="0" width="13.8571428571429"/>
    <col collapsed="false" hidden="false" max="25" min="25" style="0" width="12.5714285714286"/>
    <col collapsed="false" hidden="false" max="26" min="26" style="0" width="12.4183673469388"/>
    <col collapsed="false" hidden="false" max="27" min="27" style="0" width="8.6734693877551"/>
    <col collapsed="false" hidden="false" max="28" min="28" style="160" width="3.14285714285714"/>
    <col collapsed="false" hidden="false" max="32" min="29" style="0" width="8.56632653061224"/>
    <col collapsed="false" hidden="false" max="33" min="33" style="0" width="13.1377551020408"/>
    <col collapsed="false" hidden="false" max="34" min="34" style="0" width="9.5765306122449"/>
    <col collapsed="false" hidden="false" max="35" min="35" style="0" width="10"/>
    <col collapsed="false" hidden="false" max="39" min="36" style="0" width="8.85714285714286"/>
    <col collapsed="false" hidden="false" max="42" min="40" style="0" width="8.6734693877551"/>
    <col collapsed="false" hidden="false" max="43" min="43" style="0" width="12.4183673469388"/>
    <col collapsed="false" hidden="false" max="44" min="44" style="0" width="8.6734693877551"/>
    <col collapsed="false" hidden="false" max="46" min="45" style="0" width="12.4183673469388"/>
    <col collapsed="false" hidden="false" max="47" min="47" style="0" width="13.1377551020408"/>
    <col collapsed="false" hidden="false" max="48" min="48" style="0" width="8.6734693877551"/>
    <col collapsed="false" hidden="false" max="49" min="49" style="0" width="13.1377551020408"/>
    <col collapsed="false" hidden="false" max="50" min="50" style="0" width="10.9948979591837"/>
    <col collapsed="false" hidden="false" max="53" min="51" style="0" width="8.6734693877551"/>
    <col collapsed="false" hidden="false" max="54" min="54" style="0" width="12.4183673469388"/>
    <col collapsed="false" hidden="false" max="55" min="55" style="0" width="10.1428571428571"/>
    <col collapsed="false" hidden="false" max="57" min="56" style="0" width="8.6734693877551"/>
    <col collapsed="false" hidden="false" max="58" min="58" style="0" width="10.9948979591837"/>
    <col collapsed="false" hidden="false" max="59" min="59" style="0" width="13.0051020408163"/>
    <col collapsed="false" hidden="false" max="60" min="60" style="0" width="16.8571428571429"/>
    <col collapsed="false" hidden="false" max="61" min="61" style="0" width="8.6734693877551"/>
    <col collapsed="false" hidden="false" max="62" min="62" style="0" width="12.2857142857143"/>
    <col collapsed="false" hidden="false" max="65" min="63" style="0" width="8.6734693877551"/>
    <col collapsed="false" hidden="false" max="66" min="66" style="0" width="13.1377551020408"/>
    <col collapsed="false" hidden="false" max="71" min="67" style="0" width="8.6734693877551"/>
    <col collapsed="false" hidden="false" max="72" min="72" style="0" width="10.5765306122449"/>
    <col collapsed="false" hidden="false" max="1025" min="73" style="0" width="8.6734693877551"/>
  </cols>
  <sheetData>
    <row r="1" customFormat="false" ht="38.25" hidden="false" customHeight="true" outlineLevel="0" collapsed="false">
      <c r="A1" s="341" t="s">
        <v>500</v>
      </c>
      <c r="B1" s="341"/>
      <c r="C1" s="341"/>
      <c r="D1" s="341"/>
      <c r="E1" s="341"/>
      <c r="F1" s="341"/>
      <c r="G1" s="341"/>
      <c r="AC1" s="342" t="s">
        <v>501</v>
      </c>
      <c r="AD1" s="343"/>
      <c r="AE1" s="343"/>
      <c r="AF1" s="343"/>
      <c r="AG1" s="343"/>
    </row>
    <row r="3" customFormat="false" ht="12.75" hidden="false" customHeight="false" outlineLevel="0" collapsed="false">
      <c r="AT3" s="0" t="n">
        <f aca="false">AT9/10000000000000</f>
        <v>-1.88358308767861E-005</v>
      </c>
      <c r="AU3" s="0" t="n">
        <f aca="false">AU9/10000000000000</f>
        <v>-0.0372776145669452</v>
      </c>
    </row>
    <row r="4" customFormat="false" ht="12.75" hidden="false" customHeight="false" outlineLevel="0" collapsed="false">
      <c r="AT4" s="0" t="n">
        <f aca="false">AT3*1000</f>
        <v>-0.0188358308767861</v>
      </c>
      <c r="AU4" s="0" t="n">
        <f aca="false">AU3*1000</f>
        <v>-37.2776145669452</v>
      </c>
      <c r="BJ4" s="343" t="s">
        <v>502</v>
      </c>
      <c r="BK4" s="343"/>
    </row>
    <row r="5" customFormat="false" ht="12.75" hidden="false" customHeight="false" outlineLevel="0" collapsed="false">
      <c r="AC5" s="0" t="s">
        <v>503</v>
      </c>
      <c r="AD5" s="0" t="s">
        <v>504</v>
      </c>
      <c r="AE5" s="0" t="s">
        <v>505</v>
      </c>
      <c r="AF5" s="0" t="s">
        <v>506</v>
      </c>
      <c r="AJ5" s="0" t="s">
        <v>503</v>
      </c>
      <c r="AK5" s="0" t="s">
        <v>504</v>
      </c>
      <c r="AL5" s="0" t="s">
        <v>505</v>
      </c>
      <c r="AM5" s="0" t="s">
        <v>506</v>
      </c>
      <c r="BJ5" s="0" t="s">
        <v>507</v>
      </c>
      <c r="BK5" s="0" t="n">
        <f aca="false">SUM(BJ9:BJ626)/1000</f>
        <v>415</v>
      </c>
    </row>
    <row r="6" customFormat="false" ht="12.75" hidden="false" customHeight="false" outlineLevel="0" collapsed="false">
      <c r="C6" s="344" t="s">
        <v>508</v>
      </c>
      <c r="D6" s="344"/>
      <c r="E6" s="344"/>
      <c r="F6" s="344"/>
      <c r="G6" s="344"/>
      <c r="H6" s="344"/>
      <c r="J6" s="338" t="s">
        <v>509</v>
      </c>
      <c r="M6" s="338" t="s">
        <v>510</v>
      </c>
      <c r="N6" s="343"/>
      <c r="O6" s="343"/>
      <c r="P6" s="343"/>
      <c r="Q6" s="343"/>
      <c r="R6" s="343"/>
      <c r="S6" s="343"/>
      <c r="T6" s="343"/>
      <c r="U6" s="343"/>
      <c r="V6" s="343"/>
      <c r="X6" s="338" t="s">
        <v>511</v>
      </c>
      <c r="Y6" s="343"/>
      <c r="Z6" s="343"/>
      <c r="AC6" s="343" t="s">
        <v>512</v>
      </c>
      <c r="AD6" s="343"/>
      <c r="AE6" s="343"/>
      <c r="AF6" s="343"/>
      <c r="AG6" s="343"/>
      <c r="AH6" s="343"/>
      <c r="AJ6" s="343" t="s">
        <v>513</v>
      </c>
      <c r="AK6" s="343"/>
      <c r="AL6" s="343"/>
      <c r="AM6" s="343"/>
      <c r="AN6" s="343"/>
      <c r="AO6" s="343"/>
      <c r="AQ6" s="343" t="s">
        <v>514</v>
      </c>
      <c r="AR6" s="343"/>
      <c r="AT6" s="343" t="s">
        <v>515</v>
      </c>
      <c r="AU6" s="343"/>
      <c r="AV6" s="343"/>
      <c r="AW6" s="343"/>
      <c r="AX6" s="343"/>
      <c r="AY6" s="343"/>
      <c r="BA6" s="343" t="s">
        <v>516</v>
      </c>
      <c r="BB6" s="343"/>
      <c r="BC6" s="343"/>
      <c r="BF6" s="343" t="s">
        <v>517</v>
      </c>
      <c r="BG6" s="343"/>
      <c r="BH6" s="343"/>
      <c r="BJ6" s="0" t="s">
        <v>518</v>
      </c>
      <c r="BK6" s="308" t="n">
        <f aca="false">SUM(BK10:BK627)</f>
        <v>-76.4576279114972</v>
      </c>
      <c r="BM6" s="343" t="s">
        <v>519</v>
      </c>
      <c r="BN6" s="343"/>
      <c r="BU6" s="244"/>
    </row>
    <row r="7" customFormat="false" ht="12.75" hidden="false" customHeight="false" outlineLevel="0" collapsed="false">
      <c r="A7" s="244"/>
      <c r="B7" s="244"/>
      <c r="C7" s="244" t="s">
        <v>520</v>
      </c>
      <c r="D7" s="244"/>
      <c r="E7" s="244"/>
      <c r="F7" s="244" t="s">
        <v>521</v>
      </c>
      <c r="G7" s="244"/>
      <c r="H7" s="244"/>
      <c r="I7" s="244"/>
      <c r="J7" s="244"/>
      <c r="M7" s="245" t="s">
        <v>522</v>
      </c>
      <c r="N7" s="245"/>
      <c r="O7" s="245" t="s">
        <v>336</v>
      </c>
      <c r="P7" s="245"/>
      <c r="Q7" s="245" t="s">
        <v>338</v>
      </c>
      <c r="R7" s="245"/>
      <c r="S7" s="245" t="s">
        <v>339</v>
      </c>
      <c r="T7" s="245"/>
      <c r="U7" s="245" t="s">
        <v>341</v>
      </c>
      <c r="V7" s="245"/>
      <c r="AC7" s="0" t="s">
        <v>523</v>
      </c>
      <c r="AE7" s="0" t="s">
        <v>524</v>
      </c>
      <c r="AG7" s="0" t="s">
        <v>525</v>
      </c>
      <c r="AJ7" s="0" t="s">
        <v>523</v>
      </c>
      <c r="AL7" s="0" t="s">
        <v>524</v>
      </c>
      <c r="AN7" s="0" t="s">
        <v>525</v>
      </c>
      <c r="AQ7" s="0" t="s">
        <v>526</v>
      </c>
      <c r="AT7" s="0" t="s">
        <v>523</v>
      </c>
      <c r="AW7" s="0" t="s">
        <v>524</v>
      </c>
      <c r="BU7" s="244"/>
    </row>
    <row r="8" customFormat="false" ht="12.75" hidden="false" customHeight="false" outlineLevel="0" collapsed="false">
      <c r="A8" s="244" t="s">
        <v>527</v>
      </c>
      <c r="B8" s="244"/>
      <c r="C8" s="244" t="s">
        <v>528</v>
      </c>
      <c r="D8" s="244" t="s">
        <v>529</v>
      </c>
      <c r="E8" s="244"/>
      <c r="F8" s="244" t="s">
        <v>528</v>
      </c>
      <c r="G8" s="244"/>
      <c r="H8" s="244" t="s">
        <v>529</v>
      </c>
      <c r="I8" s="244"/>
      <c r="J8" s="244" t="s">
        <v>528</v>
      </c>
      <c r="M8" s="244" t="s">
        <v>528</v>
      </c>
      <c r="N8" s="244" t="s">
        <v>529</v>
      </c>
      <c r="O8" s="244" t="s">
        <v>528</v>
      </c>
      <c r="P8" s="244" t="s">
        <v>529</v>
      </c>
      <c r="Q8" s="244" t="s">
        <v>528</v>
      </c>
      <c r="R8" s="244" t="s">
        <v>529</v>
      </c>
      <c r="S8" s="244" t="s">
        <v>528</v>
      </c>
      <c r="T8" s="244" t="s">
        <v>529</v>
      </c>
      <c r="U8" s="244" t="s">
        <v>528</v>
      </c>
      <c r="V8" s="244" t="s">
        <v>529</v>
      </c>
      <c r="X8" s="244" t="s">
        <v>530</v>
      </c>
      <c r="Y8" s="244" t="s">
        <v>531</v>
      </c>
      <c r="Z8" s="244" t="s">
        <v>532</v>
      </c>
      <c r="AC8" s="0" t="s">
        <v>533</v>
      </c>
      <c r="AD8" s="0" t="s">
        <v>534</v>
      </c>
      <c r="AE8" s="0" t="s">
        <v>533</v>
      </c>
      <c r="AF8" s="0" t="s">
        <v>534</v>
      </c>
      <c r="AG8" s="0" t="s">
        <v>535</v>
      </c>
      <c r="AH8" s="0" t="s">
        <v>536</v>
      </c>
      <c r="AJ8" s="0" t="s">
        <v>533</v>
      </c>
      <c r="AK8" s="0" t="s">
        <v>534</v>
      </c>
      <c r="AL8" s="0" t="s">
        <v>533</v>
      </c>
      <c r="AM8" s="0" t="s">
        <v>534</v>
      </c>
      <c r="AN8" s="0" t="s">
        <v>537</v>
      </c>
      <c r="AO8" s="0" t="s">
        <v>538</v>
      </c>
      <c r="AQ8" s="0" t="s">
        <v>533</v>
      </c>
      <c r="AR8" s="0" t="s">
        <v>534</v>
      </c>
      <c r="AT8" s="0" t="s">
        <v>533</v>
      </c>
      <c r="AU8" s="0" t="s">
        <v>534</v>
      </c>
      <c r="AV8" s="0" t="s">
        <v>529</v>
      </c>
      <c r="AW8" s="0" t="s">
        <v>533</v>
      </c>
      <c r="AX8" s="0" t="s">
        <v>534</v>
      </c>
      <c r="AY8" s="0" t="s">
        <v>529</v>
      </c>
      <c r="BA8" s="0" t="s">
        <v>539</v>
      </c>
      <c r="BB8" s="0" t="s">
        <v>540</v>
      </c>
      <c r="BC8" s="0" t="s">
        <v>541</v>
      </c>
      <c r="BF8" s="0" t="s">
        <v>530</v>
      </c>
      <c r="BG8" s="0" t="s">
        <v>531</v>
      </c>
      <c r="BH8" s="0" t="s">
        <v>542</v>
      </c>
      <c r="BM8" s="0" t="s">
        <v>530</v>
      </c>
      <c r="BN8" s="0" t="s">
        <v>543</v>
      </c>
      <c r="BQ8" s="244"/>
      <c r="BR8" s="244"/>
      <c r="BS8" s="244"/>
      <c r="BT8" s="0" t="s">
        <v>544</v>
      </c>
      <c r="BY8" s="244"/>
      <c r="BZ8" s="244"/>
      <c r="CA8" s="244"/>
      <c r="CB8" s="244"/>
    </row>
    <row r="9" customFormat="false" ht="12.75" hidden="false" customHeight="false" outlineLevel="0" collapsed="false">
      <c r="A9" s="0" t="n">
        <v>1</v>
      </c>
      <c r="B9" s="0" t="n">
        <f aca="false">A9/1000</f>
        <v>0.001</v>
      </c>
      <c r="C9" s="0" t="n">
        <f aca="false">SQRT((A9/Fesr)^2+1)</f>
        <v>1</v>
      </c>
      <c r="D9" s="0" t="n">
        <f aca="false">ATAN(A9/Fesr)</f>
        <v>6.2831853E-009</v>
      </c>
      <c r="F9" s="0" t="n">
        <f aca="false">(Ro/(Ro+Rdcr))/SQRT((A9/(Q*Fo))^2+(1-(A9^2/Fo^2))^2)</f>
        <v>0.992390645025968</v>
      </c>
      <c r="G9" s="0" t="n">
        <f aca="false">-ATAN(A9*Fo/(Q*(Fo^2-A9^2)))</f>
        <v>-1.44285335374784E-005</v>
      </c>
      <c r="H9" s="0" t="n">
        <f aca="false">IF(G9&gt;0,G9-Pi,G9)</f>
        <v>-1.44285335374784E-005</v>
      </c>
      <c r="J9" s="0" t="n">
        <f aca="false">Vin/Vramp</f>
        <v>9</v>
      </c>
      <c r="M9" s="0" t="n">
        <f aca="false">1/(2*Pi*_Rfb1*(Cc1ea_u+Cc2ea_u)*A9)</f>
        <v>5894.62752865764</v>
      </c>
      <c r="N9" s="0" t="n">
        <f aca="false">-Pi/2</f>
        <v>-1.570796325</v>
      </c>
      <c r="O9" s="0" t="n">
        <f aca="false">SQRT(1+(A9/Fz1_u)^2)</f>
        <v>1.00000000029839</v>
      </c>
      <c r="P9" s="0" t="n">
        <f aca="false">ATAN2(Fz1_u,A9)</f>
        <v>2.44290244415404E-005</v>
      </c>
      <c r="Q9" s="0" t="n">
        <f aca="false">SQRT(1+(A9/Fz2_u)^2)</f>
        <v>1.00038412837879</v>
      </c>
      <c r="R9" s="0" t="n">
        <f aca="false">ATAN2(Fz2_u,A9)</f>
        <v>0.0277130098295436</v>
      </c>
      <c r="S9" s="0" t="n">
        <f aca="false">1/SQRT(1+(A9/Fp1_u)^2)</f>
        <v>0.999999997255238</v>
      </c>
      <c r="T9" s="0" t="n">
        <f aca="false">-ATAN2(Fp1_u,A9)</f>
        <v>-7.40913209220247E-005</v>
      </c>
      <c r="U9" s="0" t="n">
        <f aca="false">1/SQRT(1+(A9/Fp2_u)^2)</f>
        <v>0.999999999996316</v>
      </c>
      <c r="V9" s="0" t="n">
        <f aca="false">-ATAN2(Fp2_u,A9)</f>
        <v>-2.71433604959333E-006</v>
      </c>
      <c r="X9" s="0" t="n">
        <f aca="false">20*LOG(C9*J9*O9*Q9*F9*M9*S9*U9)</f>
        <v>94.4309666162047</v>
      </c>
      <c r="Y9" s="0" t="n">
        <f aca="false">(180/Pi)*(D9+H9+N9+P9+R9+T9+V9)</f>
        <v>-88.415988791418</v>
      </c>
      <c r="Z9" s="0" t="n">
        <f aca="false">Y9+180</f>
        <v>91.5840112085821</v>
      </c>
      <c r="AC9" s="0" t="n">
        <v>1</v>
      </c>
      <c r="AD9" s="0" t="n">
        <f aca="false">Rcea1_u*Cc1ea_u*A9*2*Pi</f>
        <v>2.44290244464E-005</v>
      </c>
      <c r="AE9" s="0" t="n">
        <f aca="false">-Rcea1_u*Cc1ea_u*Cc2ea_u*(A9*2*Pi)^2</f>
        <v>-2.30238130942442E-014</v>
      </c>
      <c r="AF9" s="0" t="n">
        <f aca="false">(Cc2ea_u+Cc1ea_u)*A9*2*Pi</f>
        <v>8.482300155E-009</v>
      </c>
      <c r="AG9" s="0" t="n">
        <f aca="false">AC9*AE9/(AE9^2+AF9^2)+AD9*AF9/(AE9^2+AF9^2)</f>
        <v>2559.99999998114</v>
      </c>
      <c r="AH9" s="0" t="n">
        <f aca="false">AD9*AE9/(AE9^2+AF9^2)-AC9*AF9/(AE9^2+AF9^2)</f>
        <v>-117892550.580102</v>
      </c>
      <c r="AI9" s="0" t="n">
        <f aca="false">SQRT(AG9^2+AH9^2)</f>
        <v>117892550.607896</v>
      </c>
      <c r="AJ9" s="0" t="n">
        <f aca="false">_Rfb1</f>
        <v>20000</v>
      </c>
      <c r="AK9" s="0" t="n">
        <f aca="false">_Rfb1*Rcea2_u*Cc3ea_u*A9*2*Pi</f>
        <v>1.481826421152</v>
      </c>
      <c r="AL9" s="0" t="n">
        <v>1</v>
      </c>
      <c r="AM9" s="0" t="n">
        <f aca="false">(_Rfb1+Rcea2_u)*Cc3ea_u*A9*2*Pi</f>
        <v>0.0277201066410576</v>
      </c>
      <c r="AN9" s="0" t="n">
        <f aca="false">AJ9*AL9/(AL9^2+AM9^2)+AK9*AM9/(AL9^2+AM9^2)</f>
        <v>19984.6847584402</v>
      </c>
      <c r="AO9" s="0" t="n">
        <f aca="false">AK9*AL9/(AL9^2+AM9^2)-AJ9*AM9/(AL9^2+AM9^2)</f>
        <v>-552.49576627073</v>
      </c>
      <c r="AP9" s="345" t="n">
        <f aca="false">SQRT(AN9^2+AO9^2)</f>
        <v>19992.3204372574</v>
      </c>
      <c r="AQ9" s="0" t="n">
        <f aca="false">Eadcg/(1+(Eadcg*A9/GBP)^2)</f>
        <v>3161.99912182115</v>
      </c>
      <c r="AR9" s="0" t="n">
        <f aca="false">-(A9*Eadcg*Eadcg/GBP)/(1+(Eadcg*A9/GBP)^2)</f>
        <v>-1.66637353719974</v>
      </c>
      <c r="AT9" s="0" t="n">
        <f aca="false">-AR9*AH9+AG9*AQ9</f>
        <v>-188358308.767861</v>
      </c>
      <c r="AU9" s="0" t="n">
        <f aca="false">AQ9*AH9+AG9*AR9</f>
        <v>-372776145669.452</v>
      </c>
      <c r="AV9" s="0" t="n">
        <f aca="false">ATAN2(AT9,AU9)</f>
        <v>-1.57130161205772</v>
      </c>
      <c r="AW9" s="0" t="n">
        <f aca="false">AG9-AH9*AO9/_Rfb2+AG9*AN9/_Rfb2+AN9-AO9*AR9+AQ9*AN9</f>
        <v>33925391.2516723</v>
      </c>
      <c r="AX9" s="0" t="n">
        <f aca="false">AH9+AH9*AN9/_Rfb2+AG9*AO9/_Rfb2+AO9+AO9*AQ9+AN9*AR9</f>
        <v>-1179894489.04889</v>
      </c>
      <c r="AY9" s="0" t="n">
        <f aca="false">ATAN2(AW9,AX9)</f>
        <v>-1.54205134394965</v>
      </c>
      <c r="BA9" s="346" t="n">
        <f aca="false">SQRT(AT9^2+AU9^2)/SQRT(AW9^2+AX9^2)</f>
        <v>315.809760681115</v>
      </c>
      <c r="BB9" s="345" t="n">
        <f aca="false">20*LOG(BA9)</f>
        <v>49.9885109709781</v>
      </c>
      <c r="BC9" s="0" t="n">
        <f aca="false">AV9-AY9</f>
        <v>-0.0292502681080649</v>
      </c>
      <c r="BD9" s="0" t="n">
        <f aca="false">BC9*180/Pi-180</f>
        <v>-181.675916914133</v>
      </c>
      <c r="BF9" s="0" t="n">
        <f aca="false">20*LOG(BA9*J9*F9*C9)</f>
        <v>69.0070143928331</v>
      </c>
      <c r="BG9" s="0" t="n">
        <f aca="false">(180/Pi)*(D9+H9+BC9)</f>
        <v>-1.67674324821045</v>
      </c>
      <c r="BH9" s="0" t="n">
        <f aca="false">IF(BG9&gt;180,BG9-180,BG9+180)</f>
        <v>178.32325675179</v>
      </c>
      <c r="BI9" s="0" t="n">
        <f aca="false">IF(BH9&gt;180,BH9-360,BH9)</f>
        <v>178.32325675179</v>
      </c>
      <c r="BJ9" s="0" t="n">
        <f aca="false">SUM((BF10&lt;0)*(BF9&gt;0))*A9</f>
        <v>0</v>
      </c>
      <c r="BK9" s="0" t="n">
        <f aca="false">IF(BJ9&gt;0,BI9,0)</f>
        <v>0</v>
      </c>
      <c r="BM9" s="0" t="n">
        <f aca="false">20*LOG(J9*F9*C9)</f>
        <v>19.018503421855</v>
      </c>
      <c r="BN9" s="0" t="n">
        <f aca="false">(H9+D9)*180/Pi</f>
        <v>-0.000826334077205115</v>
      </c>
      <c r="BQ9" s="347" t="n">
        <f aca="false">20*LOG(BA9*7)</f>
        <v>66.8904717712633</v>
      </c>
      <c r="BR9" s="347"/>
      <c r="BS9" s="347"/>
      <c r="BT9" s="347" t="s">
        <v>527</v>
      </c>
      <c r="BU9" s="347" t="s">
        <v>528</v>
      </c>
      <c r="BV9" s="347" t="s">
        <v>529</v>
      </c>
      <c r="BW9" s="347"/>
      <c r="BY9" s="347"/>
      <c r="BZ9" s="347"/>
      <c r="CA9" s="347"/>
      <c r="CC9" s="347"/>
    </row>
    <row r="10" customFormat="false" ht="12.75" hidden="false" customHeight="false" outlineLevel="0" collapsed="false">
      <c r="A10" s="0" t="n">
        <v>2</v>
      </c>
      <c r="B10" s="0" t="n">
        <f aca="false">A10/1000</f>
        <v>0.002</v>
      </c>
      <c r="C10" s="0" t="n">
        <f aca="false">SQRT((A10/Fesr)^2+1)</f>
        <v>1</v>
      </c>
      <c r="D10" s="0" t="n">
        <f aca="false">ATAN(A10/Fesr)</f>
        <v>1.25663706E-008</v>
      </c>
      <c r="F10" s="0" t="n">
        <f aca="false">(Ro/(Ro+Rdcr))/SQRT((A10/(Q*Fo))^2+(1-(A10^2/Fo^2))^2)</f>
        <v>0.992390646302635</v>
      </c>
      <c r="G10" s="0" t="n">
        <f aca="false">-ATAN(A10*Fo/(Q*(Fo^2-A10^2)))</f>
        <v>-2.8857067115084E-005</v>
      </c>
      <c r="H10" s="0" t="n">
        <f aca="false">IF(G10&gt;0,G10-Pi,G10)</f>
        <v>-2.8857067115084E-005</v>
      </c>
      <c r="J10" s="0" t="n">
        <f aca="false">Vin/Vramp</f>
        <v>9</v>
      </c>
      <c r="M10" s="0" t="n">
        <f aca="false">1/(2*Pi*_Rfb1*(Cc1ea_u+Cc2ea_u)*A10)</f>
        <v>2947.31376432882</v>
      </c>
      <c r="N10" s="0" t="n">
        <f aca="false">-Pi/2</f>
        <v>-1.570796325</v>
      </c>
      <c r="O10" s="0" t="n">
        <f aca="false">SQRT(1+(A10/Fz1_u)^2)</f>
        <v>1.00000000119355</v>
      </c>
      <c r="P10" s="0" t="n">
        <f aca="false">ATAN2(Fz1_u,A10)</f>
        <v>4.88580488539235E-005</v>
      </c>
      <c r="Q10" s="0" t="n">
        <f aca="false">SQRT(1+(A10/Fz2_u)^2)</f>
        <v>1.00153562954533</v>
      </c>
      <c r="R10" s="0" t="n">
        <f aca="false">ATAN2(Fz2_u,A10)</f>
        <v>0.0553835171375206</v>
      </c>
      <c r="S10" s="0" t="n">
        <f aca="false">1/SQRT(1+(A10/Fp1_u)^2)</f>
        <v>0.999999989020952</v>
      </c>
      <c r="T10" s="0" t="n">
        <f aca="false">-ATAN2(Fp1_u,A10)</f>
        <v>-0.000148182641030597</v>
      </c>
      <c r="U10" s="0" t="n">
        <f aca="false">1/SQRT(1+(A10/Fp2_u)^2)</f>
        <v>0.999999999985265</v>
      </c>
      <c r="V10" s="0" t="n">
        <f aca="false">-ATAN2(Fp2_u,A10)</f>
        <v>-5.42867209914667E-006</v>
      </c>
      <c r="X10" s="0" t="n">
        <f aca="false">20*LOG(C10*J10*O10*Q10*F10*M10*S10*U10)</f>
        <v>88.4203588720865</v>
      </c>
      <c r="Y10" s="0" t="n">
        <f aca="false">(180/Pi)*(D10+H10+N10+P10+R10+T10+V10)</f>
        <v>-86.8344127979004</v>
      </c>
      <c r="Z10" s="0" t="n">
        <f aca="false">Y10+180</f>
        <v>93.1655872020996</v>
      </c>
      <c r="AC10" s="0" t="n">
        <v>1</v>
      </c>
      <c r="AD10" s="0" t="n">
        <f aca="false">Rcea1_u*Cc1ea_u*A10*2*Pi</f>
        <v>4.88580488928E-005</v>
      </c>
      <c r="AE10" s="0" t="n">
        <f aca="false">-Rcea1_u*Cc1ea_u*Cc2ea_u*(A10*2*Pi)^2</f>
        <v>-9.20952523769767E-014</v>
      </c>
      <c r="AF10" s="0" t="n">
        <f aca="false">(Cc2ea_u+Cc1ea_u)*A10*2*Pi</f>
        <v>1.696460031E-008</v>
      </c>
      <c r="AG10" s="0" t="n">
        <f aca="false">AC10*AE10/(AE10^2+AF10^2)+AD10*AF10/(AE10^2+AF10^2)</f>
        <v>2559.99999992456</v>
      </c>
      <c r="AH10" s="0" t="n">
        <f aca="false">AD10*AE10/(AE10^2+AF10^2)-AC10*AF10/(AE10^2+AF10^2)</f>
        <v>-58946275.3004738</v>
      </c>
      <c r="AJ10" s="0" t="n">
        <f aca="false">_Rfb1</f>
        <v>20000</v>
      </c>
      <c r="AK10" s="0" t="n">
        <f aca="false">_Rfb1*Rcea2_u*Cc3ea_u*A10*2*Pi</f>
        <v>2.963652842304</v>
      </c>
      <c r="AL10" s="0" t="n">
        <v>1</v>
      </c>
      <c r="AM10" s="0" t="n">
        <f aca="false">(_Rfb1+Rcea2_u)*Cc3ea_u*A10*2*Pi</f>
        <v>0.0554402132821152</v>
      </c>
      <c r="AN10" s="0" t="n">
        <f aca="false">AJ10*AL10/(AL10^2+AM10^2)+AK10*AM10/(AL10^2+AM10^2)</f>
        <v>19938.879820608</v>
      </c>
      <c r="AO10" s="0" t="n">
        <f aca="false">AK10*AL10/(AL10^2+AM10^2)-AJ10*AM10/(AL10^2+AM10^2)</f>
        <v>-1102.45209701866</v>
      </c>
      <c r="AQ10" s="0" t="n">
        <f aca="false">Eadcg/(1+(Eadcg*A10/GBP)^2)</f>
        <v>3161.99648728751</v>
      </c>
      <c r="AR10" s="0" t="n">
        <f aca="false">-(A10*Eadcg*Eadcg/GBP)/(1+(Eadcg*A10/GBP)^2)</f>
        <v>-3.33274429760104</v>
      </c>
      <c r="AT10" s="0" t="n">
        <f aca="false">-AR10*AH10+AG10*AQ10</f>
        <v>-188358151.865258</v>
      </c>
      <c r="AU10" s="0" t="n">
        <f aca="false">AQ10*AH10+AG10*AR10</f>
        <v>-186387923970.606</v>
      </c>
      <c r="AV10" s="0" t="n">
        <f aca="false">ATAN2(AT10,AU10)</f>
        <v>-1.57180689702784</v>
      </c>
      <c r="AW10" s="0" t="n">
        <f aca="false">AG10-AH10*AO10/_Rfb2+AG10*AN10/_Rfb2+AN10-AO10*AR10+AQ10*AN10</f>
        <v>33845012.0642426</v>
      </c>
      <c r="AX10" s="0" t="n">
        <f aca="false">AH10+AH10*AN10/_Rfb2+AG10*AO10/_Rfb2+AO10+AO10*AQ10+AN10*AR10</f>
        <v>-591396263.213464</v>
      </c>
      <c r="AY10" s="0" t="n">
        <f aca="false">ATAN2(AW10,AX10)</f>
        <v>-1.51362969021333</v>
      </c>
      <c r="BA10" s="0" t="n">
        <f aca="false">SQRT(AT10^2+AU10^2)/SQRT(AW10^2+AX10^2)</f>
        <v>314.651196434897</v>
      </c>
      <c r="BB10" s="0" t="n">
        <f aca="false">20*LOG(BA10)</f>
        <v>49.9565877491028</v>
      </c>
      <c r="BC10" s="0" t="n">
        <f aca="false">AV10-AY10</f>
        <v>-0.0581772068145134</v>
      </c>
      <c r="BD10" s="0" t="n">
        <f aca="false">BC10*180/Pi-180</f>
        <v>-183.33330841814</v>
      </c>
      <c r="BF10" s="0" t="n">
        <f aca="false">20*LOG(BA10*J10*F10*C10)</f>
        <v>68.9750911821319</v>
      </c>
      <c r="BG10" s="0" t="n">
        <f aca="false">(180/Pi)*(D10+H10+BC10)</f>
        <v>-3.33496108629692</v>
      </c>
      <c r="BH10" s="0" t="n">
        <f aca="false">IF(BG10&gt;180,BG10-180,BG10+180)</f>
        <v>176.665038913703</v>
      </c>
      <c r="BI10" s="0" t="n">
        <f aca="false">IF(BH10&gt;180,BH10-360,BH10)</f>
        <v>176.665038913703</v>
      </c>
      <c r="BJ10" s="0" t="n">
        <f aca="false">SUM((BF11&lt;0)*(BF10&gt;0))*A10</f>
        <v>0</v>
      </c>
      <c r="BK10" s="0" t="n">
        <f aca="false">IF(BJ10&gt;0,BI10,0)</f>
        <v>0</v>
      </c>
      <c r="BM10" s="0" t="n">
        <f aca="false">20*LOG(J10*F10*C10)</f>
        <v>19.018503433029</v>
      </c>
      <c r="BN10" s="0" t="n">
        <f aca="false">(H10+D10)*180/Pi</f>
        <v>-0.00165266815670934</v>
      </c>
      <c r="BQ10" s="347" t="n">
        <f aca="false">20*LOG(BA10*7)</f>
        <v>66.858548549388</v>
      </c>
      <c r="BR10" s="348"/>
      <c r="BS10" s="348"/>
      <c r="BT10" s="348" t="n">
        <v>100</v>
      </c>
      <c r="BU10" s="348" t="n">
        <v>35.3593</v>
      </c>
      <c r="BV10" s="348" t="n">
        <v>-267.6677</v>
      </c>
      <c r="BW10" s="349"/>
      <c r="BY10" s="348"/>
      <c r="BZ10" s="348"/>
      <c r="CA10" s="348"/>
      <c r="CC10" s="348"/>
    </row>
    <row r="11" customFormat="false" ht="12.75" hidden="false" customHeight="false" outlineLevel="0" collapsed="false">
      <c r="A11" s="0" t="n">
        <v>3</v>
      </c>
      <c r="B11" s="0" t="n">
        <f aca="false">A11/1000</f>
        <v>0.003</v>
      </c>
      <c r="C11" s="0" t="n">
        <f aca="false">SQRT((A11/Fesr)^2+1)</f>
        <v>1</v>
      </c>
      <c r="D11" s="0" t="n">
        <f aca="false">ATAN(A11/Fesr)</f>
        <v>1.88495559E-008</v>
      </c>
      <c r="F11" s="0" t="n">
        <f aca="false">(Ro/(Ro+Rdcr))/SQRT((A11/(Q*Fo))^2+(1-(A11^2/Fo^2))^2)</f>
        <v>0.992390648430412</v>
      </c>
      <c r="G11" s="0" t="n">
        <f aca="false">-ATAN(A11*Fo/(Q*(Fo^2-A11^2)))</f>
        <v>-4.32856007729437E-005</v>
      </c>
      <c r="H11" s="0" t="n">
        <f aca="false">IF(G11&gt;0,G11-Pi,G11)</f>
        <v>-4.32856007729437E-005</v>
      </c>
      <c r="J11" s="0" t="n">
        <f aca="false">Vin/Vramp</f>
        <v>9</v>
      </c>
      <c r="M11" s="0" t="n">
        <f aca="false">1/(2*Pi*_Rfb1*(Cc1ea_u+Cc2ea_u)*A11)</f>
        <v>1964.87584288588</v>
      </c>
      <c r="N11" s="0" t="n">
        <f aca="false">-Pi/2</f>
        <v>-1.570796325</v>
      </c>
      <c r="O11" s="0" t="n">
        <f aca="false">SQRT(1+(A11/Fz1_u)^2)</f>
        <v>1.0000000026855</v>
      </c>
      <c r="P11" s="0" t="n">
        <f aca="false">ATAN2(Fz1_u,A11)</f>
        <v>7.32870732079918E-005</v>
      </c>
      <c r="Q11" s="0" t="n">
        <f aca="false">SQRT(1+(A11/Fz2_u)^2)</f>
        <v>1.00345186173016</v>
      </c>
      <c r="R11" s="0" t="n">
        <f aca="false">ATAN2(Fz2_u,A11)</f>
        <v>0.0829694092156864</v>
      </c>
      <c r="S11" s="0" t="n">
        <f aca="false">1/SQRT(1+(A11/Fp1_u)^2)</f>
        <v>0.999999975297143</v>
      </c>
      <c r="T11" s="0" t="n">
        <f aca="false">-ATAN2(Fp1_u,A11)</f>
        <v>-0.000222273959512265</v>
      </c>
      <c r="U11" s="0" t="n">
        <f aca="false">1/SQRT(1+(A11/Fp2_u)^2)</f>
        <v>0.999999999966846</v>
      </c>
      <c r="V11" s="0" t="n">
        <f aca="false">-ATAN2(Fp2_u,A11)</f>
        <v>-8.14300814862002E-006</v>
      </c>
      <c r="X11" s="0" t="n">
        <f aca="false">20*LOG(C11*J11*O11*Q11*F11*M11*S11*U11)</f>
        <v>84.9151363864194</v>
      </c>
      <c r="Y11" s="0" t="n">
        <f aca="false">(180/Pi)*(D11+H11+N11+P11+R11+T11+V11)</f>
        <v>-85.2576848998539</v>
      </c>
      <c r="Z11" s="0" t="n">
        <f aca="false">Y11+180</f>
        <v>94.7423151001461</v>
      </c>
      <c r="AC11" s="0" t="n">
        <v>1</v>
      </c>
      <c r="AD11" s="0" t="n">
        <f aca="false">Rcea1_u*Cc1ea_u*A11*2*Pi</f>
        <v>7.32870733392E-005</v>
      </c>
      <c r="AE11" s="0" t="n">
        <f aca="false">-Rcea1_u*Cc1ea_u*Cc2ea_u*(A11*2*Pi)^2</f>
        <v>-2.07214317848198E-013</v>
      </c>
      <c r="AF11" s="0" t="n">
        <f aca="false">(Cc2ea_u+Cc1ea_u)*A11*2*Pi</f>
        <v>2.5446900465E-008</v>
      </c>
      <c r="AG11" s="0" t="n">
        <f aca="false">AC11*AE11/(AE11^2+AF11^2)+AD11*AF11/(AE11^2+AF11^2)</f>
        <v>2559.99999983025</v>
      </c>
      <c r="AH11" s="0" t="n">
        <f aca="false">AD11*AE11/(AE11^2+AF11^2)-AC11*AF11/(AE11^2+AF11^2)</f>
        <v>-39297516.8785637</v>
      </c>
      <c r="AJ11" s="0" t="n">
        <f aca="false">_Rfb1</f>
        <v>20000</v>
      </c>
      <c r="AK11" s="0" t="n">
        <f aca="false">_Rfb1*Rcea2_u*Cc3ea_u*A11*2*Pi</f>
        <v>4.445479263456</v>
      </c>
      <c r="AL11" s="0" t="n">
        <v>1</v>
      </c>
      <c r="AM11" s="0" t="n">
        <f aca="false">(_Rfb1+Rcea2_u)*Cc3ea_u*A11*2*Pi</f>
        <v>0.0831603199231728</v>
      </c>
      <c r="AN11" s="0" t="n">
        <f aca="false">AJ11*AL11/(AL11^2+AM11^2)+AK11*AM11/(AL11^2+AM11^2)</f>
        <v>19863.0043238977</v>
      </c>
      <c r="AO11" s="0" t="n">
        <f aca="false">AK11*AL11/(AL11^2+AM11^2)-AJ11*AM11/(AL11^2+AM11^2)</f>
        <v>-1647.36831494724</v>
      </c>
      <c r="AQ11" s="0" t="n">
        <f aca="false">Eadcg/(1+(Eadcg*A11/GBP)^2)</f>
        <v>3161.99209640787</v>
      </c>
      <c r="AR11" s="0" t="n">
        <f aca="false">-(A11*Eadcg*Eadcg/GBP)/(1+(Eadcg*A11/GBP)^2)</f>
        <v>-4.99910950442085</v>
      </c>
      <c r="AT11" s="0" t="n">
        <f aca="false">-AR11*AH11+AG11*AQ11</f>
        <v>-188357890.361499</v>
      </c>
      <c r="AU11" s="0" t="n">
        <f aca="false">AQ11*AH11+AG11*AR11</f>
        <v>-124258450576.194</v>
      </c>
      <c r="AV11" s="0" t="n">
        <f aca="false">ATAN2(AT11,AU11)</f>
        <v>-1.57231218141257</v>
      </c>
      <c r="AW11" s="0" t="n">
        <f aca="false">AG11-AH11*AO11/_Rfb2+AG11*AN11/_Rfb2+AN11-AO11*AR11+AQ11*AN11</f>
        <v>33711864.6209501</v>
      </c>
      <c r="AX11" s="0" t="n">
        <f aca="false">AH11+AH11*AN11/_Rfb2+AG11*AO11/_Rfb2+AO11+AO11*AQ11+AN11*AR11</f>
        <v>-395864361.395424</v>
      </c>
      <c r="AY11" s="0" t="n">
        <f aca="false">ATAN2(AW11,AX11)</f>
        <v>-1.48584116267349</v>
      </c>
      <c r="BA11" s="0" t="n">
        <f aca="false">SQRT(AT11^2+AU11^2)/SQRT(AW11^2+AX11^2)</f>
        <v>312.759784171361</v>
      </c>
      <c r="BB11" s="0" t="n">
        <f aca="false">20*LOG(BA11)</f>
        <v>49.9042180952175</v>
      </c>
      <c r="BC11" s="0" t="n">
        <f aca="false">AV11-AY11</f>
        <v>-0.0864710187390796</v>
      </c>
      <c r="BD11" s="0" t="n">
        <f aca="false">BC11*180/Pi-180</f>
        <v>-184.954424429607</v>
      </c>
      <c r="BF11" s="0" t="n">
        <f aca="false">20*LOG(BA11*J11*F11*C11)</f>
        <v>68.9227215468699</v>
      </c>
      <c r="BG11" s="0" t="n">
        <f aca="false">(180/Pi)*(D11+H11+BC11)</f>
        <v>-4.95690343184798</v>
      </c>
      <c r="BH11" s="0" t="n">
        <f aca="false">IF(BG11&gt;180,BG11-180,BG11+180)</f>
        <v>175.043096568152</v>
      </c>
      <c r="BI11" s="0" t="n">
        <f aca="false">IF(BH11&gt;180,BH11-360,BH11)</f>
        <v>175.043096568152</v>
      </c>
      <c r="BJ11" s="0" t="n">
        <f aca="false">SUM((BF12&lt;0)*(BF11&gt;0))*A11</f>
        <v>0</v>
      </c>
      <c r="BK11" s="0" t="n">
        <f aca="false">IF(BJ11&gt;0,BI11,0)</f>
        <v>0</v>
      </c>
      <c r="BM11" s="0" t="n">
        <f aca="false">20*LOG(J11*F11*C11)</f>
        <v>19.0185034516524</v>
      </c>
      <c r="BN11" s="0" t="n">
        <f aca="false">(H11+D11)*180/Pi</f>
        <v>-0.0024790022408118</v>
      </c>
      <c r="BQ11" s="347" t="n">
        <f aca="false">20*LOG(BA11*7)</f>
        <v>66.8061788955026</v>
      </c>
      <c r="BR11" s="350"/>
      <c r="BS11" s="350"/>
      <c r="BT11" s="350" t="n">
        <v>102.329</v>
      </c>
      <c r="BU11" s="350" t="n">
        <v>34.9368</v>
      </c>
      <c r="BV11" s="350" t="n">
        <v>-265.9149</v>
      </c>
      <c r="BW11" s="349"/>
      <c r="BY11" s="350"/>
      <c r="BZ11" s="350"/>
      <c r="CA11" s="350"/>
      <c r="CC11" s="350"/>
    </row>
    <row r="12" customFormat="false" ht="12.75" hidden="false" customHeight="false" outlineLevel="0" collapsed="false">
      <c r="A12" s="0" t="n">
        <v>4</v>
      </c>
      <c r="B12" s="0" t="n">
        <f aca="false">A12/1000</f>
        <v>0.004</v>
      </c>
      <c r="C12" s="0" t="n">
        <f aca="false">SQRT((A12/Fesr)^2+1)</f>
        <v>1</v>
      </c>
      <c r="D12" s="0" t="n">
        <f aca="false">ATAN(A12/Fesr)</f>
        <v>2.51327412E-008</v>
      </c>
      <c r="F12" s="0" t="n">
        <f aca="false">(Ro/(Ro+Rdcr))/SQRT((A12/(Q*Fo))^2+(1-(A12^2/Fo^2))^2)</f>
        <v>0.9923906514093</v>
      </c>
      <c r="G12" s="0" t="n">
        <f aca="false">-ATAN(A12*Fo/(Q*(Fo^2-A12^2)))</f>
        <v>-5.77141345511848E-005</v>
      </c>
      <c r="H12" s="0" t="n">
        <f aca="false">IF(G12&gt;0,G12-Pi,G12)</f>
        <v>-5.77141345511848E-005</v>
      </c>
      <c r="J12" s="0" t="n">
        <f aca="false">Vin/Vramp</f>
        <v>9</v>
      </c>
      <c r="M12" s="0" t="n">
        <f aca="false">1/(2*Pi*_Rfb1*(Cc1ea_u+Cc2ea_u)*A12)</f>
        <v>1473.65688216441</v>
      </c>
      <c r="N12" s="0" t="n">
        <f aca="false">-Pi/2</f>
        <v>-1.570796325</v>
      </c>
      <c r="O12" s="0" t="n">
        <f aca="false">SQRT(1+(A12/Fz1_u)^2)</f>
        <v>1.00000000477422</v>
      </c>
      <c r="P12" s="0" t="n">
        <f aca="false">ATAN2(Fz1_u,A12)</f>
        <v>9.7716097474588E-005</v>
      </c>
      <c r="Q12" s="0" t="n">
        <f aca="false">SQRT(1+(A12/Fz2_u)^2)</f>
        <v>1.00612845551404</v>
      </c>
      <c r="R12" s="0" t="n">
        <f aca="false">ATAN2(Fz2_u,A12)</f>
        <v>0.110429344087513</v>
      </c>
      <c r="S12" s="0" t="n">
        <f aca="false">1/SQRT(1+(A12/Fp1_u)^2)</f>
        <v>0.999999956083812</v>
      </c>
      <c r="T12" s="0" t="n">
        <f aca="false">-ATAN2(Fp1_u,A12)</f>
        <v>-0.000296365275553578</v>
      </c>
      <c r="U12" s="0" t="n">
        <f aca="false">1/SQRT(1+(A12/Fp2_u)^2)</f>
        <v>0.999999999941059</v>
      </c>
      <c r="V12" s="0" t="n">
        <f aca="false">-ATAN2(Fp2_u,A12)</f>
        <v>-1.08573441979734E-005</v>
      </c>
      <c r="X12" s="0" t="n">
        <f aca="false">20*LOG(C12*J12*O12*Q12*F12*M12*S12*U12)</f>
        <v>82.4394993096917</v>
      </c>
      <c r="Y12" s="0" t="n">
        <f aca="false">(180/Pi)*(D12+H12+N12+P12+R12+T12+V12)</f>
        <v>-83.6881738180102</v>
      </c>
      <c r="Z12" s="0" t="n">
        <f aca="false">Y12+180</f>
        <v>96.3118261819898</v>
      </c>
      <c r="AC12" s="0" t="n">
        <v>1</v>
      </c>
      <c r="AD12" s="0" t="n">
        <f aca="false">Rcea1_u*Cc1ea_u*A12*2*Pi</f>
        <v>9.77160977856E-005</v>
      </c>
      <c r="AE12" s="0" t="n">
        <f aca="false">-Rcea1_u*Cc1ea_u*Cc2ea_u*(A12*2*Pi)^2</f>
        <v>-3.68381009507907E-013</v>
      </c>
      <c r="AF12" s="0" t="n">
        <f aca="false">(Cc2ea_u+Cc1ea_u)*A12*2*Pi</f>
        <v>3.392920062E-008</v>
      </c>
      <c r="AG12" s="0" t="n">
        <f aca="false">AC12*AE12/(AE12^2+AF12^2)+AD12*AF12/(AE12^2+AF12^2)</f>
        <v>2559.99999969822</v>
      </c>
      <c r="AH12" s="0" t="n">
        <f aca="false">AD12*AE12/(AE12^2+AF12^2)-AC12*AF12/(AE12^2+AF12^2)</f>
        <v>-29473137.671083</v>
      </c>
      <c r="AJ12" s="0" t="n">
        <f aca="false">_Rfb1</f>
        <v>20000</v>
      </c>
      <c r="AK12" s="0" t="n">
        <f aca="false">_Rfb1*Rcea2_u*Cc3ea_u*A12*2*Pi</f>
        <v>5.927305684608</v>
      </c>
      <c r="AL12" s="0" t="n">
        <v>1</v>
      </c>
      <c r="AM12" s="0" t="n">
        <f aca="false">(_Rfb1+Rcea2_u)*Cc3ea_u*A12*2*Pi</f>
        <v>0.11088042656423</v>
      </c>
      <c r="AN12" s="0" t="n">
        <f aca="false">AJ12*AL12/(AL12^2+AM12^2)+AK12*AM12/(AL12^2+AM12^2)</f>
        <v>19757.7462238215</v>
      </c>
      <c r="AO12" s="0" t="n">
        <f aca="false">AK12*AL12/(AL12^2+AM12^2)-AJ12*AM12/(AL12^2+AM12^2)</f>
        <v>-2184.82002356054</v>
      </c>
      <c r="AQ12" s="0" t="n">
        <f aca="false">Eadcg/(1+(Eadcg*A12/GBP)^2)</f>
        <v>3161.98594919687</v>
      </c>
      <c r="AR12" s="0" t="n">
        <f aca="false">-(A12*Eadcg*Eadcg/GBP)/(1+(Eadcg*A12/GBP)^2)</f>
        <v>-6.665466380907</v>
      </c>
      <c r="AT12" s="0" t="n">
        <f aca="false">-AR12*AH12+AG12*AQ12</f>
        <v>-188357524.257458</v>
      </c>
      <c r="AU12" s="0" t="n">
        <f aca="false">AQ12*AH12+AG12*AR12</f>
        <v>-93193664258.3034</v>
      </c>
      <c r="AV12" s="0" t="n">
        <f aca="false">ATAN2(AT12,AU12)</f>
        <v>-1.57281746491921</v>
      </c>
      <c r="AW12" s="0" t="n">
        <f aca="false">AG12-AH12*AO12/_Rfb2+AG12*AN12/_Rfb2+AN12-AO12*AR12+AQ12*AN12</f>
        <v>33527156.1695542</v>
      </c>
      <c r="AX12" s="0" t="n">
        <f aca="false">AH12+AH12*AN12/_Rfb2+AG12*AO12/_Rfb2+AO12+AO12*AQ12+AN12*AR12</f>
        <v>-298563152.749269</v>
      </c>
      <c r="AY12" s="0" t="n">
        <f aca="false">ATAN2(AW12,AX12)</f>
        <v>-1.45896978394468</v>
      </c>
      <c r="BA12" s="0" t="n">
        <f aca="false">SQRT(AT12^2+AU12^2)/SQRT(AW12^2+AX12^2)</f>
        <v>310.191522201627</v>
      </c>
      <c r="BB12" s="0" t="n">
        <f aca="false">20*LOG(BA12)</f>
        <v>49.8325984800375</v>
      </c>
      <c r="BC12" s="0" t="n">
        <f aca="false">AV12-AY12</f>
        <v>-0.113847680974533</v>
      </c>
      <c r="BD12" s="0" t="n">
        <f aca="false">BC12*180/Pi-180</f>
        <v>-186.522991634646</v>
      </c>
      <c r="BF12" s="0" t="n">
        <f aca="false">20*LOG(BA12*J12*F12*C12)</f>
        <v>68.8511019577626</v>
      </c>
      <c r="BG12" s="0" t="n">
        <f aca="false">(180/Pi)*(D12+H12+BC12)</f>
        <v>-6.52629697097797</v>
      </c>
      <c r="BH12" s="0" t="n">
        <f aca="false">IF(BG12&gt;180,BG12-180,BG12+180)</f>
        <v>173.473703029022</v>
      </c>
      <c r="BI12" s="0" t="n">
        <f aca="false">IF(BH12&gt;180,BH12-360,BH12)</f>
        <v>173.473703029022</v>
      </c>
      <c r="BJ12" s="0" t="n">
        <f aca="false">SUM((BF13&lt;0)*(BF12&gt;0))*A12</f>
        <v>0</v>
      </c>
      <c r="BK12" s="0" t="n">
        <f aca="false">IF(BJ12&gt;0,BI12,0)</f>
        <v>0</v>
      </c>
      <c r="BM12" s="0" t="n">
        <f aca="false">20*LOG(J12*F12*C12)</f>
        <v>19.0185034777251</v>
      </c>
      <c r="BN12" s="0" t="n">
        <f aca="false">(H12+D12)*180/Pi</f>
        <v>-0.00330533633181159</v>
      </c>
      <c r="BQ12" s="347" t="n">
        <f aca="false">20*LOG(BA12*7)</f>
        <v>66.7345592803226</v>
      </c>
      <c r="BR12" s="348"/>
      <c r="BS12" s="348"/>
      <c r="BT12" s="348" t="n">
        <v>104.713</v>
      </c>
      <c r="BU12" s="348" t="n">
        <v>34.1908</v>
      </c>
      <c r="BV12" s="348" t="n">
        <v>-264.9322</v>
      </c>
      <c r="BW12" s="349"/>
      <c r="BY12" s="348"/>
      <c r="BZ12" s="348"/>
      <c r="CA12" s="348"/>
      <c r="CC12" s="348"/>
    </row>
    <row r="13" customFormat="false" ht="12.75" hidden="false" customHeight="false" outlineLevel="0" collapsed="false">
      <c r="A13" s="0" t="n">
        <v>5</v>
      </c>
      <c r="B13" s="0" t="n">
        <f aca="false">A13/1000</f>
        <v>0.005</v>
      </c>
      <c r="C13" s="0" t="n">
        <f aca="false">SQRT((A13/Fesr)^2+1)</f>
        <v>1</v>
      </c>
      <c r="D13" s="0" t="n">
        <f aca="false">ATAN(A13/Fesr)</f>
        <v>3.14159265E-008</v>
      </c>
      <c r="F13" s="0" t="n">
        <f aca="false">(Ro/(Ro+Rdcr))/SQRT((A13/(Q*Fo))^2+(1-(A13^2/Fo^2))^2)</f>
        <v>0.992390655239299</v>
      </c>
      <c r="G13" s="0" t="n">
        <f aca="false">-ATAN(A13*Fo/(Q*(Fo^2-A13^2)))</f>
        <v>-7.21426684899343E-005</v>
      </c>
      <c r="H13" s="0" t="n">
        <f aca="false">IF(G13&gt;0,G13-Pi,G13)</f>
        <v>-7.21426684899343E-005</v>
      </c>
      <c r="J13" s="0" t="n">
        <f aca="false">Vin/Vramp</f>
        <v>9</v>
      </c>
      <c r="M13" s="0" t="n">
        <f aca="false">1/(2*Pi*_Rfb1*(Cc1ea_u+Cc2ea_u)*A13)</f>
        <v>1178.92550573153</v>
      </c>
      <c r="N13" s="0" t="n">
        <f aca="false">-Pi/2</f>
        <v>-1.570796325</v>
      </c>
      <c r="O13" s="0" t="n">
        <f aca="false">SQRT(1+(A13/Fz1_u)^2)</f>
        <v>1.00000000745972</v>
      </c>
      <c r="P13" s="0" t="n">
        <f aca="false">ATAN2(Fz1_u,A13)</f>
        <v>0.000122145121624555</v>
      </c>
      <c r="Q13" s="0" t="n">
        <f aca="false">SQRT(1+(A13/Fz2_u)^2)</f>
        <v>1.0095593631901</v>
      </c>
      <c r="R13" s="0" t="n">
        <f aca="false">ATAN2(Fz2_u,A13)</f>
        <v>0.137723114013216</v>
      </c>
      <c r="S13" s="0" t="n">
        <f aca="false">1/SQRT(1+(A13/Fp1_u)^2)</f>
        <v>0.999999931380959</v>
      </c>
      <c r="T13" s="0" t="n">
        <f aca="false">-ATAN2(Fp1_u,A13)</f>
        <v>-0.000370456588341082</v>
      </c>
      <c r="U13" s="0" t="n">
        <f aca="false">1/SQRT(1+(A13/Fp2_u)^2)</f>
        <v>0.999999999907905</v>
      </c>
      <c r="V13" s="0" t="n">
        <f aca="false">-ATAN2(Fp2_u,A13)</f>
        <v>-1.35716802471667E-005</v>
      </c>
      <c r="X13" s="0" t="n">
        <f aca="false">20*LOG(C13*J13*O13*Q13*F13*M13*S13*U13)</f>
        <v>80.5308674724672</v>
      </c>
      <c r="Y13" s="0" t="n">
        <f aca="false">(180/Pi)*(D13+H13+N13+P13+R13+T13+V13)</f>
        <v>-82.1281832861228</v>
      </c>
      <c r="Z13" s="0" t="n">
        <f aca="false">Y13+180</f>
        <v>97.8718167138772</v>
      </c>
      <c r="AC13" s="0" t="n">
        <v>1</v>
      </c>
      <c r="AD13" s="0" t="n">
        <f aca="false">Rcea1_u*Cc1ea_u*A13*2*Pi</f>
        <v>0.000122145122232</v>
      </c>
      <c r="AE13" s="0" t="n">
        <f aca="false">-Rcea1_u*Cc1ea_u*Cc2ea_u*(A13*2*Pi)^2</f>
        <v>-5.75595327356104E-013</v>
      </c>
      <c r="AF13" s="0" t="n">
        <f aca="false">(Cc2ea_u+Cc1ea_u)*A13*2*Pi</f>
        <v>4.2411500775E-008</v>
      </c>
      <c r="AG13" s="0" t="n">
        <f aca="false">AC13*AE13/(AE13^2+AF13^2)+AD13*AF13/(AE13^2+AF13^2)</f>
        <v>2559.99999952847</v>
      </c>
      <c r="AH13" s="0" t="n">
        <f aca="false">AD13*AE13/(AE13^2+AF13^2)-AC13*AF13/(AE13^2+AF13^2)</f>
        <v>-23578510.1493741</v>
      </c>
      <c r="AJ13" s="0" t="n">
        <f aca="false">_Rfb1</f>
        <v>20000</v>
      </c>
      <c r="AK13" s="0" t="n">
        <f aca="false">_Rfb1*Rcea2_u*Cc3ea_u*A13*2*Pi</f>
        <v>7.40913210576</v>
      </c>
      <c r="AL13" s="0" t="n">
        <v>1</v>
      </c>
      <c r="AM13" s="0" t="n">
        <f aca="false">(_Rfb1+Rcea2_u)*Cc3ea_u*A13*2*Pi</f>
        <v>0.138600533205288</v>
      </c>
      <c r="AN13" s="0" t="n">
        <f aca="false">AJ13*AL13/(AL13^2+AM13^2)+AK13*AM13/(AL13^2+AM13^2)</f>
        <v>19624.0468540283</v>
      </c>
      <c r="AO13" s="0" t="n">
        <f aca="false">AK13*AL13/(AL13^2+AM13^2)-AJ13*AM13/(AL13^2+AM13^2)</f>
        <v>-2712.49422550812</v>
      </c>
      <c r="AQ13" s="0" t="n">
        <f aca="false">Eadcg/(1+(Eadcg*A13/GBP)^2)</f>
        <v>3161.97804567498</v>
      </c>
      <c r="AR13" s="0" t="n">
        <f aca="false">-(A13*Eadcg*Eadcg/GBP)/(1+(Eadcg*A13/GBP)^2)</f>
        <v>-8.33181215035358</v>
      </c>
      <c r="AT13" s="0" t="n">
        <f aca="false">-AR13*AH13+AG13*AQ13</f>
        <v>-188357053.554353</v>
      </c>
      <c r="AU13" s="0" t="n">
        <f aca="false">AQ13*AH13+AG13*AR13</f>
        <v>-74554752771.4847</v>
      </c>
      <c r="AV13" s="0" t="n">
        <f aca="false">ATAN2(AT13,AU13)</f>
        <v>-1.57332274725508</v>
      </c>
      <c r="AW13" s="0" t="n">
        <f aca="false">AG13-AH13*AO13/_Rfb2+AG13*AN13/_Rfb2+AN13-AO13*AR13+AQ13*AN13</f>
        <v>33292538.5943964</v>
      </c>
      <c r="AX13" s="0" t="n">
        <f aca="false">AH13+AH13*AN13/_Rfb2+AG13*AO13/_Rfb2+AO13+AO13*AQ13+AN13*AR13</f>
        <v>-240542303.062815</v>
      </c>
      <c r="AY13" s="0" t="n">
        <f aca="false">ATAN2(AW13,AX13)</f>
        <v>-1.43326391886611</v>
      </c>
      <c r="BA13" s="0" t="n">
        <f aca="false">SQRT(AT13^2+AU13^2)/SQRT(AW13^2+AX13^2)</f>
        <v>307.018726415046</v>
      </c>
      <c r="BB13" s="0" t="n">
        <f aca="false">20*LOG(BA13)</f>
        <v>49.7432973161032</v>
      </c>
      <c r="BC13" s="0" t="n">
        <f aca="false">AV13-AY13</f>
        <v>-0.140058828388969</v>
      </c>
      <c r="BD13" s="0" t="n">
        <f aca="false">BC13*180/Pi-180</f>
        <v>-188.024779759405</v>
      </c>
      <c r="BF13" s="0" t="n">
        <f aca="false">20*LOG(BA13*J13*F13*C13)</f>
        <v>68.7618008273503</v>
      </c>
      <c r="BG13" s="0" t="n">
        <f aca="false">(180/Pi)*(D13+H13+BC13)</f>
        <v>-8.02891142983666</v>
      </c>
      <c r="BH13" s="0" t="n">
        <f aca="false">IF(BG13&gt;180,BG13-180,BG13+180)</f>
        <v>171.971088570163</v>
      </c>
      <c r="BI13" s="0" t="n">
        <f aca="false">IF(BH13&gt;180,BH13-360,BH13)</f>
        <v>171.971088570163</v>
      </c>
      <c r="BJ13" s="0" t="n">
        <f aca="false">SUM((BF14&lt;0)*(BF13&gt;0))*A13</f>
        <v>0</v>
      </c>
      <c r="BK13" s="0" t="n">
        <f aca="false">IF(BJ13&gt;0,BI13,0)</f>
        <v>0</v>
      </c>
      <c r="BM13" s="0" t="n">
        <f aca="false">20*LOG(J13*F13*C13)</f>
        <v>19.0185035112471</v>
      </c>
      <c r="BN13" s="0" t="n">
        <f aca="false">(H13+D13)*180/Pi</f>
        <v>-0.00413167043200785</v>
      </c>
      <c r="BQ13" s="347" t="n">
        <f aca="false">20*LOG(BA13*7)</f>
        <v>66.6452581163884</v>
      </c>
      <c r="BR13" s="350"/>
      <c r="BS13" s="350"/>
      <c r="BT13" s="350" t="n">
        <v>107.152</v>
      </c>
      <c r="BU13" s="350" t="n">
        <v>34.4777</v>
      </c>
      <c r="BV13" s="350" t="n">
        <v>-262.3057</v>
      </c>
      <c r="BW13" s="349"/>
      <c r="BY13" s="350"/>
      <c r="BZ13" s="350"/>
      <c r="CA13" s="350"/>
      <c r="CC13" s="350"/>
    </row>
    <row r="14" customFormat="false" ht="12.75" hidden="false" customHeight="false" outlineLevel="0" collapsed="false">
      <c r="A14" s="0" t="n">
        <v>6</v>
      </c>
      <c r="B14" s="0" t="n">
        <f aca="false">A14/1000</f>
        <v>0.006</v>
      </c>
      <c r="C14" s="0" t="n">
        <f aca="false">SQRT((A14/Fesr)^2+1)</f>
        <v>1</v>
      </c>
      <c r="D14" s="0" t="n">
        <f aca="false">ATAN(A14/Fesr)</f>
        <v>3.76991118E-008</v>
      </c>
      <c r="F14" s="0" t="n">
        <f aca="false">(Ro/(Ro+Rdcr))/SQRT((A14/(Q*Fo))^2+(1-(A14^2/Fo^2))^2)</f>
        <v>0.99239065992041</v>
      </c>
      <c r="G14" s="0" t="n">
        <f aca="false">-ATAN(A14*Fo/(Q*(Fo^2-A14^2)))</f>
        <v>-8.65712026293192E-005</v>
      </c>
      <c r="H14" s="0" t="n">
        <f aca="false">IF(G14&gt;0,G14-Pi,G14)</f>
        <v>-8.65712026293192E-005</v>
      </c>
      <c r="J14" s="0" t="n">
        <f aca="false">Vin/Vramp</f>
        <v>9</v>
      </c>
      <c r="M14" s="0" t="n">
        <f aca="false">1/(2*Pi*_Rfb1*(Cc1ea_u+Cc2ea_u)*A14)</f>
        <v>982.437921442941</v>
      </c>
      <c r="N14" s="0" t="n">
        <f aca="false">-Pi/2</f>
        <v>-1.570796325</v>
      </c>
      <c r="O14" s="0" t="n">
        <f aca="false">SQRT(1+(A14/Fz1_u)^2)</f>
        <v>1.00000001074199</v>
      </c>
      <c r="P14" s="0" t="n">
        <f aca="false">ATAN2(Fz1_u,A14)</f>
        <v>0.000146574145628735</v>
      </c>
      <c r="Q14" s="0" t="n">
        <f aca="false">SQRT(1+(A14/Fz2_u)^2)</f>
        <v>1.01373692605079</v>
      </c>
      <c r="R14" s="0" t="n">
        <f aca="false">ATAN2(Fz2_u,A14)</f>
        <v>0.164811983790546</v>
      </c>
      <c r="S14" s="0" t="n">
        <f aca="false">1/SQRT(1+(A14/Fp1_u)^2)</f>
        <v>0.999999901188585</v>
      </c>
      <c r="T14" s="0" t="n">
        <f aca="false">-ATAN2(Fp1_u,A14)</f>
        <v>-0.000444547897061326</v>
      </c>
      <c r="U14" s="0" t="n">
        <f aca="false">1/SQRT(1+(A14/Fp2_u)^2)</f>
        <v>0.999999999867383</v>
      </c>
      <c r="V14" s="0" t="n">
        <f aca="false">-ATAN2(Fp2_u,A14)</f>
        <v>-1.62860162961601E-005</v>
      </c>
      <c r="X14" s="0" t="n">
        <f aca="false">20*LOG(C14*J14*O14*Q14*F14*M14*S14*U14)</f>
        <v>78.9831104630534</v>
      </c>
      <c r="Y14" s="0" t="n">
        <f aca="false">(180/Pi)*(D14+H14+N14+P14+R14+T14+V14)</f>
        <v>-80.5799326677588</v>
      </c>
      <c r="Z14" s="0" t="n">
        <f aca="false">Y14+180</f>
        <v>99.4200673322412</v>
      </c>
      <c r="AC14" s="0" t="n">
        <v>1</v>
      </c>
      <c r="AD14" s="0" t="n">
        <f aca="false">Rcea1_u*Cc1ea_u*A14*2*Pi</f>
        <v>0.0001465741466784</v>
      </c>
      <c r="AE14" s="0" t="n">
        <f aca="false">-Rcea1_u*Cc1ea_u*Cc2ea_u*(A14*2*Pi)^2</f>
        <v>-8.2885727139279E-013</v>
      </c>
      <c r="AF14" s="0" t="n">
        <f aca="false">(Cc2ea_u+Cc1ea_u)*A14*2*Pi</f>
        <v>5.089380093E-008</v>
      </c>
      <c r="AG14" s="0" t="n">
        <f aca="false">AC14*AE14/(AE14^2+AF14^2)+AD14*AF14/(AE14^2+AF14^2)</f>
        <v>2559.999999321</v>
      </c>
      <c r="AH14" s="0" t="n">
        <f aca="false">AD14*AE14/(AE14^2+AF14^2)-AC14*AF14/(AE14^2+AF14^2)</f>
        <v>-19648758.470551</v>
      </c>
      <c r="AJ14" s="0" t="n">
        <f aca="false">_Rfb1</f>
        <v>20000</v>
      </c>
      <c r="AK14" s="0" t="n">
        <f aca="false">_Rfb1*Rcea2_u*Cc3ea_u*A14*2*Pi</f>
        <v>8.890958526912</v>
      </c>
      <c r="AL14" s="0" t="n">
        <v>1</v>
      </c>
      <c r="AM14" s="0" t="n">
        <f aca="false">(_Rfb1+Rcea2_u)*Cc3ea_u*A14*2*Pi</f>
        <v>0.166320639846346</v>
      </c>
      <c r="AN14" s="0" t="n">
        <f aca="false">AJ14*AL14/(AL14^2+AM14^2)+AK14*AM14/(AL14^2+AM14^2)</f>
        <v>19463.0802182545</v>
      </c>
      <c r="AO14" s="0" t="n">
        <f aca="false">AK14*AL14/(AL14^2+AM14^2)-AJ14*AM14/(AL14^2+AM14^2)</f>
        <v>-3228.22099675392</v>
      </c>
      <c r="AQ14" s="0" t="n">
        <f aca="false">Eadcg/(1+(Eadcg*A14/GBP)^2)</f>
        <v>3161.96838586856</v>
      </c>
      <c r="AR14" s="0" t="n">
        <f aca="false">-(A14*Eadcg*Eadcg/GBP)/(1+(Eadcg*A14/GBP)^2)</f>
        <v>-9.99814403611638</v>
      </c>
      <c r="AT14" s="0" t="n">
        <f aca="false">-AR14*AH14+AG14*AQ14</f>
        <v>-188356478.253754</v>
      </c>
      <c r="AU14" s="0" t="n">
        <f aca="false">AQ14*AH14+AG14*AR14</f>
        <v>-62128778700.6981</v>
      </c>
      <c r="AV14" s="0" t="n">
        <f aca="false">ATAN2(AT14,AU14)</f>
        <v>-1.57382802812748</v>
      </c>
      <c r="AW14" s="0" t="n">
        <f aca="false">AG14-AH14*AO14/_Rfb2+AG14*AN14/_Rfb2+AN14-AO14*AR14+AQ14*AN14</f>
        <v>33010072.0772108</v>
      </c>
      <c r="AX14" s="0" t="n">
        <f aca="false">AH14+AH14*AN14/_Rfb2+AG14*AO14/_Rfb2+AO14+AO14*AQ14+AN14*AR14</f>
        <v>-202149246.051525</v>
      </c>
      <c r="AY14" s="0" t="n">
        <f aca="false">ATAN2(AW14,AX14)</f>
        <v>-1.4089294382081</v>
      </c>
      <c r="BA14" s="0" t="n">
        <f aca="false">SQRT(AT14^2+AU14^2)/SQRT(AW14^2+AX14^2)</f>
        <v>303.325006677255</v>
      </c>
      <c r="BB14" s="0" t="n">
        <f aca="false">20*LOG(BA14)</f>
        <v>49.6381643166162</v>
      </c>
      <c r="BC14" s="0" t="n">
        <f aca="false">AV14-AY14</f>
        <v>-0.164898589919382</v>
      </c>
      <c r="BD14" s="0" t="n">
        <f aca="false">BC14*180/Pi-180</f>
        <v>-189.447993260835</v>
      </c>
      <c r="BF14" s="0" t="n">
        <f aca="false">20*LOG(BA14*J14*F14*C14)</f>
        <v>68.6566678688347</v>
      </c>
      <c r="BG14" s="0" t="n">
        <f aca="false">(180/Pi)*(D14+H14+BC14)</f>
        <v>-9.45295126537868</v>
      </c>
      <c r="BH14" s="0" t="n">
        <f aca="false">IF(BG14&gt;180,BG14-180,BG14+180)</f>
        <v>170.547048734621</v>
      </c>
      <c r="BI14" s="0" t="n">
        <f aca="false">IF(BH14&gt;180,BH14-360,BH14)</f>
        <v>170.547048734621</v>
      </c>
      <c r="BJ14" s="0" t="n">
        <f aca="false">SUM((BF15&lt;0)*(BF14&gt;0))*A14</f>
        <v>0</v>
      </c>
      <c r="BK14" s="0" t="n">
        <f aca="false">IF(BJ14&gt;0,BI14,0)</f>
        <v>0</v>
      </c>
      <c r="BM14" s="0" t="n">
        <f aca="false">20*LOG(J14*F14*C14)</f>
        <v>19.0185035522185</v>
      </c>
      <c r="BN14" s="0" t="n">
        <f aca="false">(H14+D14)*180/Pi</f>
        <v>-0.00495800454369966</v>
      </c>
      <c r="BQ14" s="347" t="n">
        <f aca="false">20*LOG(BA14*7)</f>
        <v>66.5401251169013</v>
      </c>
      <c r="BR14" s="350"/>
      <c r="BS14" s="350"/>
      <c r="BT14" s="350" t="n">
        <v>109.648</v>
      </c>
      <c r="BU14" s="350" t="n">
        <v>34.1144</v>
      </c>
      <c r="BV14" s="350" t="n">
        <v>-262.7662</v>
      </c>
      <c r="BW14" s="349"/>
      <c r="BY14" s="350"/>
      <c r="BZ14" s="350"/>
      <c r="CA14" s="350"/>
      <c r="CC14" s="350"/>
    </row>
    <row r="15" customFormat="false" ht="12.75" hidden="false" customHeight="false" outlineLevel="0" collapsed="false">
      <c r="A15" s="0" t="n">
        <v>7</v>
      </c>
      <c r="B15" s="0" t="n">
        <f aca="false">A15/1000</f>
        <v>0.007</v>
      </c>
      <c r="C15" s="0" t="n">
        <f aca="false">SQRT((A15/Fesr)^2+1)</f>
        <v>1</v>
      </c>
      <c r="D15" s="0" t="n">
        <f aca="false">ATAN(A15/Fesr)</f>
        <v>4.39822971E-008</v>
      </c>
      <c r="F15" s="0" t="n">
        <f aca="false">(Ro/(Ro+Rdcr))/SQRT((A15/(Q*Fo))^2+(1-(A15^2/Fo^2))^2)</f>
        <v>0.992390665452631</v>
      </c>
      <c r="G15" s="0" t="n">
        <f aca="false">-ATAN(A15*Fo/(Q*(Fo^2-A15^2)))</f>
        <v>-0.000100999737009467</v>
      </c>
      <c r="H15" s="0" t="n">
        <f aca="false">IF(G15&gt;0,G15-Pi,G15)</f>
        <v>-0.000100999737009467</v>
      </c>
      <c r="J15" s="0" t="n">
        <f aca="false">Vin/Vramp</f>
        <v>9</v>
      </c>
      <c r="M15" s="0" t="n">
        <f aca="false">1/(2*Pi*_Rfb1*(Cc1ea_u+Cc2ea_u)*A15)</f>
        <v>842.089646951092</v>
      </c>
      <c r="N15" s="0" t="n">
        <f aca="false">-Pi/2</f>
        <v>-1.570796325</v>
      </c>
      <c r="O15" s="0" t="n">
        <f aca="false">SQRT(1+(A15/Fz1_u)^2)</f>
        <v>1.00000001462104</v>
      </c>
      <c r="P15" s="0" t="n">
        <f aca="false">ATAN2(Fz1_u,A15)</f>
        <v>0.00017100316945797</v>
      </c>
      <c r="Q15" s="0" t="n">
        <f aca="false">SQRT(1+(A15/Fz2_u)^2)</f>
        <v>1.01865195788227</v>
      </c>
      <c r="R15" s="0" t="n">
        <f aca="false">ATAN2(Fz2_u,A15)</f>
        <v>0.191658997090778</v>
      </c>
      <c r="S15" s="0" t="n">
        <f aca="false">1/SQRT(1+(A15/Fp1_u)^2)</f>
        <v>0.999999865506693</v>
      </c>
      <c r="T15" s="0" t="n">
        <f aca="false">-ATAN2(Fp1_u,A15)</f>
        <v>-0.00051863920090086</v>
      </c>
      <c r="U15" s="0" t="n">
        <f aca="false">1/SQRT(1+(A15/Fp2_u)^2)</f>
        <v>0.999999999819493</v>
      </c>
      <c r="V15" s="0" t="n">
        <f aca="false">-ATAN2(Fp2_u,A15)</f>
        <v>-1.90003523449135E-005</v>
      </c>
      <c r="X15" s="0" t="n">
        <f aca="false">20*LOG(C15*J15*O15*Q15*F15*M15*S15*U15)</f>
        <v>77.6861856021995</v>
      </c>
      <c r="Y15" s="0" t="n">
        <f aca="false">(180/Pi)*(D15+H15+N15+P15+R15+T15+V15)</f>
        <v>-79.0455394045406</v>
      </c>
      <c r="Z15" s="0" t="n">
        <f aca="false">Y15+180</f>
        <v>100.954460595459</v>
      </c>
      <c r="AC15" s="0" t="n">
        <v>1</v>
      </c>
      <c r="AD15" s="0" t="n">
        <f aca="false">Rcea1_u*Cc1ea_u*A15*2*Pi</f>
        <v>0.0001710031711248</v>
      </c>
      <c r="AE15" s="0" t="n">
        <f aca="false">-Rcea1_u*Cc1ea_u*Cc2ea_u*(A15*2*Pi)^2</f>
        <v>-1.12816684161796E-012</v>
      </c>
      <c r="AF15" s="0" t="n">
        <f aca="false">(Cc2ea_u+Cc1ea_u)*A15*2*Pi</f>
        <v>5.9376101085E-008</v>
      </c>
      <c r="AG15" s="0" t="n">
        <f aca="false">AC15*AE15/(AE15^2+AF15^2)+AD15*AF15/(AE15^2+AF15^2)</f>
        <v>2559.99999907581</v>
      </c>
      <c r="AH15" s="0" t="n">
        <f aca="false">AD15*AE15/(AE15^2+AF15^2)-AC15*AF15/(AE15^2+AF15^2)</f>
        <v>-16841792.9876627</v>
      </c>
      <c r="AJ15" s="0" t="n">
        <f aca="false">_Rfb1</f>
        <v>20000</v>
      </c>
      <c r="AK15" s="0" t="n">
        <f aca="false">_Rfb1*Rcea2_u*Cc3ea_u*A15*2*Pi</f>
        <v>10.372784948064</v>
      </c>
      <c r="AL15" s="0" t="n">
        <v>1</v>
      </c>
      <c r="AM15" s="0" t="n">
        <f aca="false">(_Rfb1+Rcea2_u)*Cc3ea_u*A15*2*Pi</f>
        <v>0.194040746487403</v>
      </c>
      <c r="AN15" s="0" t="n">
        <f aca="false">AJ15*AL15/(AL15^2+AM15^2)+AK15*AM15/(AL15^2+AM15^2)</f>
        <v>19276.2278494226</v>
      </c>
      <c r="AO15" s="0" t="n">
        <f aca="false">AK15*AL15/(AL15^2+AM15^2)-AJ15*AM15/(AL15^2+AM15^2)</f>
        <v>-3730.00085641516</v>
      </c>
      <c r="AQ15" s="0" t="n">
        <f aca="false">Eadcg/(1+(Eadcg*A15/GBP)^2)</f>
        <v>3161.95696980978</v>
      </c>
      <c r="AR15" s="0" t="n">
        <f aca="false">-(A15*Eadcg*Eadcg/GBP)/(1+(Eadcg*A15/GBP)^2)</f>
        <v>-11.6644592616283</v>
      </c>
      <c r="AT15" s="0" t="n">
        <f aca="false">-AR15*AH15+AG15*AQ15</f>
        <v>-188355798.357578</v>
      </c>
      <c r="AU15" s="0" t="n">
        <f aca="false">AQ15*AH15+AG15*AR15</f>
        <v>-53253054582.4494</v>
      </c>
      <c r="AV15" s="0" t="n">
        <f aca="false">ATAN2(AT15,AU15)</f>
        <v>-1.57433330724373</v>
      </c>
      <c r="AW15" s="0" t="n">
        <f aca="false">AG15-AH15*AO15/_Rfb2+AG15*AN15/_Rfb2+AN15-AO15*AR15+AQ15*AN15</f>
        <v>32682180.9790136</v>
      </c>
      <c r="AX15" s="0" t="n">
        <f aca="false">AH15+AH15*AN15/_Rfb2+AG15*AO15/_Rfb2+AO15+AO15*AQ15+AN15*AR15</f>
        <v>-174959576.489657</v>
      </c>
      <c r="AY15" s="0" t="n">
        <f aca="false">ATAN2(AW15,AX15)</f>
        <v>-1.38612616849593</v>
      </c>
      <c r="BA15" s="0" t="n">
        <f aca="false">SQRT(AT15^2+AU15^2)/SQRT(AW15^2+AX15^2)</f>
        <v>299.200046581183</v>
      </c>
      <c r="BB15" s="0" t="n">
        <f aca="false">20*LOG(BA15)</f>
        <v>49.5192331361178</v>
      </c>
      <c r="BC15" s="0" t="n">
        <f aca="false">AV15-AY15</f>
        <v>-0.188207138747798</v>
      </c>
      <c r="BD15" s="0" t="n">
        <f aca="false">BC15*180/Pi-180</f>
        <v>-190.783474736804</v>
      </c>
      <c r="BF15" s="0" t="n">
        <f aca="false">20*LOG(BA15*J15*F15*C15)</f>
        <v>68.537736736757</v>
      </c>
      <c r="BG15" s="0" t="n">
        <f aca="false">(180/Pi)*(D15+H15+BC15)</f>
        <v>-10.789259075473</v>
      </c>
      <c r="BH15" s="0" t="n">
        <f aca="false">IF(BG15&gt;180,BG15-180,BG15+180)</f>
        <v>169.210740924527</v>
      </c>
      <c r="BI15" s="0" t="n">
        <f aca="false">IF(BH15&gt;180,BH15-360,BH15)</f>
        <v>169.210740924527</v>
      </c>
      <c r="BJ15" s="0" t="n">
        <f aca="false">SUM((BF16&lt;0)*(BF15&gt;0))*A15</f>
        <v>0</v>
      </c>
      <c r="BK15" s="0" t="n">
        <f aca="false">IF(BJ15&gt;0,BI15,0)</f>
        <v>0</v>
      </c>
      <c r="BM15" s="0" t="n">
        <f aca="false">20*LOG(J15*F15*C15)</f>
        <v>19.0185036006392</v>
      </c>
      <c r="BN15" s="0" t="n">
        <f aca="false">(H15+D15)*180/Pi</f>
        <v>-0.00578433866918616</v>
      </c>
      <c r="BQ15" s="347" t="n">
        <f aca="false">20*LOG(BA15*7)</f>
        <v>66.4211939364029</v>
      </c>
      <c r="BR15" s="350"/>
      <c r="BS15" s="350"/>
      <c r="BT15" s="350" t="n">
        <v>112.202</v>
      </c>
      <c r="BU15" s="350" t="n">
        <v>34.2977</v>
      </c>
      <c r="BV15" s="350" t="n">
        <v>-267.0128</v>
      </c>
      <c r="BW15" s="349"/>
      <c r="BY15" s="350"/>
      <c r="BZ15" s="350"/>
      <c r="CA15" s="350"/>
      <c r="CC15" s="350"/>
    </row>
    <row r="16" customFormat="false" ht="12.75" hidden="false" customHeight="false" outlineLevel="0" collapsed="false">
      <c r="A16" s="0" t="n">
        <v>8</v>
      </c>
      <c r="B16" s="0" t="n">
        <f aca="false">A16/1000</f>
        <v>0.008</v>
      </c>
      <c r="C16" s="0" t="n">
        <f aca="false">SQRT((A16/Fesr)^2+1)</f>
        <v>1</v>
      </c>
      <c r="D16" s="0" t="n">
        <f aca="false">ATAN(A16/Fesr)</f>
        <v>5.02654824E-008</v>
      </c>
      <c r="F16" s="0" t="n">
        <f aca="false">(Ro/(Ro+Rdcr))/SQRT((A16/(Q*Fo))^2+(1-(A16^2/Fo^2))^2)</f>
        <v>0.992390671835963</v>
      </c>
      <c r="G16" s="0" t="n">
        <f aca="false">-ATAN(A16*Fo/(Q*(Fo^2-A16^2)))</f>
        <v>-0.000115428271670504</v>
      </c>
      <c r="H16" s="0" t="n">
        <f aca="false">IF(G16&gt;0,G16-Pi,G16)</f>
        <v>-0.000115428271670504</v>
      </c>
      <c r="J16" s="0" t="n">
        <f aca="false">Vin/Vramp</f>
        <v>9</v>
      </c>
      <c r="M16" s="0" t="n">
        <f aca="false">1/(2*Pi*_Rfb1*(Cc1ea_u+Cc2ea_u)*A16)</f>
        <v>736.828441082205</v>
      </c>
      <c r="N16" s="0" t="n">
        <f aca="false">-Pi/2</f>
        <v>-1.570796325</v>
      </c>
      <c r="O16" s="0" t="n">
        <f aca="false">SQRT(1+(A16/Fz1_u)^2)</f>
        <v>1.00000001909687</v>
      </c>
      <c r="P16" s="0" t="n">
        <f aca="false">ATAN2(Fz1_u,A16)</f>
        <v>0.000195432193083104</v>
      </c>
      <c r="Q16" s="0" t="n">
        <f aca="false">SQRT(1+(A16/Fz2_u)^2)</f>
        <v>1.02429384259609</v>
      </c>
      <c r="R16" s="0" t="n">
        <f aca="false">ATAN2(Fz2_u,A16)</f>
        <v>0.218229245335794</v>
      </c>
      <c r="S16" s="0" t="n">
        <f aca="false">1/SQRT(1+(A16/Fp1_u)^2)</f>
        <v>0.999999824335283</v>
      </c>
      <c r="T16" s="0" t="n">
        <f aca="false">-ATAN2(Fp1_u,A16)</f>
        <v>-0.000592730499046231</v>
      </c>
      <c r="U16" s="0" t="n">
        <f aca="false">1/SQRT(1+(A16/Fp2_u)^2)</f>
        <v>0.999999999764236</v>
      </c>
      <c r="V16" s="0" t="n">
        <f aca="false">-ATAN2(Fp2_u,A16)</f>
        <v>-2.1714688393387E-005</v>
      </c>
      <c r="X16" s="0" t="n">
        <f aca="false">20*LOG(C16*J16*O16*Q16*F16*M16*S16*U16)</f>
        <v>76.5743211547215</v>
      </c>
      <c r="Y16" s="0" t="n">
        <f aca="false">(180/Pi)*(D16+H16+N16+P16+R16+T16+V16)</f>
        <v>-77.5270036106225</v>
      </c>
      <c r="Z16" s="0" t="n">
        <f aca="false">Y16+180</f>
        <v>102.472996389378</v>
      </c>
      <c r="AC16" s="0" t="n">
        <v>1</v>
      </c>
      <c r="AD16" s="0" t="n">
        <f aca="false">Rcea1_u*Cc1ea_u*A16*2*Pi</f>
        <v>0.0001954321955712</v>
      </c>
      <c r="AE16" s="0" t="n">
        <f aca="false">-Rcea1_u*Cc1ea_u*Cc2ea_u*(A16*2*Pi)^2</f>
        <v>-1.47352403803163E-012</v>
      </c>
      <c r="AF16" s="0" t="n">
        <f aca="false">(Cc2ea_u+Cc1ea_u)*A16*2*Pi</f>
        <v>6.785840124E-008</v>
      </c>
      <c r="AG16" s="0" t="n">
        <f aca="false">AC16*AE16/(AE16^2+AF16^2)+AD16*AF16/(AE16^2+AF16^2)</f>
        <v>2559.99999879289</v>
      </c>
      <c r="AH16" s="0" t="n">
        <f aca="false">AD16*AE16/(AE16^2+AF16^2)-AC16*AF16/(AE16^2+AF16^2)</f>
        <v>-14736568.8772337</v>
      </c>
      <c r="AJ16" s="0" t="n">
        <f aca="false">_Rfb1</f>
        <v>20000</v>
      </c>
      <c r="AK16" s="0" t="n">
        <f aca="false">_Rfb1*Rcea2_u*Cc3ea_u*A16*2*Pi</f>
        <v>11.854611369216</v>
      </c>
      <c r="AL16" s="0" t="n">
        <v>1</v>
      </c>
      <c r="AM16" s="0" t="n">
        <f aca="false">(_Rfb1+Rcea2_u)*Cc3ea_u*A16*2*Pi</f>
        <v>0.221760853128461</v>
      </c>
      <c r="AN16" s="0" t="n">
        <f aca="false">AJ16*AL16/(AL16^2+AM16^2)+AK16*AM16/(AL16^2+AM16^2)</f>
        <v>19065.0502137609</v>
      </c>
      <c r="AO16" s="0" t="n">
        <f aca="false">AK16*AL16/(AL16^2+AM16^2)-AJ16*AM16/(AL16^2+AM16^2)</f>
        <v>-4216.02718897135</v>
      </c>
      <c r="AQ16" s="0" t="n">
        <f aca="false">Eadcg/(1+(Eadcg*A16/GBP)^2)</f>
        <v>3161.94379753671</v>
      </c>
      <c r="AR16" s="0" t="n">
        <f aca="false">-(A16*Eadcg*Eadcg/GBP)/(1+(Eadcg*A16/GBP)^2)</f>
        <v>-13.3307550504148</v>
      </c>
      <c r="AT16" s="0" t="n">
        <f aca="false">-AR16*AH16+AG16*AQ16</f>
        <v>-188355013.868091</v>
      </c>
      <c r="AU16" s="0" t="n">
        <f aca="false">AQ16*AH16+AG16*AR16</f>
        <v>-46596236685.0745</v>
      </c>
      <c r="AV16" s="0" t="n">
        <f aca="false">ATAN2(AT16,AU16)</f>
        <v>-1.57483858431116</v>
      </c>
      <c r="AW16" s="0" t="n">
        <f aca="false">AG16-AH16*AO16/_Rfb2+AG16*AN16/_Rfb2+AN16-AO16*AR16+AQ16*AN16</f>
        <v>32311603.6590788</v>
      </c>
      <c r="AX16" s="0" t="n">
        <f aca="false">AH16+AH16*AN16/_Rfb2+AG16*AO16/_Rfb2+AO16+AO16*AQ16+AN16*AR16</f>
        <v>-154759675.832933</v>
      </c>
      <c r="AY16" s="0" t="n">
        <f aca="false">ATAN2(AW16,AX16)</f>
        <v>-1.36496744960792</v>
      </c>
      <c r="BA16" s="0" t="n">
        <f aca="false">SQRT(AT16^2+AU16^2)/SQRT(AW16^2+AX16^2)</f>
        <v>294.734735117149</v>
      </c>
      <c r="BB16" s="0" t="n">
        <f aca="false">20*LOG(BA16)</f>
        <v>49.3886264279422</v>
      </c>
      <c r="BC16" s="0" t="n">
        <f aca="false">AV16-AY16</f>
        <v>-0.209871134703234</v>
      </c>
      <c r="BD16" s="0" t="n">
        <f aca="false">BC16*180/Pi-180</f>
        <v>-192.024730273857</v>
      </c>
      <c r="BF16" s="0" t="n">
        <f aca="false">20*LOG(BA16*J16*F16*C16)</f>
        <v>68.4071300844515</v>
      </c>
      <c r="BG16" s="0" t="n">
        <f aca="false">(180/Pi)*(D16+H16+BC16)</f>
        <v>-12.0313409466679</v>
      </c>
      <c r="BH16" s="0" t="n">
        <f aca="false">IF(BG16&gt;180,BG16-180,BG16+180)</f>
        <v>167.968659053332</v>
      </c>
      <c r="BI16" s="0" t="n">
        <f aca="false">IF(BH16&gt;180,BH16-360,BH16)</f>
        <v>167.968659053332</v>
      </c>
      <c r="BJ16" s="0" t="n">
        <f aca="false">SUM((BF17&lt;0)*(BF16&gt;0))*A16</f>
        <v>0</v>
      </c>
      <c r="BK16" s="0" t="n">
        <f aca="false">IF(BJ16&gt;0,BI16,0)</f>
        <v>0</v>
      </c>
      <c r="BM16" s="0" t="n">
        <f aca="false">20*LOG(J16*F16*C16)</f>
        <v>19.0185036565093</v>
      </c>
      <c r="BN16" s="0" t="n">
        <f aca="false">(H16+D16)*180/Pi</f>
        <v>-0.00661067281076646</v>
      </c>
      <c r="BQ16" s="347" t="n">
        <f aca="false">20*LOG(BA16*7)</f>
        <v>66.2905872282273</v>
      </c>
      <c r="BR16" s="351"/>
      <c r="BS16" s="351"/>
      <c r="BT16" s="351" t="n">
        <v>114.815</v>
      </c>
      <c r="BU16" s="351" t="n">
        <v>33.3465</v>
      </c>
      <c r="BV16" s="351" t="n">
        <v>-266.2048</v>
      </c>
      <c r="BW16" s="349"/>
      <c r="BY16" s="351"/>
      <c r="BZ16" s="351"/>
      <c r="CA16" s="351"/>
      <c r="CC16" s="351"/>
    </row>
    <row r="17" customFormat="false" ht="12.75" hidden="false" customHeight="false" outlineLevel="0" collapsed="false">
      <c r="A17" s="0" t="n">
        <v>9</v>
      </c>
      <c r="B17" s="0" t="n">
        <f aca="false">A17/1000</f>
        <v>0.009</v>
      </c>
      <c r="C17" s="0" t="n">
        <f aca="false">SQRT((A17/Fesr)^2+1)</f>
        <v>1</v>
      </c>
      <c r="D17" s="0" t="n">
        <f aca="false">ATAN(A17/Fesr)</f>
        <v>5.65486676999999E-008</v>
      </c>
      <c r="F17" s="0" t="n">
        <f aca="false">(Ro/(Ro+Rdcr))/SQRT((A17/(Q*Fo))^2+(1-(A17^2/Fo^2))^2)</f>
        <v>0.992390679070406</v>
      </c>
      <c r="G17" s="0" t="n">
        <f aca="false">-ATAN(A17*Fo/(Q*(Fo^2-A17^2)))</f>
        <v>-0.000129856806652558</v>
      </c>
      <c r="H17" s="0" t="n">
        <f aca="false">IF(G17&gt;0,G17-Pi,G17)</f>
        <v>-0.000129856806652558</v>
      </c>
      <c r="J17" s="0" t="n">
        <f aca="false">Vin/Vramp</f>
        <v>9</v>
      </c>
      <c r="M17" s="0" t="n">
        <f aca="false">1/(2*Pi*_Rfb1*(Cc1ea_u+Cc2ea_u)*A17)</f>
        <v>654.958614295294</v>
      </c>
      <c r="N17" s="0" t="n">
        <f aca="false">-Pi/2</f>
        <v>-1.570796325</v>
      </c>
      <c r="O17" s="0" t="n">
        <f aca="false">SQRT(1+(A17/Fz1_u)^2)</f>
        <v>1.00000002416948</v>
      </c>
      <c r="P17" s="0" t="n">
        <f aca="false">ATAN2(Fz1_u,A17)</f>
        <v>0.000219861216474979</v>
      </c>
      <c r="Q17" s="0" t="n">
        <f aca="false">SQRT(1+(A17/Fz2_u)^2)</f>
        <v>1.03065064366521</v>
      </c>
      <c r="R17" s="0" t="n">
        <f aca="false">ATAN2(Fz2_u,A17)</f>
        <v>0.244490095046106</v>
      </c>
      <c r="S17" s="0" t="n">
        <f aca="false">1/SQRT(1+(A17/Fp1_u)^2)</f>
        <v>0.999999777674358</v>
      </c>
      <c r="T17" s="0" t="n">
        <f aca="false">-ATAN2(Fp1_u,A17)</f>
        <v>-0.00066682179068399</v>
      </c>
      <c r="U17" s="0" t="n">
        <f aca="false">1/SQRT(1+(A17/Fp2_u)^2)</f>
        <v>0.999999999701611</v>
      </c>
      <c r="V17" s="0" t="n">
        <f aca="false">-ATAN2(Fp2_u,A17)</f>
        <v>-2.44290244415404E-005</v>
      </c>
      <c r="X17" s="0" t="n">
        <f aca="false">20*LOG(C17*J17*O17*Q17*F17*M17*S17*U17)</f>
        <v>75.6050087433435</v>
      </c>
      <c r="Y17" s="0" t="n">
        <f aca="false">(180/Pi)*(D17+H17+N17+P17+R17+T17+V17)</f>
        <v>-76.0261950466097</v>
      </c>
      <c r="Z17" s="0" t="n">
        <f aca="false">Y17+180</f>
        <v>103.97380495339</v>
      </c>
      <c r="AC17" s="0" t="n">
        <v>1</v>
      </c>
      <c r="AD17" s="0" t="n">
        <f aca="false">Rcea1_u*Cc1ea_u*A17*2*Pi</f>
        <v>0.0002198612200176</v>
      </c>
      <c r="AE17" s="0" t="n">
        <f aca="false">-Rcea1_u*Cc1ea_u*Cc2ea_u*(A17*2*Pi)^2</f>
        <v>-1.86492886063378E-012</v>
      </c>
      <c r="AF17" s="0" t="n">
        <f aca="false">(Cc2ea_u+Cc1ea_u)*A17*2*Pi</f>
        <v>7.6340701395E-008</v>
      </c>
      <c r="AG17" s="0" t="n">
        <f aca="false">AC17*AE17/(AE17^2+AF17^2)+AD17*AF17/(AE17^2+AF17^2)</f>
        <v>2559.99999847225</v>
      </c>
      <c r="AH17" s="0" t="n">
        <f aca="false">AD17*AE17/(AE17^2+AF17^2)-AC17*AF17/(AE17^2+AF17^2)</f>
        <v>-13099172.3484442</v>
      </c>
      <c r="AJ17" s="0" t="n">
        <f aca="false">_Rfb1</f>
        <v>20000</v>
      </c>
      <c r="AK17" s="0" t="n">
        <f aca="false">_Rfb1*Rcea2_u*Cc3ea_u*A17*2*Pi</f>
        <v>13.336437790368</v>
      </c>
      <c r="AL17" s="0" t="n">
        <v>1</v>
      </c>
      <c r="AM17" s="0" t="n">
        <f aca="false">(_Rfb1+Rcea2_u)*Cc3ea_u*A17*2*Pi</f>
        <v>0.249480959769518</v>
      </c>
      <c r="AN17" s="0" t="n">
        <f aca="false">AJ17*AL17/(AL17^2+AM17^2)+AK17*AM17/(AL17^2+AM17^2)</f>
        <v>18831.2557211882</v>
      </c>
      <c r="AO17" s="0" t="n">
        <f aca="false">AK17*AL17/(AL17^2+AM17^2)-AJ17*AM17/(AL17^2+AM17^2)</f>
        <v>-4684.7033131969</v>
      </c>
      <c r="AQ17" s="0" t="n">
        <f aca="false">Eadcg/(1+(Eadcg*A17/GBP)^2)</f>
        <v>3161.92886909323</v>
      </c>
      <c r="AR17" s="0" t="n">
        <f aca="false">-(A17*Eadcg*Eadcg/GBP)/(1+(Eadcg*A17/GBP)^2)</f>
        <v>-14.9970286261092</v>
      </c>
      <c r="AT17" s="0" t="n">
        <f aca="false">-AR17*AH17+AG17*AQ17</f>
        <v>-188354124.787907</v>
      </c>
      <c r="AU17" s="0" t="n">
        <f aca="false">AQ17*AH17+AG17*AR17</f>
        <v>-41418689602.1666</v>
      </c>
      <c r="AV17" s="0" t="n">
        <f aca="false">ATAN2(AT17,AU17)</f>
        <v>-1.57534385903709</v>
      </c>
      <c r="AW17" s="0" t="n">
        <f aca="false">AG17-AH17*AO17/_Rfb2+AG17*AN17/_Rfb2+AN17-AO17*AR17+AQ17*AN17</f>
        <v>31901338.0933045</v>
      </c>
      <c r="AX17" s="0" t="n">
        <f aca="false">AH17+AH17*AN17/_Rfb2+AG17*AO17/_Rfb2+AO17+AO17*AQ17+AN17*AR17</f>
        <v>-139207604.263482</v>
      </c>
      <c r="AY17" s="0" t="n">
        <f aca="false">ATAN2(AW17,AX17)</f>
        <v>-1.34552230867167</v>
      </c>
      <c r="BA17" s="0" t="n">
        <f aca="false">SQRT(AT17^2+AU17^2)/SQRT(AW17^2+AX17^2)</f>
        <v>290.017047258152</v>
      </c>
      <c r="BB17" s="0" t="n">
        <f aca="false">20*LOG(BA17)</f>
        <v>49.2484705312586</v>
      </c>
      <c r="BC17" s="0" t="n">
        <f aca="false">AV17-AY17</f>
        <v>-0.229821550365422</v>
      </c>
      <c r="BD17" s="0" t="n">
        <f aca="false">BC17*180/Pi-180</f>
        <v>-193.167804892138</v>
      </c>
      <c r="BF17" s="0" t="n">
        <f aca="false">20*LOG(BA17*J17*F17*C17)</f>
        <v>68.2669742510872</v>
      </c>
      <c r="BG17" s="0" t="n">
        <f aca="false">(180/Pi)*(D17+H17+BC17)</f>
        <v>-13.1752418991091</v>
      </c>
      <c r="BH17" s="0" t="n">
        <f aca="false">IF(BG17&gt;180,BG17-180,BG17+180)</f>
        <v>166.824758100891</v>
      </c>
      <c r="BI17" s="0" t="n">
        <f aca="false">IF(BH17&gt;180,BH17-360,BH17)</f>
        <v>166.824758100891</v>
      </c>
      <c r="BJ17" s="0" t="n">
        <f aca="false">SUM((BF18&lt;0)*(BF17&gt;0))*A17</f>
        <v>0</v>
      </c>
      <c r="BK17" s="0" t="n">
        <f aca="false">IF(BJ17&gt;0,BI17,0)</f>
        <v>0</v>
      </c>
      <c r="BM17" s="0" t="n">
        <f aca="false">20*LOG(J17*F17*C17)</f>
        <v>19.0185037198286</v>
      </c>
      <c r="BN17" s="0" t="n">
        <f aca="false">(H17+D17)*180/Pi</f>
        <v>-0.00743700697073967</v>
      </c>
      <c r="BQ17" s="347" t="n">
        <f aca="false">20*LOG(BA17*7)</f>
        <v>66.1504313315437</v>
      </c>
      <c r="BR17" s="351"/>
      <c r="BS17" s="351"/>
      <c r="BT17" s="351" t="n">
        <v>117.49</v>
      </c>
      <c r="BU17" s="351" t="n">
        <v>33.0246</v>
      </c>
      <c r="BV17" s="351" t="n">
        <v>-264.9049</v>
      </c>
      <c r="BW17" s="349"/>
      <c r="BY17" s="351"/>
      <c r="BZ17" s="351"/>
      <c r="CA17" s="351"/>
      <c r="CC17" s="351"/>
    </row>
    <row r="18" customFormat="false" ht="12.75" hidden="false" customHeight="false" outlineLevel="0" collapsed="false">
      <c r="A18" s="0" t="n">
        <v>10</v>
      </c>
      <c r="B18" s="0" t="n">
        <f aca="false">A18/1000</f>
        <v>0.01</v>
      </c>
      <c r="C18" s="0" t="n">
        <f aca="false">SQRT((A18/Fesr)^2+1)</f>
        <v>1</v>
      </c>
      <c r="D18" s="0" t="n">
        <f aca="false">ATAN(A18/Fesr)</f>
        <v>6.28318529999999E-008</v>
      </c>
      <c r="F18" s="0" t="n">
        <f aca="false">(Ro/(Ro+Rdcr))/SQRT((A18/(Q*Fo))^2+(1-(A18^2/Fo^2))^2)</f>
        <v>0.99239068715596</v>
      </c>
      <c r="G18" s="0" t="n">
        <f aca="false">-ATAN(A18*Fo/(Q*(Fo^2-A18^2)))</f>
        <v>-0.000144285341995756</v>
      </c>
      <c r="H18" s="0" t="n">
        <f aca="false">IF(G18&gt;0,G18-Pi,G18)</f>
        <v>-0.000144285341995756</v>
      </c>
      <c r="J18" s="0" t="n">
        <f aca="false">Vin/Vramp</f>
        <v>9</v>
      </c>
      <c r="M18" s="0" t="n">
        <f aca="false">1/(2*Pi*_Rfb1*(Cc1ea_u+Cc2ea_u)*A18)</f>
        <v>589.462752865764</v>
      </c>
      <c r="N18" s="0" t="n">
        <f aca="false">-Pi/2</f>
        <v>-1.570796325</v>
      </c>
      <c r="O18" s="0" t="n">
        <f aca="false">SQRT(1+(A18/Fz1_u)^2)</f>
        <v>1.00000002983886</v>
      </c>
      <c r="P18" s="0" t="n">
        <f aca="false">ATAN2(Fz1_u,A18)</f>
        <v>0.000244290239604438</v>
      </c>
      <c r="Q18" s="0" t="n">
        <f aca="false">SQRT(1+(A18/Fz2_u)^2)</f>
        <v>1.03770922286504</v>
      </c>
      <c r="R18" s="0" t="n">
        <f aca="false">ATAN2(Fz2_u,A18)</f>
        <v>0.270411371087299</v>
      </c>
      <c r="S18" s="0" t="n">
        <f aca="false">1/SQRT(1+(A18/Fp1_u)^2)</f>
        <v>0.99999972552392</v>
      </c>
      <c r="T18" s="0" t="n">
        <f aca="false">-ATAN2(Fp1_u,A18)</f>
        <v>-0.000740913075000687</v>
      </c>
      <c r="U18" s="0" t="n">
        <f aca="false">1/SQRT(1+(A18/Fp2_u)^2)</f>
        <v>0.999999999631619</v>
      </c>
      <c r="V18" s="0" t="n">
        <f aca="false">-ATAN2(Fp2_u,A18)</f>
        <v>-2.71433604893339E-005</v>
      </c>
      <c r="X18" s="0" t="n">
        <f aca="false">20*LOG(C18*J18*O18*Q18*F18*M18*S18*U18)</f>
        <v>74.7491425548338</v>
      </c>
      <c r="Y18" s="0" t="n">
        <f aca="false">(180/Pi)*(D18+H18+N18+P18+R18+T18+V18)</f>
        <v>-74.5448426203096</v>
      </c>
      <c r="Z18" s="0" t="n">
        <f aca="false">Y18+180</f>
        <v>105.45515737969</v>
      </c>
      <c r="AC18" s="0" t="n">
        <v>1</v>
      </c>
      <c r="AD18" s="0" t="n">
        <f aca="false">Rcea1_u*Cc1ea_u*A18*2*Pi</f>
        <v>0.000244290244464</v>
      </c>
      <c r="AE18" s="0" t="n">
        <f aca="false">-Rcea1_u*Cc1ea_u*Cc2ea_u*(A18*2*Pi)^2</f>
        <v>-2.30238130942442E-012</v>
      </c>
      <c r="AF18" s="0" t="n">
        <f aca="false">(Cc2ea_u+Cc1ea_u)*A18*2*Pi</f>
        <v>8.482300155E-008</v>
      </c>
      <c r="AG18" s="0" t="n">
        <f aca="false">AC18*AE18/(AE18^2+AF18^2)+AD18*AF18/(AE18^2+AF18^2)</f>
        <v>2559.99999811389</v>
      </c>
      <c r="AH18" s="0" t="n">
        <f aca="false">AD18*AE18/(AE18^2+AF18^2)-AC18*AF18/(AE18^2+AF18^2)</f>
        <v>-11789255.1268023</v>
      </c>
      <c r="AJ18" s="0" t="n">
        <f aca="false">_Rfb1</f>
        <v>20000</v>
      </c>
      <c r="AK18" s="0" t="n">
        <f aca="false">_Rfb1*Rcea2_u*Cc3ea_u*A18*2*Pi</f>
        <v>14.81826421152</v>
      </c>
      <c r="AL18" s="0" t="n">
        <v>1</v>
      </c>
      <c r="AM18" s="0" t="n">
        <f aca="false">(_Rfb1+Rcea2_u)*Cc3ea_u*A18*2*Pi</f>
        <v>0.277201066410576</v>
      </c>
      <c r="AN18" s="0" t="n">
        <f aca="false">AJ18*AL18/(AL18^2+AM18^2)+AK18*AM18/(AL18^2+AM18^2)</f>
        <v>18576.6684261603</v>
      </c>
      <c r="AO18" s="0" t="n">
        <f aca="false">AK18*AL18/(AL18^2+AM18^2)-AJ18*AM18/(AL18^2+AM18^2)</f>
        <v>-5134.65403387578</v>
      </c>
      <c r="AQ18" s="0" t="n">
        <f aca="false">Eadcg/(1+(Eadcg*A18/GBP)^2)</f>
        <v>3161.91218452909</v>
      </c>
      <c r="AR18" s="0" t="n">
        <f aca="false">-(A18*Eadcg*Eadcg/GBP)/(1+(Eadcg*A18/GBP)^2)</f>
        <v>-16.6632772124683</v>
      </c>
      <c r="AT18" s="0" t="n">
        <f aca="false">-AR18*AH18+AG18*AQ18</f>
        <v>-188353131.119989</v>
      </c>
      <c r="AU18" s="0" t="n">
        <f aca="false">AQ18*AH18+AG18*AR18</f>
        <v>-37276632089.9478</v>
      </c>
      <c r="AV18" s="0" t="n">
        <f aca="false">ATAN2(AT18,AU18)</f>
        <v>-1.57584913112887</v>
      </c>
      <c r="AW18" s="0" t="n">
        <f aca="false">AG18-AH18*AO18/_Rfb2+AG18*AN18/_Rfb2+AN18-AO18*AR18+AQ18*AN18</f>
        <v>31454585.1945601</v>
      </c>
      <c r="AX18" s="0" t="n">
        <f aca="false">AH18+AH18*AN18/_Rfb2+AG18*AO18/_Rfb2+AO18+AO18*AQ18+AN18*AR18</f>
        <v>-126897465.797909</v>
      </c>
      <c r="AY18" s="0" t="n">
        <f aca="false">ATAN2(AW18,AX18)</f>
        <v>-1.3278195831411</v>
      </c>
      <c r="BA18" s="0" t="n">
        <f aca="false">SQRT(AT18^2+AU18^2)/SQRT(AW18^2+AX18^2)</f>
        <v>285.128890496679</v>
      </c>
      <c r="BB18" s="0" t="n">
        <f aca="false">20*LOG(BA18)</f>
        <v>49.1008244828155</v>
      </c>
      <c r="BC18" s="0" t="n">
        <f aca="false">AV18-AY18</f>
        <v>-0.24802954798777</v>
      </c>
      <c r="BD18" s="0" t="n">
        <f aca="false">BC18*180/Pi-180</f>
        <v>-194.211046310475</v>
      </c>
      <c r="BF18" s="0" t="n">
        <f aca="false">20*LOG(BA18*J18*F18*C18)</f>
        <v>68.1193282734129</v>
      </c>
      <c r="BG18" s="0" t="n">
        <f aca="false">(180/Pi)*(D18+H18+BC18)</f>
        <v>-14.2193096516267</v>
      </c>
      <c r="BH18" s="0" t="n">
        <f aca="false">IF(BG18&gt;180,BG18-180,BG18+180)</f>
        <v>165.780690348373</v>
      </c>
      <c r="BI18" s="0" t="n">
        <f aca="false">IF(BH18&gt;180,BH18-360,BH18)</f>
        <v>165.780690348373</v>
      </c>
      <c r="BJ18" s="0" t="n">
        <f aca="false">SUM((BF19&lt;0)*(BF18&gt;0))*A18</f>
        <v>0</v>
      </c>
      <c r="BK18" s="0" t="n">
        <f aca="false">IF(BJ18&gt;0,BI18,0)</f>
        <v>0</v>
      </c>
      <c r="BM18" s="0" t="n">
        <f aca="false">20*LOG(J18*F18*C18)</f>
        <v>19.0185037905974</v>
      </c>
      <c r="BN18" s="0" t="n">
        <f aca="false">(H18+D18)*180/Pi</f>
        <v>-0.0082633411514049</v>
      </c>
      <c r="BQ18" s="347" t="n">
        <f aca="false">20*LOG(BA18*7)</f>
        <v>66.0027852831007</v>
      </c>
      <c r="BR18" s="351"/>
      <c r="BS18" s="351"/>
      <c r="BT18" s="351" t="n">
        <v>120.226</v>
      </c>
      <c r="BU18" s="351" t="n">
        <v>33.736</v>
      </c>
      <c r="BV18" s="351" t="n">
        <v>-269.9808</v>
      </c>
      <c r="BW18" s="349"/>
      <c r="BY18" s="351"/>
      <c r="BZ18" s="351"/>
      <c r="CA18" s="351"/>
      <c r="CC18" s="351"/>
    </row>
    <row r="19" customFormat="false" ht="12.75" hidden="false" customHeight="false" outlineLevel="0" collapsed="false">
      <c r="A19" s="0" t="n">
        <f aca="false">A10*10</f>
        <v>20</v>
      </c>
      <c r="B19" s="0" t="n">
        <f aca="false">A19/1000</f>
        <v>0.02</v>
      </c>
      <c r="C19" s="0" t="n">
        <f aca="false">SQRT((A19/Fesr)^2+1)</f>
        <v>1.00000000000001</v>
      </c>
      <c r="D19" s="0" t="n">
        <f aca="false">ATAN(A19/Fesr)</f>
        <v>1.25663705999999E-007</v>
      </c>
      <c r="F19" s="0" t="n">
        <f aca="false">(Ro/(Ro+Rdcr))/SQRT((A19/(Q*Fo))^2+(1-(A19^2/Fo^2))^2)</f>
        <v>0.992390814822618</v>
      </c>
      <c r="G19" s="0" t="n">
        <f aca="false">-ATAN(A19*Fo/(Q*(Fo^2-A19^2)))</f>
        <v>-0.000288570724118622</v>
      </c>
      <c r="H19" s="0" t="n">
        <f aca="false">IF(G19&gt;0,G19-Pi,G19)</f>
        <v>-0.000288570724118622</v>
      </c>
      <c r="J19" s="0" t="n">
        <f aca="false">Vin/Vramp</f>
        <v>9</v>
      </c>
      <c r="M19" s="0" t="n">
        <f aca="false">1/(2*Pi*_Rfb1*(Cc1ea_u+Cc2ea_u)*A19)</f>
        <v>294.731376432882</v>
      </c>
      <c r="N19" s="0" t="n">
        <f aca="false">-Pi/2</f>
        <v>-1.570796325</v>
      </c>
      <c r="O19" s="0" t="n">
        <f aca="false">SQRT(1+(A19/Fz1_u)^2)</f>
        <v>1.00000011935544</v>
      </c>
      <c r="P19" s="0" t="n">
        <f aca="false">ATAN2(Fz1_u,A19)</f>
        <v>0.00048858045005151</v>
      </c>
      <c r="Q19" s="0" t="n">
        <f aca="false">SQRT(1+(A19/Fz2_u)^2)</f>
        <v>1.14339919751443</v>
      </c>
      <c r="R19" s="0" t="n">
        <f aca="false">ATAN2(Fz2_u,A19)</f>
        <v>0.506216683757349</v>
      </c>
      <c r="S19" s="0" t="n">
        <f aca="false">1/SQRT(1+(A19/Fp1_u)^2)</f>
        <v>0.999998902097037</v>
      </c>
      <c r="T19" s="0" t="n">
        <f aca="false">-ATAN2(Fp1_u,A19)</f>
        <v>-0.00148182533655056</v>
      </c>
      <c r="U19" s="0" t="n">
        <f aca="false">1/SQRT(1+(A19/Fp2_u)^2)</f>
        <v>0.999999998526476</v>
      </c>
      <c r="V19" s="0" t="n">
        <f aca="false">-ATAN2(Fp2_u,A19)</f>
        <v>-5.42867209386715E-005</v>
      </c>
      <c r="X19" s="0" t="n">
        <f aca="false">20*LOG(C19*J19*O19*Q19*F19*M19*S19*U19)</f>
        <v>69.5709815033871</v>
      </c>
      <c r="Y19" s="0" t="n">
        <f aca="false">(180/Pi)*(D19+H19+N19+P19+R19+T19+V19)</f>
        <v>-61.0724662931364</v>
      </c>
      <c r="Z19" s="0" t="n">
        <f aca="false">Y19+180</f>
        <v>118.927533706864</v>
      </c>
      <c r="AC19" s="0" t="n">
        <v>1</v>
      </c>
      <c r="AD19" s="0" t="n">
        <f aca="false">Rcea1_u*Cc1ea_u*A19*2*Pi</f>
        <v>0.000488580488928</v>
      </c>
      <c r="AE19" s="0" t="n">
        <f aca="false">-Rcea1_u*Cc1ea_u*Cc2ea_u*(A19*2*Pi)^2</f>
        <v>-9.20952523769767E-012</v>
      </c>
      <c r="AF19" s="0" t="n">
        <f aca="false">(Cc2ea_u+Cc1ea_u)*A19*2*Pi</f>
        <v>1.696460031E-007</v>
      </c>
      <c r="AG19" s="0" t="n">
        <f aca="false">AC19*AE19/(AE19^2+AF19^2)+AD19*AF19/(AE19^2+AF19^2)</f>
        <v>2559.99999245556</v>
      </c>
      <c r="AH19" s="0" t="n">
        <f aca="false">AD19*AE19/(AE19^2+AF19^2)-AC19*AF19/(AE19^2+AF19^2)</f>
        <v>-5894627.66763165</v>
      </c>
      <c r="AJ19" s="0" t="n">
        <f aca="false">_Rfb1</f>
        <v>20000</v>
      </c>
      <c r="AK19" s="0" t="n">
        <f aca="false">_Rfb1*Rcea2_u*Cc3ea_u*A19*2*Pi</f>
        <v>29.63652842304</v>
      </c>
      <c r="AL19" s="0" t="n">
        <v>1</v>
      </c>
      <c r="AM19" s="0" t="n">
        <f aca="false">(_Rfb1+Rcea2_u)*Cc3ea_u*A19*2*Pi</f>
        <v>0.554402132821152</v>
      </c>
      <c r="AN19" s="0" t="n">
        <f aca="false">AJ19*AL19/(AL19^2+AM19^2)+AK19*AM19/(AL19^2+AM19^2)</f>
        <v>15310.5526754318</v>
      </c>
      <c r="AO19" s="0" t="n">
        <f aca="false">AK19*AL19/(AL19^2+AM19^2)-AJ19*AM19/(AL19^2+AM19^2)</f>
        <v>-8458.56652950692</v>
      </c>
      <c r="AQ19" s="0" t="n">
        <f aca="false">Eadcg/(1+(Eadcg*A19/GBP)^2)</f>
        <v>3161.64876737979</v>
      </c>
      <c r="AR19" s="0" t="n">
        <f aca="false">-(A19*Eadcg*Eadcg/GBP)/(1+(Eadcg*A19/GBP)^2)</f>
        <v>-33.323778008183</v>
      </c>
      <c r="AT19" s="0" t="n">
        <f aca="false">-AR19*AH19+AG19*AQ19</f>
        <v>-188337443.016411</v>
      </c>
      <c r="AU19" s="0" t="n">
        <f aca="false">AQ19*AH19+AG19*AR19</f>
        <v>-18636827608.4019</v>
      </c>
      <c r="AV19" s="0" t="n">
        <f aca="false">ATAN2(AT19,AU19)</f>
        <v>-1.58090164278998</v>
      </c>
      <c r="AW19" s="0" t="n">
        <f aca="false">AG19-AH19*AO19/_Rfb2+AG19*AN19/_Rfb2+AN19-AO19*AR19+AQ19*AN19</f>
        <v>25723181.778183</v>
      </c>
      <c r="AX19" s="0" t="n">
        <f aca="false">AH19+AH19*AN19/_Rfb2+AG19*AO19/_Rfb2+AO19+AO19*AQ19+AN19*AR19</f>
        <v>-73778555.7364279</v>
      </c>
      <c r="AY19" s="0" t="n">
        <f aca="false">ATAN2(AW19,AX19)</f>
        <v>-1.23532120152753</v>
      </c>
      <c r="BA19" s="0" t="n">
        <f aca="false">SQRT(AT19^2+AU19^2)/SQRT(AW19^2+AX19^2)</f>
        <v>238.535402866742</v>
      </c>
      <c r="BB19" s="0" t="n">
        <f aca="false">20*LOG(BA19)</f>
        <v>47.5510569026281</v>
      </c>
      <c r="BC19" s="0" t="n">
        <f aca="false">AV19-AY19</f>
        <v>-0.345580441262441</v>
      </c>
      <c r="BD19" s="0" t="n">
        <f aca="false">BC19*180/Pi-180</f>
        <v>-199.800300789232</v>
      </c>
      <c r="BF19" s="0" t="n">
        <f aca="false">20*LOG(BA19*J19*F19*C19)</f>
        <v>66.5695618106266</v>
      </c>
      <c r="BG19" s="0" t="n">
        <f aca="false">(180/Pi)*(D19+H19+BC19)</f>
        <v>-19.8168274738336</v>
      </c>
      <c r="BH19" s="0" t="n">
        <f aca="false">IF(BG19&gt;180,BG19-180,BG19+180)</f>
        <v>160.183172526166</v>
      </c>
      <c r="BI19" s="0" t="n">
        <f aca="false">IF(BH19&gt;180,BH19-360,BH19)</f>
        <v>160.183172526166</v>
      </c>
      <c r="BJ19" s="0" t="n">
        <f aca="false">SUM((BF20&lt;0)*(BF19&gt;0))*A19</f>
        <v>0</v>
      </c>
      <c r="BK19" s="0" t="n">
        <f aca="false">IF(BJ19&gt;0,BI19,0)</f>
        <v>0</v>
      </c>
      <c r="BM19" s="0" t="n">
        <f aca="false">20*LOG(J19*F19*C19)</f>
        <v>19.0185049079985</v>
      </c>
      <c r="BN19" s="0" t="n">
        <f aca="false">(H19+D19)*180/Pi</f>
        <v>-0.0165266846019238</v>
      </c>
      <c r="BQ19" s="347" t="n">
        <f aca="false">20*LOG(BA19*7)</f>
        <v>64.4530177029132</v>
      </c>
      <c r="BR19" s="351"/>
      <c r="BS19" s="351"/>
      <c r="BT19" s="351" t="n">
        <v>123.027</v>
      </c>
      <c r="BU19" s="351" t="n">
        <v>32.7649</v>
      </c>
      <c r="BV19" s="351" t="n">
        <v>-265.7341</v>
      </c>
      <c r="BW19" s="349"/>
      <c r="BY19" s="351"/>
      <c r="BZ19" s="351"/>
      <c r="CA19" s="351"/>
      <c r="CC19" s="351"/>
    </row>
    <row r="20" customFormat="false" ht="12.75" hidden="false" customHeight="false" outlineLevel="0" collapsed="false">
      <c r="A20" s="0" t="n">
        <f aca="false">A11*10</f>
        <v>30</v>
      </c>
      <c r="B20" s="0" t="n">
        <f aca="false">A20/1000</f>
        <v>0.03</v>
      </c>
      <c r="C20" s="0" t="n">
        <f aca="false">SQRT((A20/Fesr)^2+1)</f>
        <v>1.00000000000002</v>
      </c>
      <c r="D20" s="0" t="n">
        <f aca="false">ATAN(A20/Fesr)</f>
        <v>1.88495558999998E-007</v>
      </c>
      <c r="F20" s="0" t="n">
        <f aca="false">(Ro/(Ro+Rdcr))/SQRT((A20/(Q*Fo))^2+(1-(A20^2/Fo^2))^2)</f>
        <v>0.992391027600434</v>
      </c>
      <c r="G20" s="0" t="n">
        <f aca="false">-ATAN(A20*Fo/(Q*(Fo^2-A20^2)))</f>
        <v>-0.000432856186495737</v>
      </c>
      <c r="H20" s="0" t="n">
        <f aca="false">IF(G20&gt;0,G20-Pi,G20)</f>
        <v>-0.000432856186495737</v>
      </c>
      <c r="J20" s="0" t="n">
        <f aca="false">Vin/Vramp</f>
        <v>9</v>
      </c>
      <c r="M20" s="0" t="n">
        <f aca="false">1/(2*Pi*_Rfb1*(Cc1ea_u+Cc2ea_u)*A20)</f>
        <v>196.487584288588</v>
      </c>
      <c r="N20" s="0" t="n">
        <f aca="false">-Pi/2</f>
        <v>-1.570796325</v>
      </c>
      <c r="O20" s="0" t="n">
        <f aca="false">SQRT(1+(A20/Fz1_u)^2)</f>
        <v>1.00000026854972</v>
      </c>
      <c r="P20" s="0" t="n">
        <f aca="false">ATAN2(Fz1_u,A20)</f>
        <v>0.000732870602183871</v>
      </c>
      <c r="Q20" s="0" t="n">
        <f aca="false">SQRT(1+(A20/Fz2_u)^2)</f>
        <v>1.30060135359473</v>
      </c>
      <c r="R20" s="0" t="n">
        <f aca="false">ATAN2(Fz2_u,A20)</f>
        <v>0.693716344256466</v>
      </c>
      <c r="S20" s="0" t="n">
        <f aca="false">1/SQRT(1+(A20/Fp1_u)^2)</f>
        <v>0.999997529723418</v>
      </c>
      <c r="T20" s="0" t="n">
        <f aca="false">-ATAN2(Fp1_u,A20)</f>
        <v>-0.00222273597120418</v>
      </c>
      <c r="U20" s="0" t="n">
        <f aca="false">1/SQRT(1+(A20/Fp2_u)^2)</f>
        <v>0.999999996684571</v>
      </c>
      <c r="V20" s="0" t="n">
        <f aca="false">-ATAN2(Fp2_u,A20)</f>
        <v>-8.14300813080162E-005</v>
      </c>
      <c r="X20" s="0" t="n">
        <f aca="false">20*LOG(C20*J20*O20*Q20*F20*M20*S20*U20)</f>
        <v>67.1680739159839</v>
      </c>
      <c r="Y20" s="0" t="n">
        <f aca="false">(180/Pi)*(D20+H20+N20+P20+R20+T20+V20)</f>
        <v>-50.3677998798679</v>
      </c>
      <c r="Z20" s="0" t="n">
        <f aca="false">Y20+180</f>
        <v>129.632200120132</v>
      </c>
      <c r="AC20" s="0" t="n">
        <v>1</v>
      </c>
      <c r="AD20" s="0" t="n">
        <f aca="false">Rcea1_u*Cc1ea_u*A20*2*Pi</f>
        <v>0.000732870733392</v>
      </c>
      <c r="AE20" s="0" t="n">
        <f aca="false">-Rcea1_u*Cc1ea_u*Cc2ea_u*(A20*2*Pi)^2</f>
        <v>-2.07214317848198E-011</v>
      </c>
      <c r="AF20" s="0" t="n">
        <f aca="false">(Cc2ea_u+Cc1ea_u)*A20*2*Pi</f>
        <v>2.5446900465E-007</v>
      </c>
      <c r="AG20" s="0" t="n">
        <f aca="false">AC20*AE20/(AE20^2+AF20^2)+AD20*AF20/(AE20^2+AF20^2)</f>
        <v>2559.999983025</v>
      </c>
      <c r="AH20" s="0" t="n">
        <f aca="false">AD20*AE20/(AE20^2+AF20^2)-AC20*AF20/(AE20^2+AF20^2)</f>
        <v>-3929751.89423277</v>
      </c>
      <c r="AJ20" s="0" t="n">
        <f aca="false">_Rfb1</f>
        <v>20000</v>
      </c>
      <c r="AK20" s="0" t="n">
        <f aca="false">_Rfb1*Rcea2_u*Cc3ea_u*A20*2*Pi</f>
        <v>44.45479263456</v>
      </c>
      <c r="AL20" s="0" t="n">
        <v>1</v>
      </c>
      <c r="AM20" s="0" t="n">
        <f aca="false">(_Rfb1+Rcea2_u)*Cc3ea_u*A20*2*Pi</f>
        <v>0.831603199231728</v>
      </c>
      <c r="AN20" s="0" t="n">
        <f aca="false">AJ20*AL20/(AL20^2+AM20^2)+AK20*AM20/(AL20^2+AM20^2)</f>
        <v>11845.2332620493</v>
      </c>
      <c r="AO20" s="0" t="n">
        <f aca="false">AK20*AL20/(AL20^2+AM20^2)-AJ20*AM20/(AL20^2+AM20^2)</f>
        <v>-9806.07908373175</v>
      </c>
      <c r="AQ20" s="0" t="n">
        <f aca="false">Eadcg/(1+(Eadcg*A20/GBP)^2)</f>
        <v>3161.20983631803</v>
      </c>
      <c r="AR20" s="0" t="n">
        <f aca="false">-(A20*Eadcg*Eadcg/GBP)/(1+(Eadcg*A20/GBP)^2)</f>
        <v>-49.9787275121881</v>
      </c>
      <c r="AT20" s="0" t="n">
        <f aca="false">-AR20*AH20+AG20*AQ20</f>
        <v>-188311301.985052</v>
      </c>
      <c r="AU20" s="0" t="n">
        <f aca="false">AQ20*AH20+AG20*AR20</f>
        <v>-12422898287.8796</v>
      </c>
      <c r="AV20" s="0" t="n">
        <f aca="false">ATAN2(AT20,AU20)</f>
        <v>-1.58595356920289</v>
      </c>
      <c r="AW20" s="0" t="n">
        <f aca="false">AG20-AH20*AO20/_Rfb2+AG20*AN20/_Rfb2+AN20-AO20*AR20+AQ20*AN20</f>
        <v>19642267.4544246</v>
      </c>
      <c r="AX20" s="0" t="n">
        <f aca="false">AH20+AH20*AN20/_Rfb2+AG20*AO20/_Rfb2+AO20+AO20*AQ20+AN20*AR20</f>
        <v>-56488910.449199</v>
      </c>
      <c r="AY20" s="0" t="n">
        <f aca="false">ATAN2(AW20,AX20)</f>
        <v>-1.23615502213245</v>
      </c>
      <c r="BA20" s="0" t="n">
        <f aca="false">SQRT(AT20^2+AU20^2)/SQRT(AW20^2+AX20^2)</f>
        <v>207.742110396889</v>
      </c>
      <c r="BB20" s="0" t="n">
        <f aca="false">20*LOG(BA20)</f>
        <v>46.3504907837888</v>
      </c>
      <c r="BC20" s="0" t="n">
        <f aca="false">AV20-AY20</f>
        <v>-0.349798547070446</v>
      </c>
      <c r="BD20" s="0" t="n">
        <f aca="false">BC20*180/Pi-180</f>
        <v>-200.041980449846</v>
      </c>
      <c r="BF20" s="0" t="n">
        <f aca="false">20*LOG(BA20*J20*F20*C20)</f>
        <v>65.3689975541227</v>
      </c>
      <c r="BG20" s="0" t="n">
        <f aca="false">(180/Pi)*(D20+H20+BC20)</f>
        <v>-20.0667704824968</v>
      </c>
      <c r="BH20" s="0" t="n">
        <f aca="false">IF(BG20&gt;180,BG20-180,BG20+180)</f>
        <v>159.933229517503</v>
      </c>
      <c r="BI20" s="0" t="n">
        <f aca="false">IF(BH20&gt;180,BH20-360,BH20)</f>
        <v>159.933229517503</v>
      </c>
      <c r="BJ20" s="0" t="n">
        <f aca="false">SUM((BF21&lt;0)*(BF20&gt;0))*A20</f>
        <v>0</v>
      </c>
      <c r="BK20" s="0" t="n">
        <f aca="false">IF(BJ20&gt;0,BI20,0)</f>
        <v>0</v>
      </c>
      <c r="BM20" s="0" t="n">
        <f aca="false">20*LOG(J20*F20*C20)</f>
        <v>19.0185067703339</v>
      </c>
      <c r="BN20" s="0" t="n">
        <f aca="false">(H20+D20)*180/Pi</f>
        <v>-0.0247900326506725</v>
      </c>
      <c r="BQ20" s="347" t="n">
        <f aca="false">20*LOG(BA20*7)</f>
        <v>63.2524515840739</v>
      </c>
      <c r="BR20" s="352"/>
      <c r="BS20" s="352"/>
      <c r="BT20" s="352" t="n">
        <v>125.893</v>
      </c>
      <c r="BU20" s="352" t="n">
        <v>32.2472</v>
      </c>
      <c r="BV20" s="352" t="n">
        <v>-266.3711</v>
      </c>
      <c r="BW20" s="349"/>
      <c r="BY20" s="352"/>
      <c r="BZ20" s="352"/>
      <c r="CA20" s="352"/>
      <c r="CC20" s="352"/>
    </row>
    <row r="21" customFormat="false" ht="12.75" hidden="false" customHeight="false" outlineLevel="0" collapsed="false">
      <c r="A21" s="0" t="n">
        <f aca="false">A12*10</f>
        <v>40</v>
      </c>
      <c r="B21" s="0" t="n">
        <f aca="false">A21/1000</f>
        <v>0.04</v>
      </c>
      <c r="C21" s="0" t="n">
        <f aca="false">SQRT((A21/Fesr)^2+1)</f>
        <v>1.00000000000003</v>
      </c>
      <c r="D21" s="0" t="n">
        <f aca="false">ATAN(A21/Fesr)</f>
        <v>2.51327411999995E-007</v>
      </c>
      <c r="F21" s="0" t="n">
        <f aca="false">(Ro/(Ro+Rdcr))/SQRT((A21/(Q*Fo))^2+(1-(A21^2/Fo^2))^2)</f>
        <v>0.992391325489488</v>
      </c>
      <c r="G21" s="0" t="n">
        <f aca="false">-ATAN(A21*Fo/(Q*(Fo^2-A21^2)))</f>
        <v>-0.000577141769254306</v>
      </c>
      <c r="H21" s="0" t="n">
        <f aca="false">IF(G21&gt;0,G21-Pi,G21)</f>
        <v>-0.000577141769254306</v>
      </c>
      <c r="J21" s="0" t="n">
        <f aca="false">Vin/Vramp</f>
        <v>9</v>
      </c>
      <c r="M21" s="0" t="n">
        <f aca="false">1/(2*Pi*_Rfb1*(Cc1ea_u+Cc2ea_u)*A21)</f>
        <v>147.365688216441</v>
      </c>
      <c r="N21" s="0" t="n">
        <f aca="false">-Pi/2</f>
        <v>-1.570796325</v>
      </c>
      <c r="O21" s="0" t="n">
        <f aca="false">SQRT(1+(A21/Fz1_u)^2)</f>
        <v>1.00000047742167</v>
      </c>
      <c r="P21" s="0" t="n">
        <f aca="false">ATAN2(Fz1_u,A21)</f>
        <v>0.000977160666844217</v>
      </c>
      <c r="Q21" s="0" t="n">
        <f aca="false">SQRT(1+(A21/Fz2_u)^2)</f>
        <v>1.49313324907945</v>
      </c>
      <c r="R21" s="0" t="n">
        <f aca="false">ATAN2(Fz2_u,A21)</f>
        <v>0.836947694654938</v>
      </c>
      <c r="S21" s="0" t="n">
        <f aca="false">1/SQRT(1+(A21/Fp1_u)^2)</f>
        <v>0.999995608409845</v>
      </c>
      <c r="T21" s="0" t="n">
        <f aca="false">-ATAN2(Fp1_u,A21)</f>
        <v>-0.0029636441655268</v>
      </c>
      <c r="U21" s="0" t="n">
        <f aca="false">1/SQRT(1+(A21/Fp2_u)^2)</f>
        <v>0.999999994105904</v>
      </c>
      <c r="V21" s="0" t="n">
        <f aca="false">-ATAN2(Fp2_u,A21)</f>
        <v>-0.000108573441557372</v>
      </c>
      <c r="X21" s="0" t="n">
        <f aca="false">20*LOG(C21*J21*O21*Q21*F21*M21*S21*U21)</f>
        <v>65.8683741900613</v>
      </c>
      <c r="Y21" s="0" t="n">
        <f aca="false">(180/Pi)*(D21+H21+N21+P21+R21+T21+V21)</f>
        <v>-42.1995206765225</v>
      </c>
      <c r="Z21" s="0" t="n">
        <f aca="false">Y21+180</f>
        <v>137.800479323478</v>
      </c>
      <c r="AC21" s="0" t="n">
        <v>1</v>
      </c>
      <c r="AD21" s="0" t="n">
        <f aca="false">Rcea1_u*Cc1ea_u*A21*2*Pi</f>
        <v>0.000977160977856</v>
      </c>
      <c r="AE21" s="0" t="n">
        <f aca="false">-Rcea1_u*Cc1ea_u*Cc2ea_u*(A21*2*Pi)^2</f>
        <v>-3.68381009507907E-011</v>
      </c>
      <c r="AF21" s="0" t="n">
        <f aca="false">(Cc2ea_u+Cc1ea_u)*A21*2*Pi</f>
        <v>3.392920062E-007</v>
      </c>
      <c r="AG21" s="0" t="n">
        <f aca="false">AC21*AE21/(AE21^2+AF21^2)+AD21*AF21/(AE21^2+AF21^2)</f>
        <v>2559.99996982223</v>
      </c>
      <c r="AH21" s="0" t="n">
        <f aca="false">AD21*AE21/(AE21^2+AF21^2)-AC21*AF21/(AE21^2+AF21^2)</f>
        <v>-2947314.04227683</v>
      </c>
      <c r="AJ21" s="0" t="n">
        <f aca="false">_Rfb1</f>
        <v>20000</v>
      </c>
      <c r="AK21" s="0" t="n">
        <f aca="false">_Rfb1*Rcea2_u*Cc3ea_u*A21*2*Pi</f>
        <v>59.27305684608</v>
      </c>
      <c r="AL21" s="0" t="n">
        <v>1</v>
      </c>
      <c r="AM21" s="0" t="n">
        <f aca="false">(_Rfb1+Rcea2_u)*Cc3ea_u*A21*2*Pi</f>
        <v>1.1088042656423</v>
      </c>
      <c r="AN21" s="0" t="n">
        <f aca="false">AJ21*AL21/(AL21^2+AM21^2)+AK21*AM21/(AL21^2+AM21^2)</f>
        <v>9000.31403426098</v>
      </c>
      <c r="AO21" s="0" t="n">
        <f aca="false">AK21*AL21/(AL21^2+AM21^2)-AJ21*AM21/(AL21^2+AM21^2)</f>
        <v>-9920.31353646278</v>
      </c>
      <c r="AQ21" s="0" t="n">
        <f aca="false">Eadcg/(1+(Eadcg*A21/GBP)^2)</f>
        <v>3160.59553753913</v>
      </c>
      <c r="AR21" s="0" t="n">
        <f aca="false">-(A21*Eadcg*Eadcg/GBP)/(1+(Eadcg*A21/GBP)^2)</f>
        <v>-66.6253539313248</v>
      </c>
      <c r="AT21" s="0" t="n">
        <f aca="false">-AR21*AH21+AG21*AQ21</f>
        <v>-188274716.732737</v>
      </c>
      <c r="AU21" s="0" t="n">
        <f aca="false">AQ21*AH21+AG21*AR21</f>
        <v>-9315438170.65061</v>
      </c>
      <c r="AV21" s="0" t="n">
        <f aca="false">ATAN2(AT21,AU21)</f>
        <v>-1.59100461798727</v>
      </c>
      <c r="AW21" s="0" t="n">
        <f aca="false">AG21-AH21*AO21/_Rfb2+AG21*AN21/_Rfb2+AN21-AO21*AR21+AQ21*AN21</f>
        <v>14650110.9228963</v>
      </c>
      <c r="AX21" s="0" t="n">
        <f aca="false">AH21+AH21*AN21/_Rfb2+AG21*AO21/_Rfb2+AO21+AO21*AQ21+AN21*AR21</f>
        <v>-46859448.7313669</v>
      </c>
      <c r="AY21" s="0" t="n">
        <f aca="false">ATAN2(AW21,AX21)</f>
        <v>-1.26778444640454</v>
      </c>
      <c r="BA21" s="0" t="n">
        <f aca="false">SQRT(AT21^2+AU21^2)/SQRT(AW21^2+AX21^2)</f>
        <v>189.777349677977</v>
      </c>
      <c r="BB21" s="0" t="n">
        <f aca="false">20*LOG(BA21)</f>
        <v>45.5648875446629</v>
      </c>
      <c r="BC21" s="0" t="n">
        <f aca="false">AV21-AY21</f>
        <v>-0.323220171582735</v>
      </c>
      <c r="BD21" s="0" t="n">
        <f aca="false">BC21*180/Pi-180</f>
        <v>-198.519151706346</v>
      </c>
      <c r="BF21" s="0" t="n">
        <f aca="false">20*LOG(BA21*J21*F21*C21)</f>
        <v>64.5833969222666</v>
      </c>
      <c r="BG21" s="0" t="n">
        <f aca="false">(180/Pi)*(D21+H21+BC21)</f>
        <v>-18.552205093943</v>
      </c>
      <c r="BH21" s="0" t="n">
        <f aca="false">IF(BG21&gt;180,BG21-180,BG21+180)</f>
        <v>161.447794906057</v>
      </c>
      <c r="BI21" s="0" t="n">
        <f aca="false">IF(BH21&gt;180,BH21-360,BH21)</f>
        <v>161.447794906057</v>
      </c>
      <c r="BJ21" s="0" t="n">
        <f aca="false">SUM((BF22&lt;0)*(BF21&gt;0))*A21</f>
        <v>0</v>
      </c>
      <c r="BK21" s="0" t="n">
        <f aca="false">IF(BJ21&gt;0,BI21,0)</f>
        <v>0</v>
      </c>
      <c r="BM21" s="0" t="n">
        <f aca="false">20*LOG(J21*F21*C21)</f>
        <v>19.0185093776037</v>
      </c>
      <c r="BN21" s="0" t="n">
        <f aca="false">(H21+D21)*180/Pi</f>
        <v>-0.0330533875967704</v>
      </c>
      <c r="BQ21" s="347" t="n">
        <f aca="false">20*LOG(BA21*7)</f>
        <v>62.4668483449481</v>
      </c>
      <c r="BR21" s="352"/>
      <c r="BS21" s="352"/>
      <c r="BT21" s="352" t="n">
        <v>128.825</v>
      </c>
      <c r="BU21" s="352" t="n">
        <v>32.3142</v>
      </c>
      <c r="BV21" s="352" t="n">
        <v>-268.0596</v>
      </c>
      <c r="BW21" s="349"/>
      <c r="BY21" s="352"/>
      <c r="BZ21" s="352"/>
      <c r="CA21" s="352"/>
      <c r="CC21" s="352"/>
    </row>
    <row r="22" customFormat="false" ht="12.75" hidden="false" customHeight="false" outlineLevel="0" collapsed="false">
      <c r="A22" s="0" t="n">
        <f aca="false">A13*10</f>
        <v>50</v>
      </c>
      <c r="B22" s="0" t="n">
        <f aca="false">A22/1000</f>
        <v>0.05</v>
      </c>
      <c r="C22" s="0" t="n">
        <f aca="false">SQRT((A22/Fesr)^2+1)</f>
        <v>1.00000000000005</v>
      </c>
      <c r="D22" s="0" t="n">
        <f aca="false">ATAN(A22/Fesr)</f>
        <v>3.1415926499999E-007</v>
      </c>
      <c r="F22" s="0" t="n">
        <f aca="false">(Ro/(Ro+Rdcr))/SQRT((A22/(Q*Fo))^2+(1-(A22^2/Fo^2))^2)</f>
        <v>0.992391708489891</v>
      </c>
      <c r="G22" s="0" t="n">
        <f aca="false">-ATAN(A22*Fo/(Q*(Fo^2-A22^2)))</f>
        <v>-0.000721427512521625</v>
      </c>
      <c r="H22" s="0" t="n">
        <f aca="false">IF(G22&gt;0,G22-Pi,G22)</f>
        <v>-0.000721427512521625</v>
      </c>
      <c r="J22" s="0" t="n">
        <f aca="false">Vin/Vramp</f>
        <v>9</v>
      </c>
      <c r="M22" s="0" t="n">
        <f aca="false">1/(2*Pi*_Rfb1*(Cc1ea_u+Cc2ea_u)*A22)</f>
        <v>117.892550573153</v>
      </c>
      <c r="N22" s="0" t="n">
        <f aca="false">-Pi/2</f>
        <v>-1.570796325</v>
      </c>
      <c r="O22" s="0" t="n">
        <f aca="false">SQRT(1+(A22/Fz1_u)^2)</f>
        <v>1.00000074597127</v>
      </c>
      <c r="P22" s="0" t="n">
        <f aca="false">ATAN2(Fz1_u,A22)</f>
        <v>0.00122145061487531</v>
      </c>
      <c r="Q22" s="0" t="n">
        <f aca="false">SQRT(1+(A22/Fz2_u)^2)</f>
        <v>1.70909648074034</v>
      </c>
      <c r="R22" s="0" t="n">
        <f aca="false">ATAN2(Fz2_u,A22)</f>
        <v>0.945787445236535</v>
      </c>
      <c r="S22" s="0" t="n">
        <f aca="false">1/SQRT(1+(A22/Fp1_u)^2)</f>
        <v>0.999993138165808</v>
      </c>
      <c r="T22" s="0" t="n">
        <f aca="false">-ATAN2(Fp1_u,A22)</f>
        <v>-0.00370454910609978</v>
      </c>
      <c r="U22" s="0" t="n">
        <f aca="false">1/SQRT(1+(A22/Fp2_u)^2)</f>
        <v>0.999999990790475</v>
      </c>
      <c r="V22" s="0" t="n">
        <f aca="false">-ATAN2(Fp2_u,A22)</f>
        <v>-0.000135716801646742</v>
      </c>
      <c r="X22" s="0" t="n">
        <f aca="false">20*LOG(C22*J22*O22*Q22*F22*M22*S22*U22)</f>
        <v>65.1035183988903</v>
      </c>
      <c r="Y22" s="0" t="n">
        <f aca="false">(180/Pi)*(D22+H22+N22+P22+R22+T22+V22)</f>
        <v>-36.001734825082</v>
      </c>
      <c r="Z22" s="0" t="n">
        <f aca="false">Y22+180</f>
        <v>143.998265174918</v>
      </c>
      <c r="AC22" s="0" t="n">
        <v>1</v>
      </c>
      <c r="AD22" s="0" t="n">
        <f aca="false">Rcea1_u*Cc1ea_u*A22*2*Pi</f>
        <v>0.00122145122232</v>
      </c>
      <c r="AE22" s="0" t="n">
        <f aca="false">-Rcea1_u*Cc1ea_u*Cc2ea_u*(A22*2*Pi)^2</f>
        <v>-5.75595327356104E-011</v>
      </c>
      <c r="AF22" s="0" t="n">
        <f aca="false">(Cc2ea_u+Cc1ea_u)*A22*2*Pi</f>
        <v>4.2411500775E-007</v>
      </c>
      <c r="AG22" s="0" t="n">
        <f aca="false">AC22*AE22/(AE22^2+AF22^2)+AD22*AF22/(AE22^2+AF22^2)</f>
        <v>2559.99995284723</v>
      </c>
      <c r="AH22" s="0" t="n">
        <f aca="false">AD22*AE22/(AE22^2+AF22^2)-AC22*AF22/(AE22^2+AF22^2)</f>
        <v>-2357851.35889807</v>
      </c>
      <c r="AJ22" s="0" t="n">
        <f aca="false">_Rfb1</f>
        <v>20000</v>
      </c>
      <c r="AK22" s="0" t="n">
        <f aca="false">_Rfb1*Rcea2_u*Cc3ea_u*A22*2*Pi</f>
        <v>74.0913210576</v>
      </c>
      <c r="AL22" s="0" t="n">
        <v>1</v>
      </c>
      <c r="AM22" s="0" t="n">
        <f aca="false">(_Rfb1+Rcea2_u)*Cc3ea_u*A22*2*Pi</f>
        <v>1.38600533205288</v>
      </c>
      <c r="AN22" s="0" t="n">
        <f aca="false">AJ22*AL22/(AL22^2+AM22^2)+AK22*AM22/(AL22^2+AM22^2)</f>
        <v>6882.10091533728</v>
      </c>
      <c r="AO22" s="0" t="n">
        <f aca="false">AK22*AL22/(AL22^2+AM22^2)-AJ22*AM22/(AL22^2+AM22^2)</f>
        <v>-9464.53724332587</v>
      </c>
      <c r="AQ22" s="0" t="n">
        <f aca="false">Eadcg/(1+(Eadcg*A22/GBP)^2)</f>
        <v>3159.80607554611</v>
      </c>
      <c r="AR22" s="0" t="n">
        <f aca="false">-(A22*Eadcg*Eadcg/GBP)/(1+(Eadcg*A22/GBP)^2)</f>
        <v>-83.26089009064</v>
      </c>
      <c r="AT22" s="0" t="n">
        <f aca="false">-AR22*AH22+AG22*AQ22</f>
        <v>-188227699.438874</v>
      </c>
      <c r="AU22" s="0" t="n">
        <f aca="false">AQ22*AH22+AG22*AR22</f>
        <v>-7450566196.95547</v>
      </c>
      <c r="AV22" s="0" t="n">
        <f aca="false">ATAN2(AT22,AU22)</f>
        <v>-1.59605449705503</v>
      </c>
      <c r="AW22" s="0" t="n">
        <f aca="false">AG22-AH22*AO22/_Rfb2+AG22*AN22/_Rfb2+AN22-AO22*AR22+AQ22*AN22</f>
        <v>10933261.3703727</v>
      </c>
      <c r="AX22" s="0" t="n">
        <f aca="false">AH22+AH22*AN22/_Rfb2+AG22*AO22/_Rfb2+AO22+AO22*AQ22+AN22*AR22</f>
        <v>-40159468.1223287</v>
      </c>
      <c r="AY22" s="0" t="n">
        <f aca="false">ATAN2(AW22,AX22)</f>
        <v>-1.30499212827526</v>
      </c>
      <c r="BA22" s="0" t="n">
        <f aca="false">SQRT(AT22^2+AU22^2)/SQRT(AW22^2+AX22^2)</f>
        <v>179.066309104644</v>
      </c>
      <c r="BB22" s="0" t="n">
        <f aca="false">20*LOG(BA22)</f>
        <v>45.0602776414559</v>
      </c>
      <c r="BC22" s="0" t="n">
        <f aca="false">AV22-AY22</f>
        <v>-0.291062368779776</v>
      </c>
      <c r="BD22" s="0" t="n">
        <f aca="false">BC22*180/Pi-180</f>
        <v>-196.676645325217</v>
      </c>
      <c r="BF22" s="0" t="n">
        <f aca="false">20*LOG(BA22*J22*F22*C22)</f>
        <v>64.0787903712642</v>
      </c>
      <c r="BG22" s="0" t="n">
        <f aca="false">(180/Pi)*(D22+H22+BC22)</f>
        <v>-16.7179620769567</v>
      </c>
      <c r="BH22" s="0" t="n">
        <f aca="false">IF(BG22&gt;180,BG22-180,BG22+180)</f>
        <v>163.282037923043</v>
      </c>
      <c r="BI22" s="0" t="n">
        <f aca="false">IF(BH22&gt;180,BH22-360,BH22)</f>
        <v>163.282037923043</v>
      </c>
      <c r="BJ22" s="0" t="n">
        <f aca="false">SUM((BF23&lt;0)*(BF22&gt;0))*A22</f>
        <v>0</v>
      </c>
      <c r="BK22" s="0" t="n">
        <f aca="false">IF(BJ22&gt;0,BI22,0)</f>
        <v>0</v>
      </c>
      <c r="BM22" s="0" t="n">
        <f aca="false">20*LOG(J22*F22*C22)</f>
        <v>19.0185127298083</v>
      </c>
      <c r="BN22" s="0" t="n">
        <f aca="false">(H22+D22)*180/Pi</f>
        <v>-0.0413167517393423</v>
      </c>
      <c r="BQ22" s="347" t="n">
        <f aca="false">20*LOG(BA22*7)</f>
        <v>61.9622384417411</v>
      </c>
      <c r="BR22" s="351"/>
      <c r="BS22" s="351"/>
      <c r="BT22" s="351" t="n">
        <v>131.826</v>
      </c>
      <c r="BU22" s="351" t="n">
        <v>32.1558</v>
      </c>
      <c r="BV22" s="351" t="n">
        <v>-263.3605</v>
      </c>
      <c r="BW22" s="349"/>
      <c r="BY22" s="351"/>
      <c r="BZ22" s="351"/>
      <c r="CA22" s="351"/>
      <c r="CC22" s="351"/>
    </row>
    <row r="23" customFormat="false" ht="12.75" hidden="false" customHeight="false" outlineLevel="0" collapsed="false">
      <c r="A23" s="0" t="n">
        <f aca="false">A14*10</f>
        <v>60</v>
      </c>
      <c r="B23" s="0" t="n">
        <f aca="false">A23/1000</f>
        <v>0.06</v>
      </c>
      <c r="C23" s="0" t="n">
        <f aca="false">SQRT((A23/Fesr)^2+1)</f>
        <v>1.00000000000007</v>
      </c>
      <c r="D23" s="0" t="n">
        <f aca="false">ATAN(A23/Fesr)</f>
        <v>3.76991117999982E-007</v>
      </c>
      <c r="F23" s="0" t="n">
        <f aca="false">(Ro/(Ro+Rdcr))/SQRT((A23/(Q*Fo))^2+(1-(A23^2/Fo^2))^2)</f>
        <v>0.992392176601788</v>
      </c>
      <c r="G23" s="0" t="n">
        <f aca="false">-ATAN(A23*Fo/(Q*(Fo^2-A23^2)))</f>
        <v>-0.000865713456425119</v>
      </c>
      <c r="H23" s="0" t="n">
        <f aca="false">IF(G23&gt;0,G23-Pi,G23)</f>
        <v>-0.000865713456425119</v>
      </c>
      <c r="J23" s="0" t="n">
        <f aca="false">Vin/Vramp</f>
        <v>9</v>
      </c>
      <c r="M23" s="0" t="n">
        <f aca="false">1/(2*Pi*_Rfb1*(Cc1ea_u+Cc2ea_u)*A23)</f>
        <v>98.2437921442941</v>
      </c>
      <c r="N23" s="0" t="n">
        <f aca="false">-Pi/2</f>
        <v>-1.570796325</v>
      </c>
      <c r="O23" s="0" t="n">
        <f aca="false">SQRT(1+(A23/Fz1_u)^2)</f>
        <v>1.00000107419845</v>
      </c>
      <c r="P23" s="0" t="n">
        <f aca="false">ATAN2(Fz1_u,A23)</f>
        <v>0.00146574041711998</v>
      </c>
      <c r="Q23" s="0" t="n">
        <f aca="false">SQRT(1+(A23/Fz2_u)^2)</f>
        <v>1.94068429268899</v>
      </c>
      <c r="R23" s="0" t="n">
        <f aca="false">ATAN2(Fz2_u,A23)</f>
        <v>1.02945947301164</v>
      </c>
      <c r="S23" s="0" t="n">
        <f aca="false">1/SQRT(1+(A23/Fp1_u)^2)</f>
        <v>0.999990119003512</v>
      </c>
      <c r="T23" s="0" t="n">
        <f aca="false">-ATAN2(Fp1_u,A23)</f>
        <v>-0.00444544997952587</v>
      </c>
      <c r="U23" s="0" t="n">
        <f aca="false">1/SQRT(1+(A23/Fp2_u)^2)</f>
        <v>0.999999986738284</v>
      </c>
      <c r="V23" s="0" t="n">
        <f aca="false">-ATAN2(Fp2_u,A23)</f>
        <v>-0.00016286016153613</v>
      </c>
      <c r="X23" s="0" t="n">
        <f aca="false">20*LOG(C23*J23*O23*Q23*F23*M23*S23*U23)</f>
        <v>64.6236403848904</v>
      </c>
      <c r="Y23" s="0" t="n">
        <f aca="false">(180/Pi)*(D23+H23+N23+P23+R23+T23+V23)</f>
        <v>-31.2459530588633</v>
      </c>
      <c r="Z23" s="0" t="n">
        <f aca="false">Y23+180</f>
        <v>148.754046941137</v>
      </c>
      <c r="AC23" s="0" t="n">
        <v>1</v>
      </c>
      <c r="AD23" s="0" t="n">
        <f aca="false">Rcea1_u*Cc1ea_u*A23*2*Pi</f>
        <v>0.001465741466784</v>
      </c>
      <c r="AE23" s="0" t="n">
        <f aca="false">-Rcea1_u*Cc1ea_u*Cc2ea_u*(A23*2*Pi)^2</f>
        <v>-8.2885727139279E-011</v>
      </c>
      <c r="AF23" s="0" t="n">
        <f aca="false">(Cc2ea_u+Cc1ea_u)*A23*2*Pi</f>
        <v>5.089380093E-007</v>
      </c>
      <c r="AG23" s="0" t="n">
        <f aca="false">AC23*AE23/(AE23^2+AF23^2)+AD23*AF23/(AE23^2+AF23^2)</f>
        <v>2559.99993210001</v>
      </c>
      <c r="AH23" s="0" t="n">
        <f aca="false">AD23*AE23/(AE23^2+AF23^2)-AC23*AF23/(AE23^2+AF23^2)</f>
        <v>-1964876.25980789</v>
      </c>
      <c r="AJ23" s="0" t="n">
        <f aca="false">_Rfb1</f>
        <v>20000</v>
      </c>
      <c r="AK23" s="0" t="n">
        <f aca="false">_Rfb1*Rcea2_u*Cc3ea_u*A23*2*Pi</f>
        <v>88.90958526912</v>
      </c>
      <c r="AL23" s="0" t="n">
        <v>1</v>
      </c>
      <c r="AM23" s="0" t="n">
        <f aca="false">(_Rfb1+Rcea2_u)*Cc3ea_u*A23*2*Pi</f>
        <v>1.66320639846346</v>
      </c>
      <c r="AN23" s="0" t="n">
        <f aca="false">AJ23*AL23/(AL23^2+AM23^2)+AK23*AM23/(AL23^2+AM23^2)</f>
        <v>5349.57728260977</v>
      </c>
      <c r="AO23" s="0" t="n">
        <f aca="false">AK23*AL23/(AL23^2+AM23^2)-AJ23*AM23/(AL23^2+AM23^2)</f>
        <v>-8808.5415802422</v>
      </c>
      <c r="AQ23" s="0" t="n">
        <f aca="false">Eadcg/(1+(Eadcg*A23/GBP)^2)</f>
        <v>3158.84171297963</v>
      </c>
      <c r="AR23" s="0" t="n">
        <f aca="false">-(A23*Eadcg*Eadcg/GBP)/(1+(Eadcg*A23/GBP)^2)</f>
        <v>-99.8825749644157</v>
      </c>
      <c r="AT23" s="0" t="n">
        <f aca="false">-AR23*AH23+AG23*AQ23</f>
        <v>-188170265.74532</v>
      </c>
      <c r="AU23" s="0" t="n">
        <f aca="false">AQ23*AH23+AG23*AR23</f>
        <v>-6206988789.70967</v>
      </c>
      <c r="AV23" s="0" t="n">
        <f aca="false">ATAN2(AT23,AU23)</f>
        <v>-1.6011029147074</v>
      </c>
      <c r="AW23" s="0" t="n">
        <f aca="false">AG23-AH23*AO23/_Rfb2+AG23*AN23/_Rfb2+AN23-AO23*AR23+AQ23*AN23</f>
        <v>8244257.9369342</v>
      </c>
      <c r="AX23" s="0" t="n">
        <f aca="false">AH23+AH23*AN23/_Rfb2+AG23*AO23/_Rfb2+AO23+AO23*AQ23+AN23*AR23</f>
        <v>-35073016.2003355</v>
      </c>
      <c r="AY23" s="0" t="n">
        <f aca="false">ATAN2(AW23,AX23)</f>
        <v>-1.33992764912088</v>
      </c>
      <c r="BA23" s="0" t="n">
        <f aca="false">SQRT(AT23^2+AU23^2)/SQRT(AW23^2+AX23^2)</f>
        <v>172.35702845803</v>
      </c>
      <c r="BB23" s="0" t="n">
        <f aca="false">20*LOG(BA23)</f>
        <v>44.728579959498</v>
      </c>
      <c r="BC23" s="0" t="n">
        <f aca="false">AV23-AY23</f>
        <v>-0.26117526558652</v>
      </c>
      <c r="BD23" s="0" t="n">
        <f aca="false">BC23*180/Pi-180</f>
        <v>-194.964240448415</v>
      </c>
      <c r="BF23" s="0" t="n">
        <f aca="false">20*LOG(BA23*J23*F23*C23)</f>
        <v>63.747096786446</v>
      </c>
      <c r="BG23" s="0" t="n">
        <f aca="false">(180/Pi)*(D23+H23+BC23)</f>
        <v>-15.0138205757926</v>
      </c>
      <c r="BH23" s="0" t="n">
        <f aca="false">IF(BG23&gt;180,BG23-180,BG23+180)</f>
        <v>164.986179424207</v>
      </c>
      <c r="BI23" s="0" t="n">
        <f aca="false">IF(BH23&gt;180,BH23-360,BH23)</f>
        <v>164.986179424207</v>
      </c>
      <c r="BJ23" s="0" t="n">
        <f aca="false">SUM((BF24&lt;0)*(BF23&gt;0))*A23</f>
        <v>0</v>
      </c>
      <c r="BK23" s="0" t="n">
        <f aca="false">IF(BJ23&gt;0,BI23,0)</f>
        <v>0</v>
      </c>
      <c r="BM23" s="0" t="n">
        <f aca="false">20*LOG(J23*F23*C23)</f>
        <v>19.018516826948</v>
      </c>
      <c r="BN23" s="0" t="n">
        <f aca="false">(H23+D23)*180/Pi</f>
        <v>-0.0495801273775203</v>
      </c>
      <c r="BQ23" s="347" t="n">
        <f aca="false">20*LOG(BA23*7)</f>
        <v>61.6305407597831</v>
      </c>
      <c r="BR23" s="350"/>
      <c r="BS23" s="350"/>
      <c r="BT23" s="350" t="n">
        <v>134.896</v>
      </c>
      <c r="BU23" s="350" t="n">
        <v>32.8753</v>
      </c>
      <c r="BV23" s="350" t="n">
        <v>-269.4654</v>
      </c>
      <c r="BW23" s="349"/>
      <c r="BY23" s="350"/>
      <c r="BZ23" s="350"/>
      <c r="CA23" s="350"/>
      <c r="CC23" s="350"/>
    </row>
    <row r="24" customFormat="false" ht="12.75" hidden="false" customHeight="false" outlineLevel="0" collapsed="false">
      <c r="A24" s="0" t="n">
        <f aca="false">A15*10</f>
        <v>70</v>
      </c>
      <c r="B24" s="0" t="n">
        <f aca="false">A24/1000</f>
        <v>0.07</v>
      </c>
      <c r="C24" s="0" t="n">
        <f aca="false">SQRT((A24/Fesr)^2+1)</f>
        <v>1.0000000000001</v>
      </c>
      <c r="D24" s="0" t="n">
        <f aca="false">ATAN(A24/Fesr)</f>
        <v>4.39822970999972E-007</v>
      </c>
      <c r="F24" s="0" t="n">
        <f aca="false">(Ro/(Ro+Rdcr))/SQRT((A24/(Q*Fo))^2+(1-(A24^2/Fo^2))^2)</f>
        <v>0.992392729825352</v>
      </c>
      <c r="G24" s="0" t="n">
        <f aca="false">-ATAN(A24*Fo/(Q*(Fo^2-A24^2)))</f>
        <v>-0.00100999964109237</v>
      </c>
      <c r="H24" s="0" t="n">
        <f aca="false">IF(G24&gt;0,G24-Pi,G24)</f>
        <v>-0.00100999964109237</v>
      </c>
      <c r="J24" s="0" t="n">
        <f aca="false">Vin/Vramp</f>
        <v>9</v>
      </c>
      <c r="M24" s="0" t="n">
        <f aca="false">1/(2*Pi*_Rfb1*(Cc1ea_u+Cc2ea_u)*A24)</f>
        <v>84.2089646951092</v>
      </c>
      <c r="N24" s="0" t="n">
        <f aca="false">-Pi/2</f>
        <v>-1.570796325</v>
      </c>
      <c r="O24" s="0" t="n">
        <f aca="false">SQRT(1+(A24/Fz1_u)^2)</f>
        <v>1.00000146210316</v>
      </c>
      <c r="P24" s="0" t="n">
        <f aca="false">ATAN2(Fz1_u,A24)</f>
        <v>0.0017100300444212</v>
      </c>
      <c r="Q24" s="0" t="n">
        <f aca="false">SQRT(1+(A24/Fz2_u)^2)</f>
        <v>2.1829294834554</v>
      </c>
      <c r="R24" s="0" t="n">
        <f aca="false">ATAN2(Fz2_u,A24)</f>
        <v>1.09493977829618</v>
      </c>
      <c r="S24" s="0" t="n">
        <f aca="false">1/SQRT(1+(A24/Fp1_u)^2)</f>
        <v>0.999986550937873</v>
      </c>
      <c r="T24" s="0" t="n">
        <f aca="false">-ATAN2(Fp1_u,A24)</f>
        <v>-0.00518634597243465</v>
      </c>
      <c r="U24" s="0" t="n">
        <f aca="false">1/SQRT(1+(A24/Fp2_u)^2)</f>
        <v>0.999999981949331</v>
      </c>
      <c r="V24" s="0" t="n">
        <f aca="false">-ATAN2(Fp2_u,A24)</f>
        <v>-0.00019000352118554</v>
      </c>
      <c r="X24" s="0" t="n">
        <f aca="false">20*LOG(C24*J24*O24*Q24*F24*M24*S24*U24)</f>
        <v>64.3063780862942</v>
      </c>
      <c r="Y24" s="0" t="n">
        <f aca="false">(180/Pi)*(D24+H24+N24+P24+R24+T24+V24)</f>
        <v>-27.5324799587895</v>
      </c>
      <c r="Z24" s="0" t="n">
        <f aca="false">Y24+180</f>
        <v>152.46752004121</v>
      </c>
      <c r="AC24" s="0" t="n">
        <v>1</v>
      </c>
      <c r="AD24" s="0" t="n">
        <f aca="false">Rcea1_u*Cc1ea_u*A24*2*Pi</f>
        <v>0.001710031711248</v>
      </c>
      <c r="AE24" s="0" t="n">
        <f aca="false">-Rcea1_u*Cc1ea_u*Cc2ea_u*(A24*2*Pi)^2</f>
        <v>-1.12816684161796E-010</v>
      </c>
      <c r="AF24" s="0" t="n">
        <f aca="false">(Cc2ea_u+Cc1ea_u)*A24*2*Pi</f>
        <v>5.9376101085E-007</v>
      </c>
      <c r="AG24" s="0" t="n">
        <f aca="false">AC24*AE24/(AE24^2+AF24^2)+AD24*AF24/(AE24^2+AF24^2)</f>
        <v>2559.99990758058</v>
      </c>
      <c r="AH24" s="0" t="n">
        <f aca="false">AD24*AE24/(AE24^2+AF24^2)-AC24*AF24/(AE24^2+AF24^2)</f>
        <v>-1684179.78031119</v>
      </c>
      <c r="AJ24" s="0" t="n">
        <f aca="false">_Rfb1</f>
        <v>20000</v>
      </c>
      <c r="AK24" s="0" t="n">
        <f aca="false">_Rfb1*Rcea2_u*Cc3ea_u*A24*2*Pi</f>
        <v>103.72784948064</v>
      </c>
      <c r="AL24" s="0" t="n">
        <v>1</v>
      </c>
      <c r="AM24" s="0" t="n">
        <f aca="false">(_Rfb1+Rcea2_u)*Cc3ea_u*A24*2*Pi</f>
        <v>1.94040746487403</v>
      </c>
      <c r="AN24" s="0" t="n">
        <f aca="false">AJ24*AL24/(AL24^2+AM24^2)+AK24*AM24/(AL24^2+AM24^2)</f>
        <v>4239.35077039865</v>
      </c>
      <c r="AO24" s="0" t="n">
        <f aca="false">AK24*AL24/(AL24^2+AM24^2)-AJ24*AM24/(AL24^2+AM24^2)</f>
        <v>-8122.34003162038</v>
      </c>
      <c r="AQ24" s="0" t="n">
        <f aca="false">Eadcg/(1+(Eadcg*A24/GBP)^2)</f>
        <v>3157.70277039967</v>
      </c>
      <c r="AR24" s="0" t="n">
        <f aca="false">-(A24*Eadcg*Eadcg/GBP)/(1+(Eadcg*A24/GBP)^2)</f>
        <v>-116.487655200044</v>
      </c>
      <c r="AT24" s="0" t="n">
        <f aca="false">-AR24*AH24+AG24*AQ24</f>
        <v>-188102434.743385</v>
      </c>
      <c r="AU24" s="0" t="n">
        <f aca="false">AQ24*AH24+AG24*AR24</f>
        <v>-5318437366.52629</v>
      </c>
      <c r="AV24" s="0" t="n">
        <f aca="false">ATAN2(AT24,AU24)</f>
        <v>-1.60614957973166</v>
      </c>
      <c r="AW24" s="0" t="n">
        <f aca="false">AG24-AH24*AO24/_Rfb2+AG24*AN24/_Rfb2+AN24-AO24*AR24+AQ24*AN24</f>
        <v>6296374.02742183</v>
      </c>
      <c r="AX24" s="0" t="n">
        <f aca="false">AH24+AH24*AN24/_Rfb2+AG24*AO24/_Rfb2+AO24+AO24*AQ24+AN24*AR24</f>
        <v>-31056349.6886299</v>
      </c>
      <c r="AY24" s="0" t="n">
        <f aca="false">ATAN2(AW24,AX24)</f>
        <v>-1.37076724541222</v>
      </c>
      <c r="BA24" s="0" t="n">
        <f aca="false">SQRT(AT24^2+AU24^2)/SQRT(AW24^2+AX24^2)</f>
        <v>167.941534965667</v>
      </c>
      <c r="BB24" s="0" t="n">
        <f aca="false">20*LOG(BA24)</f>
        <v>44.5031623653577</v>
      </c>
      <c r="BC24" s="0" t="n">
        <f aca="false">AV24-AY24</f>
        <v>-0.235382334319443</v>
      </c>
      <c r="BD24" s="0" t="n">
        <f aca="false">BC24*180/Pi-180</f>
        <v>-193.486414343852</v>
      </c>
      <c r="BF24" s="0" t="n">
        <f aca="false">20*LOG(BA24*J24*F24*C24)</f>
        <v>63.5216840343811</v>
      </c>
      <c r="BG24" s="0" t="n">
        <f aca="false">(180/Pi)*(D24+H24+BC24)</f>
        <v>-13.5442578606623</v>
      </c>
      <c r="BH24" s="0" t="n">
        <f aca="false">IF(BG24&gt;180,BG24-180,BG24+180)</f>
        <v>166.455742139338</v>
      </c>
      <c r="BI24" s="0" t="n">
        <f aca="false">IF(BH24&gt;180,BH24-360,BH24)</f>
        <v>166.455742139338</v>
      </c>
      <c r="BJ24" s="0" t="n">
        <f aca="false">SUM((BF25&lt;0)*(BF24&gt;0))*A24</f>
        <v>0</v>
      </c>
      <c r="BK24" s="0" t="n">
        <f aca="false">IF(BJ24&gt;0,BI24,0)</f>
        <v>0</v>
      </c>
      <c r="BM24" s="0" t="n">
        <f aca="false">20*LOG(J24*F24*C24)</f>
        <v>19.0185216690234</v>
      </c>
      <c r="BN24" s="0" t="n">
        <f aca="false">(H24+D24)*180/Pi</f>
        <v>-0.0578435168104453</v>
      </c>
      <c r="BQ24" s="347" t="n">
        <f aca="false">20*LOG(BA24*7)</f>
        <v>61.4051231656429</v>
      </c>
      <c r="BR24" s="350"/>
      <c r="BS24" s="350"/>
      <c r="BT24" s="350" t="n">
        <v>138.038</v>
      </c>
      <c r="BU24" s="350" t="n">
        <v>32.5387</v>
      </c>
      <c r="BV24" s="350" t="n">
        <v>-267.9507</v>
      </c>
      <c r="BW24" s="349"/>
      <c r="BY24" s="350"/>
      <c r="BZ24" s="350"/>
      <c r="CA24" s="350"/>
      <c r="CC24" s="350"/>
    </row>
    <row r="25" customFormat="false" ht="12.75" hidden="false" customHeight="false" outlineLevel="0" collapsed="false">
      <c r="A25" s="0" t="n">
        <f aca="false">A16*10</f>
        <v>80</v>
      </c>
      <c r="B25" s="0" t="n">
        <f aca="false">A25/1000</f>
        <v>0.08</v>
      </c>
      <c r="C25" s="0" t="n">
        <f aca="false">SQRT((A25/Fesr)^2+1)</f>
        <v>1.00000000000013</v>
      </c>
      <c r="D25" s="0" t="n">
        <f aca="false">ATAN(A25/Fesr)</f>
        <v>5.02654823999958E-007</v>
      </c>
      <c r="F25" s="0" t="n">
        <f aca="false">(Ro/(Ro+Rdcr))/SQRT((A25/(Q*Fo))^2+(1-(A25^2/Fo^2))^2)</f>
        <v>0.992393368160792</v>
      </c>
      <c r="G25" s="0" t="n">
        <f aca="false">-ATAN(A25*Fo/(Q*(Fo^2-A25^2)))</f>
        <v>-0.00115428610665115</v>
      </c>
      <c r="H25" s="0" t="n">
        <f aca="false">IF(G25&gt;0,G25-Pi,G25)</f>
        <v>-0.00115428610665115</v>
      </c>
      <c r="J25" s="0" t="n">
        <f aca="false">Vin/Vramp</f>
        <v>9</v>
      </c>
      <c r="M25" s="0" t="n">
        <f aca="false">1/(2*Pi*_Rfb1*(Cc1ea_u+Cc2ea_u)*A25)</f>
        <v>73.6828441082205</v>
      </c>
      <c r="N25" s="0" t="n">
        <f aca="false">-Pi/2</f>
        <v>-1.570796325</v>
      </c>
      <c r="O25" s="0" t="n">
        <f aca="false">SQRT(1+(A25/Fz1_u)^2)</f>
        <v>1.00000190968533</v>
      </c>
      <c r="P25" s="0" t="n">
        <f aca="false">ATAN2(Fz1_u,A25)</f>
        <v>0.00195431946762201</v>
      </c>
      <c r="Q25" s="0" t="n">
        <f aca="false">SQRT(1+(A25/Fz2_u)^2)</f>
        <v>2.43265032382919</v>
      </c>
      <c r="R25" s="0" t="n">
        <f aca="false">ATAN2(Fz2_u,A25)</f>
        <v>1.1471641153632</v>
      </c>
      <c r="S25" s="0" t="n">
        <f aca="false">1/SQRT(1+(A25/Fp1_u)^2)</f>
        <v>0.999982433986519</v>
      </c>
      <c r="T25" s="0" t="n">
        <f aca="false">-ATAN2(Fp1_u,A25)</f>
        <v>-0.00592723627148783</v>
      </c>
      <c r="U25" s="0" t="n">
        <f aca="false">1/SQRT(1+(A25/Fp2_u)^2)</f>
        <v>0.999999976423616</v>
      </c>
      <c r="V25" s="0" t="n">
        <f aca="false">-ATAN2(Fp2_u,A25)</f>
        <v>-0.000217146880554974</v>
      </c>
      <c r="X25" s="0" t="n">
        <f aca="false">20*LOG(C25*J25*O25*Q25*F25*M25*S25*U25)</f>
        <v>64.0873124140269</v>
      </c>
      <c r="Y25" s="0" t="n">
        <f aca="false">(180/Pi)*(D25+H25+N25+P25+R25+T25+V25)</f>
        <v>-24.578517593345</v>
      </c>
      <c r="Z25" s="0" t="n">
        <f aca="false">Y25+180</f>
        <v>155.421482406655</v>
      </c>
      <c r="AC25" s="0" t="n">
        <v>1</v>
      </c>
      <c r="AD25" s="0" t="n">
        <f aca="false">Rcea1_u*Cc1ea_u*A25*2*Pi</f>
        <v>0.001954321955712</v>
      </c>
      <c r="AE25" s="0" t="n">
        <f aca="false">-Rcea1_u*Cc1ea_u*Cc2ea_u*(A25*2*Pi)^2</f>
        <v>-1.47352403803163E-010</v>
      </c>
      <c r="AF25" s="0" t="n">
        <f aca="false">(Cc2ea_u+Cc1ea_u)*A25*2*Pi</f>
        <v>6.785840124E-007</v>
      </c>
      <c r="AG25" s="0" t="n">
        <f aca="false">AC25*AE25/(AE25^2+AF25^2)+AD25*AF25/(AE25^2+AF25^2)</f>
        <v>2559.99987928892</v>
      </c>
      <c r="AH25" s="0" t="n">
        <f aca="false">AD25*AE25/(AE25^2+AF25^2)-AC25*AF25/(AE25^2+AF25^2)</f>
        <v>-1473657.43806041</v>
      </c>
      <c r="AJ25" s="0" t="n">
        <f aca="false">_Rfb1</f>
        <v>20000</v>
      </c>
      <c r="AK25" s="0" t="n">
        <f aca="false">_Rfb1*Rcea2_u*Cc3ea_u*A25*2*Pi</f>
        <v>118.54611369216</v>
      </c>
      <c r="AL25" s="0" t="n">
        <v>1</v>
      </c>
      <c r="AM25" s="0" t="n">
        <f aca="false">(_Rfb1+Rcea2_u)*Cc3ea_u*A25*2*Pi</f>
        <v>2.21760853128461</v>
      </c>
      <c r="AN25" s="0" t="n">
        <f aca="false">AJ25*AL25/(AL25^2+AM25^2)+AK25*AM25/(AL25^2+AM25^2)</f>
        <v>3424.06491233861</v>
      </c>
      <c r="AO25" s="0" t="n">
        <f aca="false">AK25*AL25/(AL25^2+AM25^2)-AJ25*AM25/(AL25^2+AM25^2)</f>
        <v>-7474.68944758223</v>
      </c>
      <c r="AQ25" s="0" t="n">
        <f aca="false">Eadcg/(1+(Eadcg*A25/GBP)^2)</f>
        <v>3156.38962601955</v>
      </c>
      <c r="AR25" s="0" t="n">
        <f aca="false">-(A25*Eadcg*Eadcg/GBP)/(1+(Eadcg*A25/GBP)^2)</f>
        <v>-133.073386632984</v>
      </c>
      <c r="AT25" s="0" t="n">
        <f aca="false">-AR25*AH25+AG25*AQ25</f>
        <v>-188024228.957987</v>
      </c>
      <c r="AU25" s="0" t="n">
        <f aca="false">AQ25*AH25+AG25*AR25</f>
        <v>-4651777717.65414</v>
      </c>
      <c r="AV25" s="0" t="n">
        <f aca="false">ATAN2(AT25,AU25)</f>
        <v>-1.61119420149741</v>
      </c>
      <c r="AW25" s="0" t="n">
        <f aca="false">AG25-AH25*AO25/_Rfb2+AG25*AN25/_Rfb2+AN25-AO25*AR25+AQ25*AN25</f>
        <v>4866120.05095866</v>
      </c>
      <c r="AX25" s="0" t="n">
        <f aca="false">AH25+AH25*AN25/_Rfb2+AG25*AO25/_Rfb2+AO25+AO25*AQ25+AN25*AR25</f>
        <v>-27809081.5402593</v>
      </c>
      <c r="AY25" s="0" t="n">
        <f aca="false">ATAN2(AW25,AX25)</f>
        <v>-1.39756703186743</v>
      </c>
      <c r="BA25" s="0" t="n">
        <f aca="false">SQRT(AT25^2+AU25^2)/SQRT(AW25^2+AX25^2)</f>
        <v>164.906469692496</v>
      </c>
      <c r="BB25" s="0" t="n">
        <f aca="false">20*LOG(BA25)</f>
        <v>44.34475388871</v>
      </c>
      <c r="BC25" s="0" t="n">
        <f aca="false">AV25-AY25</f>
        <v>-0.213627169629989</v>
      </c>
      <c r="BD25" s="0" t="n">
        <f aca="false">BC25*180/Pi-180</f>
        <v>-192.23993522311</v>
      </c>
      <c r="BF25" s="0" t="n">
        <f aca="false">20*LOG(BA25*J25*F25*C25)</f>
        <v>63.363281144745</v>
      </c>
      <c r="BG25" s="0" t="n">
        <f aca="false">(180/Pi)*(D25+H25+BC25)</f>
        <v>-12.3060421454471</v>
      </c>
      <c r="BH25" s="0" t="n">
        <f aca="false">IF(BG25&gt;180,BG25-180,BG25+180)</f>
        <v>167.693957854553</v>
      </c>
      <c r="BI25" s="0" t="n">
        <f aca="false">IF(BH25&gt;180,BH25-360,BH25)</f>
        <v>167.693957854553</v>
      </c>
      <c r="BJ25" s="0" t="n">
        <f aca="false">SUM((BF26&lt;0)*(BF25&gt;0))*A25</f>
        <v>0</v>
      </c>
      <c r="BK25" s="0" t="n">
        <f aca="false">IF(BJ25&gt;0,BI25,0)</f>
        <v>0</v>
      </c>
      <c r="BM25" s="0" t="n">
        <f aca="false">20*LOG(J25*F25*C25)</f>
        <v>19.0185272560349</v>
      </c>
      <c r="BN25" s="0" t="n">
        <f aca="false">(H25+D25)*180/Pi</f>
        <v>-0.0661069223372693</v>
      </c>
      <c r="BQ25" s="347" t="n">
        <f aca="false">20*LOG(BA25*7)</f>
        <v>61.2467146889952</v>
      </c>
      <c r="BR25" s="350"/>
      <c r="BS25" s="350"/>
      <c r="BT25" s="350" t="n">
        <v>141.254</v>
      </c>
      <c r="BU25" s="350" t="n">
        <v>32.377</v>
      </c>
      <c r="BV25" s="350" t="n">
        <v>-263.1143</v>
      </c>
      <c r="BW25" s="349"/>
      <c r="BY25" s="350"/>
      <c r="BZ25" s="350"/>
      <c r="CA25" s="350"/>
      <c r="CC25" s="350"/>
    </row>
    <row r="26" customFormat="false" ht="12.75" hidden="false" customHeight="false" outlineLevel="0" collapsed="false">
      <c r="A26" s="0" t="n">
        <f aca="false">A17*10</f>
        <v>90</v>
      </c>
      <c r="B26" s="0" t="n">
        <f aca="false">A26/1000</f>
        <v>0.09</v>
      </c>
      <c r="C26" s="0" t="n">
        <f aca="false">SQRT((A26/Fesr)^2+1)</f>
        <v>1.00000000000016</v>
      </c>
      <c r="D26" s="0" t="n">
        <f aca="false">ATAN(A26/Fesr)</f>
        <v>5.6548667699994E-007</v>
      </c>
      <c r="F26" s="0" t="n">
        <f aca="false">(Ro/(Ro+Rdcr))/SQRT((A26/(Q*Fo))^2+(1-(A26^2/Fo^2))^2)</f>
        <v>0.992394091608347</v>
      </c>
      <c r="G26" s="0" t="n">
        <f aca="false">-ATAN(A26*Fo/(Q*(Fo^2-A26^2)))</f>
        <v>-0.00129857289322944</v>
      </c>
      <c r="H26" s="0" t="n">
        <f aca="false">IF(G26&gt;0,G26-Pi,G26)</f>
        <v>-0.00129857289322944</v>
      </c>
      <c r="J26" s="0" t="n">
        <f aca="false">Vin/Vramp</f>
        <v>9</v>
      </c>
      <c r="M26" s="0" t="n">
        <f aca="false">1/(2*Pi*_Rfb1*(Cc1ea_u+Cc2ea_u)*A26)</f>
        <v>65.4958614295294</v>
      </c>
      <c r="N26" s="0" t="n">
        <f aca="false">-Pi/2</f>
        <v>-1.570796325</v>
      </c>
      <c r="O26" s="0" t="n">
        <f aca="false">SQRT(1+(A26/Fz1_u)^2)</f>
        <v>1.00000241694488</v>
      </c>
      <c r="P26" s="0" t="n">
        <f aca="false">ATAN2(Fz1_u,A26)</f>
        <v>0.00219860865756566</v>
      </c>
      <c r="Q26" s="0" t="n">
        <f aca="false">SQRT(1+(A26/Fz2_u)^2)</f>
        <v>2.68776392727338</v>
      </c>
      <c r="R26" s="0" t="n">
        <f aca="false">ATAN2(Fz2_u,A26)</f>
        <v>1.18957274860388</v>
      </c>
      <c r="S26" s="0" t="n">
        <f aca="false">1/SQRT(1+(A26/Fp1_u)^2)</f>
        <v>0.999977768169786</v>
      </c>
      <c r="T26" s="0" t="n">
        <f aca="false">-ATAN2(Fp1_u,A26)</f>
        <v>-0.00666812006338463</v>
      </c>
      <c r="U26" s="0" t="n">
        <f aca="false">1/SQRT(1+(A26/Fp2_u)^2)</f>
        <v>0.99999997016114</v>
      </c>
      <c r="V26" s="0" t="n">
        <f aca="false">-ATAN2(Fp2_u,A26)</f>
        <v>-0.000244290239604438</v>
      </c>
      <c r="X26" s="0" t="n">
        <f aca="false">20*LOG(C26*J26*O26*Q26*F26*M26*S26*U26)</f>
        <v>63.9304608062244</v>
      </c>
      <c r="Y26" s="0" t="n">
        <f aca="false">(180/Pi)*(D26+H26+N26+P26+R26+T26+V26)</f>
        <v>-22.1869532896497</v>
      </c>
      <c r="Z26" s="0" t="n">
        <f aca="false">Y26+180</f>
        <v>157.81304671035</v>
      </c>
      <c r="AC26" s="0" t="n">
        <v>1</v>
      </c>
      <c r="AD26" s="0" t="n">
        <f aca="false">Rcea1_u*Cc1ea_u*A26*2*Pi</f>
        <v>0.002198612200176</v>
      </c>
      <c r="AE26" s="0" t="n">
        <f aca="false">-Rcea1_u*Cc1ea_u*Cc2ea_u*(A26*2*Pi)^2</f>
        <v>-1.86492886063378E-010</v>
      </c>
      <c r="AF26" s="0" t="n">
        <f aca="false">(Cc2ea_u+Cc1ea_u)*A26*2*Pi</f>
        <v>7.6340701395E-007</v>
      </c>
      <c r="AG26" s="0" t="n">
        <f aca="false">AC26*AE26/(AE26^2+AF26^2)+AD26*AF26/(AE26^2+AF26^2)</f>
        <v>2559.99984722504</v>
      </c>
      <c r="AH26" s="0" t="n">
        <f aca="false">AD26*AE26/(AE26^2+AF26^2)-AC26*AF26/(AE26^2+AF26^2)</f>
        <v>-1309917.85397358</v>
      </c>
      <c r="AJ26" s="0" t="n">
        <f aca="false">_Rfb1</f>
        <v>20000</v>
      </c>
      <c r="AK26" s="0" t="n">
        <f aca="false">_Rfb1*Rcea2_u*Cc3ea_u*A26*2*Pi</f>
        <v>133.36437790368</v>
      </c>
      <c r="AL26" s="0" t="n">
        <v>1</v>
      </c>
      <c r="AM26" s="0" t="n">
        <f aca="false">(_Rfb1+Rcea2_u)*Cc3ea_u*A26*2*Pi</f>
        <v>2.49480959769518</v>
      </c>
      <c r="AN26" s="0" t="n">
        <f aca="false">AJ26*AL26/(AL26^2+AM26^2)+AK26*AM26/(AL26^2+AM26^2)</f>
        <v>2814.57749684461</v>
      </c>
      <c r="AO26" s="0" t="n">
        <f aca="false">AK26*AL26/(AL26^2+AM26^2)-AJ26*AM26/(AL26^2+AM26^2)</f>
        <v>-6888.47057468115</v>
      </c>
      <c r="AQ26" s="0" t="n">
        <f aca="false">Eadcg/(1+(Eadcg*A26/GBP)^2)</f>
        <v>3154.90271539243</v>
      </c>
      <c r="AR26" s="0" t="n">
        <f aca="false">-(A26*Eadcg*Eadcg/GBP)/(1+(Eadcg*A26/GBP)^2)</f>
        <v>-149.637035791063</v>
      </c>
      <c r="AT26" s="0" t="n">
        <f aca="false">-AR26*AH26+AG26*AQ26</f>
        <v>-187935674.328982</v>
      </c>
      <c r="AU26" s="0" t="n">
        <f aca="false">AQ26*AH26+AG26*AR26</f>
        <v>-4133046465.23102</v>
      </c>
      <c r="AV26" s="0" t="n">
        <f aca="false">ATAN2(AT26,AU26)</f>
        <v>-1.61623649005247</v>
      </c>
      <c r="AW26" s="0" t="n">
        <f aca="false">AG26-AH26*AO26/_Rfb2+AG26*AN26/_Rfb2+AN26-AO26*AR26+AQ26*AN26</f>
        <v>3797066.07341928</v>
      </c>
      <c r="AX26" s="0" t="n">
        <f aca="false">AH26+AH26*AN26/_Rfb2+AG26*AO26/_Rfb2+AO26+AO26*AQ26+AN26*AR26</f>
        <v>-25137450.7883002</v>
      </c>
      <c r="AY26" s="0" t="n">
        <f aca="false">ATAN2(AW26,AX26)</f>
        <v>-1.42087753743668</v>
      </c>
      <c r="BA26" s="0" t="n">
        <f aca="false">SQRT(AT26^2+AU26^2)/SQRT(AW26^2+AX26^2)</f>
        <v>162.74162936551</v>
      </c>
      <c r="BB26" s="0" t="n">
        <f aca="false">20*LOG(BA26)</f>
        <v>44.2299731965577</v>
      </c>
      <c r="BC26" s="0" t="n">
        <f aca="false">AV26-AY26</f>
        <v>-0.195358952615793</v>
      </c>
      <c r="BD26" s="0" t="n">
        <f aca="false">BC26*180/Pi-180</f>
        <v>-191.193243487771</v>
      </c>
      <c r="BF26" s="0" t="n">
        <f aca="false">20*LOG(BA26*J26*F26*C26)</f>
        <v>63.2485067845411</v>
      </c>
      <c r="BG26" s="0" t="n">
        <f aca="false">(180/Pi)*(D26+H26+BC26)</f>
        <v>-11.2676138340285</v>
      </c>
      <c r="BH26" s="0" t="n">
        <f aca="false">IF(BG26&gt;180,BG26-180,BG26+180)</f>
        <v>168.732386165972</v>
      </c>
      <c r="BI26" s="0" t="n">
        <f aca="false">IF(BH26&gt;180,BH26-360,BH26)</f>
        <v>168.732386165972</v>
      </c>
      <c r="BJ26" s="0" t="n">
        <f aca="false">SUM((BF27&lt;0)*(BF26&gt;0))*A26</f>
        <v>0</v>
      </c>
      <c r="BK26" s="0" t="n">
        <f aca="false">IF(BJ26&gt;0,BI26,0)</f>
        <v>0</v>
      </c>
      <c r="BM26" s="0" t="n">
        <f aca="false">20*LOG(J26*F26*C26)</f>
        <v>19.0185335879834</v>
      </c>
      <c r="BN26" s="0" t="n">
        <f aca="false">(H26+D26)*180/Pi</f>
        <v>-0.0743703462571567</v>
      </c>
      <c r="BQ26" s="347" t="n">
        <f aca="false">20*LOG(BA26*7)</f>
        <v>61.1319339968428</v>
      </c>
      <c r="BR26" s="350"/>
      <c r="BS26" s="350"/>
      <c r="BT26" s="350" t="n">
        <v>144.544</v>
      </c>
      <c r="BU26" s="350" t="n">
        <v>31.4991</v>
      </c>
      <c r="BV26" s="350" t="n">
        <v>-266.2885</v>
      </c>
      <c r="BW26" s="349"/>
      <c r="BY26" s="350"/>
      <c r="BZ26" s="350"/>
      <c r="CA26" s="350"/>
      <c r="CC26" s="350"/>
    </row>
    <row r="27" customFormat="false" ht="12.75" hidden="false" customHeight="false" outlineLevel="0" collapsed="false">
      <c r="A27" s="0" t="n">
        <f aca="false">A18*10</f>
        <v>100</v>
      </c>
      <c r="B27" s="0" t="n">
        <f aca="false">A27/1000</f>
        <v>0.1</v>
      </c>
      <c r="C27" s="0" t="n">
        <f aca="false">SQRT((A27/Fesr)^2+1)</f>
        <v>1.0000000000002</v>
      </c>
      <c r="D27" s="0" t="n">
        <f aca="false">ATAN(A27/Fesr)</f>
        <v>6.28318529999917E-007</v>
      </c>
      <c r="F27" s="0" t="n">
        <f aca="false">(Ro/(Ro+Rdcr))/SQRT((A27/(Q*Fo))^2+(1-(A27^2/Fo^2))^2)</f>
        <v>0.992394900168287</v>
      </c>
      <c r="G27" s="0" t="n">
        <f aca="false">-ATAN(A27*Fo/(Q*(Fo^2-A27^2)))</f>
        <v>-0.00144286004095548</v>
      </c>
      <c r="H27" s="0" t="n">
        <f aca="false">IF(G27&gt;0,G27-Pi,G27)</f>
        <v>-0.00144286004095548</v>
      </c>
      <c r="J27" s="0" t="n">
        <f aca="false">Vin/Vramp</f>
        <v>9</v>
      </c>
      <c r="M27" s="0" t="n">
        <f aca="false">1/(2*Pi*_Rfb1*(Cc1ea_u+Cc2ea_u)*A27)</f>
        <v>58.9462752865764</v>
      </c>
      <c r="N27" s="0" t="n">
        <f aca="false">-Pi/2</f>
        <v>-1.570796325</v>
      </c>
      <c r="O27" s="0" t="n">
        <f aca="false">SQRT(1+(A27/Fz1_u)^2)</f>
        <v>1.00000298388173</v>
      </c>
      <c r="P27" s="0" t="n">
        <f aca="false">ATAN2(Fz1_u,A27)</f>
        <v>0.00244289758509551</v>
      </c>
      <c r="Q27" s="0" t="n">
        <f aca="false">SQRT(1+(A27/Fz2_u)^2)</f>
        <v>2.94687005514598</v>
      </c>
      <c r="R27" s="0" t="n">
        <f aca="false">ATAN2(Fz2_u,A27)</f>
        <v>1.22457786193836</v>
      </c>
      <c r="S27" s="0" t="n">
        <f aca="false">1/SQRT(1+(A27/Fp1_u)^2)</f>
        <v>0.999972553510726</v>
      </c>
      <c r="T27" s="0" t="n">
        <f aca="false">-ATAN2(Fp1_u,A27)</f>
        <v>-0.00740899653486713</v>
      </c>
      <c r="U27" s="0" t="n">
        <f aca="false">1/SQRT(1+(A27/Fp2_u)^2)</f>
        <v>0.999999963161901</v>
      </c>
      <c r="V27" s="0" t="n">
        <f aca="false">-ATAN2(Fp2_u,A27)</f>
        <v>-0.000271433598293935</v>
      </c>
      <c r="X27" s="0" t="n">
        <f aca="false">20*LOG(C27*J27*O27*Q27*F27*M27*S27*U27)</f>
        <v>63.814674935081</v>
      </c>
      <c r="Y27" s="0" t="n">
        <f aca="false">(180/Pi)*(D27+H27+N27+P27+R27+T27+V27)</f>
        <v>-20.2195790468838</v>
      </c>
      <c r="Z27" s="0" t="n">
        <f aca="false">Y27+180</f>
        <v>159.780420953116</v>
      </c>
      <c r="AC27" s="0" t="n">
        <v>1</v>
      </c>
      <c r="AD27" s="0" t="n">
        <f aca="false">Rcea1_u*Cc1ea_u*A27*2*Pi</f>
        <v>0.00244290244464</v>
      </c>
      <c r="AE27" s="0" t="n">
        <f aca="false">-Rcea1_u*Cc1ea_u*Cc2ea_u*(A27*2*Pi)^2</f>
        <v>-2.30238130942442E-010</v>
      </c>
      <c r="AF27" s="0" t="n">
        <f aca="false">(Cc2ea_u+Cc1ea_u)*A27*2*Pi</f>
        <v>8.482300155E-007</v>
      </c>
      <c r="AG27" s="0" t="n">
        <f aca="false">AC27*AE27/(AE27^2+AF27^2)+AD27*AF27/(AE27^2+AF27^2)</f>
        <v>2559.99981138894</v>
      </c>
      <c r="AH27" s="0" t="n">
        <f aca="false">AD27*AE27/(AE27^2+AF27^2)-AC27*AF27/(AE27^2+AF27^2)</f>
        <v>-1178926.20060151</v>
      </c>
      <c r="AJ27" s="0" t="n">
        <f aca="false">_Rfb1</f>
        <v>20000</v>
      </c>
      <c r="AK27" s="0" t="n">
        <f aca="false">_Rfb1*Rcea2_u*Cc3ea_u*A27*2*Pi</f>
        <v>148.1826421152</v>
      </c>
      <c r="AL27" s="0" t="n">
        <v>1</v>
      </c>
      <c r="AM27" s="0" t="n">
        <f aca="false">(_Rfb1+Rcea2_u)*Cc3ea_u*A27*2*Pi</f>
        <v>2.77201066410576</v>
      </c>
      <c r="AN27" s="0" t="n">
        <f aca="false">AJ27*AL27/(AL27^2+AM27^2)+AK27*AM27/(AL27^2+AM27^2)</f>
        <v>2350.37569224728</v>
      </c>
      <c r="AO27" s="0" t="n">
        <f aca="false">AK27*AL27/(AL27^2+AM27^2)-AJ27*AM27/(AL27^2+AM27^2)</f>
        <v>-6367.08384144922</v>
      </c>
      <c r="AQ27" s="0" t="n">
        <f aca="false">Eadcg/(1+(Eadcg*A27/GBP)^2)</f>
        <v>3153.24253105094</v>
      </c>
      <c r="AR27" s="0" t="n">
        <f aca="false">-(A27*Eadcg*Eadcg/GBP)/(1+(Eadcg*A27/GBP)^2)</f>
        <v>-166.175881386384</v>
      </c>
      <c r="AT27" s="0" t="n">
        <f aca="false">-AR27*AH27+AG27*AQ27</f>
        <v>-187836800.189703</v>
      </c>
      <c r="AU27" s="0" t="n">
        <f aca="false">AQ27*AH27+AG27*AR27</f>
        <v>-3717865646.93197</v>
      </c>
      <c r="AV27" s="0" t="n">
        <f aca="false">ATAN2(AT27,AU27)</f>
        <v>-1.6212761562181</v>
      </c>
      <c r="AW27" s="0" t="n">
        <f aca="false">AG27-AH27*AO27/_Rfb2+AG27*AN27/_Rfb2+AN27-AO27*AR27+AQ27*AN27</f>
        <v>2983021.95268027</v>
      </c>
      <c r="AX27" s="0" t="n">
        <f aca="false">AH27+AH27*AN27/_Rfb2+AG27*AO27/_Rfb2+AO27+AO27*AQ27+AN27*AR27</f>
        <v>-22907077.2525424</v>
      </c>
      <c r="AY27" s="0" t="n">
        <f aca="false">ATAN2(AW27,AX27)</f>
        <v>-1.44130230844254</v>
      </c>
      <c r="BA27" s="0" t="n">
        <f aca="false">SQRT(AT27^2+AU27^2)/SQRT(AW27^2+AX27^2)</f>
        <v>161.14843206589</v>
      </c>
      <c r="BB27" s="0" t="n">
        <f aca="false">20*LOG(BA27)</f>
        <v>44.1445216858352</v>
      </c>
      <c r="BC27" s="0" t="n">
        <f aca="false">AV27-AY27</f>
        <v>-0.179973847775562</v>
      </c>
      <c r="BD27" s="0" t="n">
        <f aca="false">BC27*180/Pi-180</f>
        <v>-190.311741912053</v>
      </c>
      <c r="BF27" s="0" t="n">
        <f aca="false">20*LOG(BA27*J27*F27*C27)</f>
        <v>63.1630623507046</v>
      </c>
      <c r="BG27" s="0" t="n">
        <f aca="false">(180/Pi)*(D27+H27+BC27)</f>
        <v>-10.3943757029218</v>
      </c>
      <c r="BH27" s="0" t="n">
        <f aca="false">IF(BG27&gt;180,BG27-180,BG27+180)</f>
        <v>169.605624297078</v>
      </c>
      <c r="BI27" s="0" t="n">
        <f aca="false">IF(BH27&gt;180,BH27-360,BH27)</f>
        <v>169.605624297078</v>
      </c>
      <c r="BJ27" s="0" t="n">
        <f aca="false">SUM((BF28&lt;0)*(BF27&gt;0))*A27</f>
        <v>0</v>
      </c>
      <c r="BK27" s="0" t="n">
        <f aca="false">IF(BJ27&gt;0,BI27,0)</f>
        <v>0</v>
      </c>
      <c r="BM27" s="0" t="n">
        <f aca="false">20*LOG(J27*F27*C27)</f>
        <v>19.0185406648694</v>
      </c>
      <c r="BN27" s="0" t="n">
        <f aca="false">(H27+D27)*180/Pi</f>
        <v>-0.0826337908692864</v>
      </c>
      <c r="BQ27" s="347" t="n">
        <f aca="false">20*LOG(BA27*7)</f>
        <v>61.0464824861204</v>
      </c>
      <c r="BR27" s="350"/>
      <c r="BS27" s="350"/>
      <c r="BT27" s="350" t="n">
        <v>147.911</v>
      </c>
      <c r="BU27" s="350" t="n">
        <v>31.4819</v>
      </c>
      <c r="BV27" s="350" t="n">
        <v>-266.3463</v>
      </c>
      <c r="BW27" s="349"/>
      <c r="BY27" s="350"/>
      <c r="BZ27" s="350"/>
      <c r="CA27" s="350"/>
      <c r="CC27" s="350"/>
    </row>
    <row r="28" customFormat="false" ht="12.75" hidden="false" customHeight="false" outlineLevel="0" collapsed="false">
      <c r="A28" s="0" t="n">
        <f aca="false">A19*10</f>
        <v>200</v>
      </c>
      <c r="B28" s="0" t="n">
        <f aca="false">A28/1000</f>
        <v>0.2</v>
      </c>
      <c r="C28" s="0" t="n">
        <f aca="false">SQRT((A28/Fesr)^2+1)</f>
        <v>1.00000000000079</v>
      </c>
      <c r="D28" s="0" t="n">
        <f aca="false">ATAN(A28/Fesr)</f>
        <v>1.25663705999934E-006</v>
      </c>
      <c r="F28" s="0" t="n">
        <f aca="false">(Ro/(Ro+Rdcr))/SQRT((A28/(Q*Fo))^2+(1-(A28^2/Fo^2))^2)</f>
        <v>0.992407667031284</v>
      </c>
      <c r="G28" s="0" t="n">
        <f aca="false">-ATAN(A28*Fo/(Q*(Fo^2-A28^2)))</f>
        <v>-0.00288576020979879</v>
      </c>
      <c r="H28" s="0" t="n">
        <f aca="false">IF(G28&gt;0,G28-Pi,G28)</f>
        <v>-0.00288576020979879</v>
      </c>
      <c r="J28" s="0" t="n">
        <f aca="false">Vin/Vramp</f>
        <v>9</v>
      </c>
      <c r="M28" s="0" t="n">
        <f aca="false">1/(2*Pi*_Rfb1*(Cc1ea_u+Cc2ea_u)*A28)</f>
        <v>29.4731376432882</v>
      </c>
      <c r="N28" s="0" t="n">
        <f aca="false">-Pi/2</f>
        <v>-1.570796325</v>
      </c>
      <c r="O28" s="0" t="n">
        <f aca="false">SQRT(1+(A28/Fz1_u)^2)</f>
        <v>1.00001193547348</v>
      </c>
      <c r="P28" s="0" t="n">
        <f aca="false">ATAN2(Fz1_u,A28)</f>
        <v>0.00488576601334168</v>
      </c>
      <c r="Q28" s="0" t="n">
        <f aca="false">SQRT(1+(A28/Fz2_u)^2)</f>
        <v>5.63348670786257</v>
      </c>
      <c r="R28" s="0" t="n">
        <f aca="false">ATAN2(Fz2_u,A28)</f>
        <v>1.3923406783794</v>
      </c>
      <c r="S28" s="0" t="n">
        <f aca="false">1/SQRT(1+(A28/Fp1_u)^2)</f>
        <v>0.999890227600494</v>
      </c>
      <c r="T28" s="0" t="n">
        <f aca="false">-ATAN2(Fp1_u,A28)</f>
        <v>-0.0148171797515272</v>
      </c>
      <c r="U28" s="0" t="n">
        <f aca="false">1/SQRT(1+(A28/Fp2_u)^2)</f>
        <v>0.999999852647629</v>
      </c>
      <c r="V28" s="0" t="n">
        <f aca="false">-ATAN2(Fp2_u,A28)</f>
        <v>-0.000542867156591484</v>
      </c>
      <c r="X28" s="0" t="n">
        <f aca="false">20*LOG(C28*J28*O28*Q28*F28*M28*S28*U28)</f>
        <v>63.4218741970876</v>
      </c>
      <c r="Y28" s="0" t="n">
        <f aca="false">(180/Pi)*(D28+H28+N28+P28+R28+T28+V28)</f>
        <v>-10.99015736361</v>
      </c>
      <c r="Z28" s="0" t="n">
        <f aca="false">Y28+180</f>
        <v>169.00984263639</v>
      </c>
      <c r="AC28" s="0" t="n">
        <v>1</v>
      </c>
      <c r="AD28" s="0" t="n">
        <f aca="false">Rcea1_u*Cc1ea_u*A28*2*Pi</f>
        <v>0.00488580488928</v>
      </c>
      <c r="AE28" s="0" t="n">
        <f aca="false">-Rcea1_u*Cc1ea_u*Cc2ea_u*(A28*2*Pi)^2</f>
        <v>-9.20952523769767E-010</v>
      </c>
      <c r="AF28" s="0" t="n">
        <f aca="false">(Cc2ea_u+Cc1ea_u)*A28*2*Pi</f>
        <v>1.696460031E-006</v>
      </c>
      <c r="AG28" s="0" t="n">
        <f aca="false">AC28*AE28/(AE28^2+AF28^2)+AD28*AF28/(AE28^2+AF28^2)</f>
        <v>2559.99924555591</v>
      </c>
      <c r="AH28" s="0" t="n">
        <f aca="false">AD28*AE28/(AE28^2+AF28^2)-AC28*AF28/(AE28^2+AF28^2)</f>
        <v>-589464.142605412</v>
      </c>
      <c r="AJ28" s="0" t="n">
        <f aca="false">_Rfb1</f>
        <v>20000</v>
      </c>
      <c r="AK28" s="0" t="n">
        <f aca="false">_Rfb1*Rcea2_u*Cc3ea_u*A28*2*Pi</f>
        <v>296.3652842304</v>
      </c>
      <c r="AL28" s="0" t="n">
        <v>1</v>
      </c>
      <c r="AM28" s="0" t="n">
        <f aca="false">(_Rfb1+Rcea2_u)*Cc3ea_u*A28*2*Pi</f>
        <v>5.54402132821152</v>
      </c>
      <c r="AN28" s="0" t="n">
        <f aca="false">AJ28*AL28/(AL28^2+AM28^2)+AK28*AM28/(AL28^2+AM28^2)</f>
        <v>681.968043409375</v>
      </c>
      <c r="AO28" s="0" t="n">
        <f aca="false">AK28*AL28/(AL28^2+AM28^2)-AJ28*AM28/(AL28^2+AM28^2)</f>
        <v>-3484.48009358985</v>
      </c>
      <c r="AQ28" s="0" t="n">
        <f aca="false">Eadcg/(1+(Eadcg*A28/GBP)^2)</f>
        <v>3127.25878183123</v>
      </c>
      <c r="AR28" s="0" t="n">
        <f aca="false">-(A28*Eadcg*Eadcg/GBP)/(1+(Eadcg*A28/GBP)^2)</f>
        <v>-329.613075605012</v>
      </c>
      <c r="AT28" s="0" t="n">
        <f aca="false">-AR28*AH28+AG28*AQ28</f>
        <v>-186289308.880895</v>
      </c>
      <c r="AU28" s="0" t="n">
        <f aca="false">AQ28*AH28+AG28*AR28</f>
        <v>-1844250725.76227</v>
      </c>
      <c r="AV28" s="0" t="n">
        <f aca="false">ATAN2(AT28,AU28)</f>
        <v>-1.67146570720517</v>
      </c>
      <c r="AW28" s="0" t="n">
        <f aca="false">AG28-AH28*AO28/_Rfb2+AG28*AN28/_Rfb2+AN28-AO28*AR28+AQ28*AN28</f>
        <v>63898.7145339784</v>
      </c>
      <c r="AX28" s="0" t="n">
        <f aca="false">AH28+AH28*AN28/_Rfb2+AG28*AO28/_Rfb2+AO28+AO28*AQ28+AN28*AR28</f>
        <v>-11899517.368228</v>
      </c>
      <c r="AY28" s="0" t="n">
        <f aca="false">ATAN2(AW28,AX28)</f>
        <v>-1.56542652074426</v>
      </c>
      <c r="BA28" s="0" t="n">
        <f aca="false">SQRT(AT28^2+AU28^2)/SQRT(AW28^2+AX28^2)</f>
        <v>155.771758257507</v>
      </c>
      <c r="BB28" s="0" t="n">
        <f aca="false">20*LOG(BA28)</f>
        <v>43.8497744396818</v>
      </c>
      <c r="BC28" s="0" t="n">
        <f aca="false">AV28-AY28</f>
        <v>-0.106039186460907</v>
      </c>
      <c r="BD28" s="0" t="n">
        <f aca="false">BC28*180/Pi-180</f>
        <v>-186.075597854153</v>
      </c>
      <c r="BF28" s="0" t="n">
        <f aca="false">20*LOG(BA28*J28*F28*C28)</f>
        <v>62.8684268452048</v>
      </c>
      <c r="BG28" s="0" t="n">
        <f aca="false">(180/Pi)*(D28+H28+BC28)</f>
        <v>-6.24086773505032</v>
      </c>
      <c r="BH28" s="0" t="n">
        <f aca="false">IF(BG28&gt;180,BG28-180,BG28+180)</f>
        <v>173.75913226495</v>
      </c>
      <c r="BI28" s="0" t="n">
        <f aca="false">IF(BH28&gt;180,BH28-360,BH28)</f>
        <v>173.75913226495</v>
      </c>
      <c r="BJ28" s="0" t="n">
        <f aca="false">SUM((BF29&lt;0)*(BF28&gt;0))*A28</f>
        <v>0</v>
      </c>
      <c r="BK28" s="0" t="n">
        <f aca="false">IF(BJ28&gt;0,BI28,0)</f>
        <v>0</v>
      </c>
      <c r="BM28" s="0" t="n">
        <f aca="false">20*LOG(J28*F28*C28)</f>
        <v>19.018652405523</v>
      </c>
      <c r="BN28" s="0" t="n">
        <f aca="false">(H28+D28)*180/Pi</f>
        <v>-0.165269880897189</v>
      </c>
      <c r="BQ28" s="347" t="n">
        <f aca="false">20*LOG(BA28*7)</f>
        <v>60.7517352399669</v>
      </c>
      <c r="BR28" s="350"/>
      <c r="BS28" s="350"/>
      <c r="BT28" s="350" t="n">
        <v>151.356</v>
      </c>
      <c r="BU28" s="350" t="n">
        <v>31.0519</v>
      </c>
      <c r="BV28" s="350" t="n">
        <v>-267.0283</v>
      </c>
      <c r="BW28" s="349"/>
      <c r="BY28" s="350"/>
      <c r="BZ28" s="350"/>
      <c r="CA28" s="350"/>
      <c r="CC28" s="350"/>
    </row>
    <row r="29" customFormat="false" ht="12.75" hidden="false" customHeight="false" outlineLevel="0" collapsed="false">
      <c r="A29" s="0" t="n">
        <f aca="false">A20*10</f>
        <v>300</v>
      </c>
      <c r="B29" s="0" t="n">
        <f aca="false">A29/1000</f>
        <v>0.3</v>
      </c>
      <c r="C29" s="0" t="n">
        <f aca="false">SQRT((A29/Fesr)^2+1)</f>
        <v>1.00000000000178</v>
      </c>
      <c r="D29" s="0" t="n">
        <f aca="false">ATAN(A29/Fesr)</f>
        <v>1.88495558999777E-006</v>
      </c>
      <c r="F29" s="0" t="n">
        <f aca="false">(Ro/(Ro+Rdcr))/SQRT((A29/(Q*Fo))^2+(1-(A29^2/Fo^2))^2)</f>
        <v>0.992428945667541</v>
      </c>
      <c r="G29" s="0" t="n">
        <f aca="false">-ATAN(A29*Fo/(Q*(Fo^2-A29^2)))</f>
        <v>-0.00432874063756421</v>
      </c>
      <c r="H29" s="0" t="n">
        <f aca="false">IF(G29&gt;0,G29-Pi,G29)</f>
        <v>-0.00432874063756421</v>
      </c>
      <c r="J29" s="0" t="n">
        <f aca="false">Vin/Vramp</f>
        <v>9</v>
      </c>
      <c r="M29" s="0" t="n">
        <f aca="false">1/(2*Pi*_Rfb1*(Cc1ea_u+Cc2ea_u)*A29)</f>
        <v>19.6487584288588</v>
      </c>
      <c r="N29" s="0" t="n">
        <f aca="false">-Pi/2</f>
        <v>-1.570796325</v>
      </c>
      <c r="O29" s="0" t="n">
        <f aca="false">SQRT(1+(A29/Fz1_u)^2)</f>
        <v>1.00002685461501</v>
      </c>
      <c r="P29" s="0" t="n">
        <f aca="false">ATAN2(Fz1_u,A29)</f>
        <v>0.0073285761299771</v>
      </c>
      <c r="Q29" s="0" t="n">
        <f aca="false">SQRT(1+(A29/Fz2_u)^2)</f>
        <v>8.37594102756487</v>
      </c>
      <c r="R29" s="0" t="n">
        <f aca="false">ATAN2(Fz2_u,A29)</f>
        <v>1.45112129444577</v>
      </c>
      <c r="S29" s="0" t="n">
        <f aca="false">1/SQRT(1+(A29/Fp1_u)^2)</f>
        <v>0.999753062923482</v>
      </c>
      <c r="T29" s="0" t="n">
        <f aca="false">-ATAN2(Fp1_u,A29)</f>
        <v>-0.0222237368673349</v>
      </c>
      <c r="U29" s="0" t="n">
        <f aca="false">1/SQRT(1+(A29/Fp2_u)^2)</f>
        <v>0.999999668457256</v>
      </c>
      <c r="V29" s="0" t="n">
        <f aca="false">-ATAN2(Fp2_u,A29)</f>
        <v>-0.000814300634896298</v>
      </c>
      <c r="X29" s="0" t="n">
        <f aca="false">20*LOG(C29*J29*O29*Q29*F29*M29*S29*U29)</f>
        <v>63.3442983658181</v>
      </c>
      <c r="Y29" s="0" t="n">
        <f aca="false">(180/Pi)*(D29+H29+N29+P29+R29+T29+V29)</f>
        <v>-8.00487057719653</v>
      </c>
      <c r="Z29" s="0" t="n">
        <f aca="false">Y29+180</f>
        <v>171.995129422803</v>
      </c>
      <c r="AC29" s="0" t="n">
        <v>1</v>
      </c>
      <c r="AD29" s="0" t="n">
        <f aca="false">Rcea1_u*Cc1ea_u*A29*2*Pi</f>
        <v>0.00732870733392</v>
      </c>
      <c r="AE29" s="0" t="n">
        <f aca="false">-Rcea1_u*Cc1ea_u*Cc2ea_u*(A29*2*Pi)^2</f>
        <v>-2.07214317848197E-009</v>
      </c>
      <c r="AF29" s="0" t="n">
        <f aca="false">(Cc2ea_u+Cc1ea_u)*A29*2*Pi</f>
        <v>2.5446900465E-006</v>
      </c>
      <c r="AG29" s="0" t="n">
        <f aca="false">AC29*AE29/(AE29^2+AF29^2)+AD29*AF29/(AE29^2+AF29^2)</f>
        <v>2559.99830250143</v>
      </c>
      <c r="AH29" s="0" t="n">
        <f aca="false">AD29*AE29/(AE29^2+AF29^2)-AC29*AF29/(AE29^2+AF29^2)</f>
        <v>-392977.25318588</v>
      </c>
      <c r="AJ29" s="0" t="n">
        <f aca="false">_Rfb1</f>
        <v>20000</v>
      </c>
      <c r="AK29" s="0" t="n">
        <f aca="false">_Rfb1*Rcea2_u*Cc3ea_u*A29*2*Pi</f>
        <v>444.5479263456</v>
      </c>
      <c r="AL29" s="0" t="n">
        <v>1</v>
      </c>
      <c r="AM29" s="0" t="n">
        <f aca="false">(_Rfb1+Rcea2_u)*Cc3ea_u*A29*2*Pi</f>
        <v>8.31603199231728</v>
      </c>
      <c r="AN29" s="0" t="n">
        <f aca="false">AJ29*AL29/(AL29^2+AM29^2)+AK29*AM29/(AL29^2+AM29^2)</f>
        <v>337.772160459028</v>
      </c>
      <c r="AO29" s="0" t="n">
        <f aca="false">AK29*AL29/(AL29^2+AM29^2)-AJ29*AM29/(AL29^2+AM29^2)</f>
        <v>-2364.3761661458</v>
      </c>
      <c r="AQ29" s="0" t="n">
        <f aca="false">Eadcg/(1+(Eadcg*A29/GBP)^2)</f>
        <v>3084.89126114404</v>
      </c>
      <c r="AR29" s="0" t="n">
        <f aca="false">-(A29*Eadcg*Eadcg/GBP)/(1+(Eadcg*A29/GBP)^2)</f>
        <v>-487.721308386872</v>
      </c>
      <c r="AT29" s="0" t="n">
        <f aca="false">-AR29*AH29+AG29*AQ29</f>
        <v>-183766063.698166</v>
      </c>
      <c r="AU29" s="0" t="n">
        <f aca="false">AQ29*AH29+AG29*AR29</f>
        <v>-1213540659.90307</v>
      </c>
      <c r="AV29" s="0" t="n">
        <f aca="false">ATAN2(AT29,AU29)</f>
        <v>-1.72108419221675</v>
      </c>
      <c r="AW29" s="0" t="n">
        <f aca="false">AG29-AH29*AO29/_Rfb2+AG29*AN29/_Rfb2+AN29-AO29*AR29+AQ29*AN29</f>
        <v>-525995.090551339</v>
      </c>
      <c r="AX29" s="0" t="n">
        <f aca="false">AH29+AH29*AN29/_Rfb2+AG29*AO29/_Rfb2+AO29+AO29*AQ29+AN29*AR29</f>
        <v>-7916378.99104443</v>
      </c>
      <c r="AY29" s="0" t="n">
        <f aca="false">ATAN2(AW29,AX29)</f>
        <v>-1.6371427058826</v>
      </c>
      <c r="BA29" s="0" t="n">
        <f aca="false">SQRT(AT29^2+AU29^2)/SQRT(AW29^2+AX29^2)</f>
        <v>154.701442416135</v>
      </c>
      <c r="BB29" s="0" t="n">
        <f aca="false">20*LOG(BA29)</f>
        <v>43.7898872604706</v>
      </c>
      <c r="BC29" s="0" t="n">
        <f aca="false">AV29-AY29</f>
        <v>-0.0839414863341532</v>
      </c>
      <c r="BD29" s="0" t="n">
        <f aca="false">BC29*180/Pi-180</f>
        <v>-184.809492898498</v>
      </c>
      <c r="BF29" s="0" t="n">
        <f aca="false">20*LOG(BA29*J29*F29*C29)</f>
        <v>62.8087259018717</v>
      </c>
      <c r="BG29" s="0" t="n">
        <f aca="false">(180/Pi)*(D29+H29+BC29)</f>
        <v>-5.0574034679203</v>
      </c>
      <c r="BH29" s="0" t="n">
        <f aca="false">IF(BG29&gt;180,BG29-180,BG29+180)</f>
        <v>174.94259653208</v>
      </c>
      <c r="BI29" s="0" t="n">
        <f aca="false">IF(BH29&gt;180,BH29-360,BH29)</f>
        <v>174.94259653208</v>
      </c>
      <c r="BJ29" s="0" t="n">
        <f aca="false">SUM((BF30&lt;0)*(BF29&gt;0))*A29</f>
        <v>0</v>
      </c>
      <c r="BK29" s="0" t="n">
        <f aca="false">IF(BJ29&gt;0,BI29,0)</f>
        <v>0</v>
      </c>
      <c r="BM29" s="0" t="n">
        <f aca="false">20*LOG(J29*F29*C29)</f>
        <v>19.0188386414011</v>
      </c>
      <c r="BN29" s="0" t="n">
        <f aca="false">(H29+D29)*180/Pi</f>
        <v>-0.247910569422601</v>
      </c>
      <c r="BQ29" s="347" t="n">
        <f aca="false">20*LOG(BA29*7)</f>
        <v>60.6918480607557</v>
      </c>
      <c r="BR29" s="350"/>
      <c r="BS29" s="350"/>
      <c r="BT29" s="350" t="n">
        <v>154.882</v>
      </c>
      <c r="BU29" s="350" t="n">
        <v>31.2487</v>
      </c>
      <c r="BV29" s="350" t="n">
        <v>-260.6973</v>
      </c>
      <c r="BW29" s="349"/>
      <c r="BY29" s="350"/>
      <c r="BZ29" s="350"/>
      <c r="CA29" s="350"/>
      <c r="CC29" s="350"/>
    </row>
    <row r="30" customFormat="false" ht="12.75" hidden="false" customHeight="false" outlineLevel="0" collapsed="false">
      <c r="A30" s="0" t="n">
        <f aca="false">A21*10</f>
        <v>400</v>
      </c>
      <c r="B30" s="0" t="n">
        <f aca="false">A30/1000</f>
        <v>0.4</v>
      </c>
      <c r="C30" s="0" t="n">
        <f aca="false">SQRT((A30/Fesr)^2+1)</f>
        <v>1.00000000000316</v>
      </c>
      <c r="D30" s="0" t="n">
        <f aca="false">ATAN(A30/Fesr)</f>
        <v>2.51327411999471E-006</v>
      </c>
      <c r="F30" s="0" t="n">
        <f aca="false">(Ro/(Ro+Rdcr))/SQRT((A30/(Q*Fo))^2+(1-(A30^2/Fo^2))^2)</f>
        <v>0.992458736873967</v>
      </c>
      <c r="G30" s="0" t="n">
        <f aca="false">-ATAN(A30*Fo/(Q*(Fo^2-A30^2)))</f>
        <v>-0.00577184146157928</v>
      </c>
      <c r="H30" s="0" t="n">
        <f aca="false">IF(G30&gt;0,G30-Pi,G30)</f>
        <v>-0.00577184146157928</v>
      </c>
      <c r="J30" s="0" t="n">
        <f aca="false">Vin/Vramp</f>
        <v>9</v>
      </c>
      <c r="M30" s="0" t="n">
        <f aca="false">1/(2*Pi*_Rfb1*(Cc1ea_u+Cc2ea_u)*A30)</f>
        <v>14.7365688216441</v>
      </c>
      <c r="N30" s="0" t="n">
        <f aca="false">-Pi/2</f>
        <v>-1.570796325</v>
      </c>
      <c r="O30" s="0" t="n">
        <f aca="false">SQRT(1+(A30/Fz1_u)^2)</f>
        <v>1.00004774103923</v>
      </c>
      <c r="P30" s="0" t="n">
        <f aca="false">ATAN2(Fz1_u,A30)</f>
        <v>0.00977129878441583</v>
      </c>
      <c r="Q30" s="0" t="n">
        <f aca="false">SQRT(1+(A30/Fz2_u)^2)</f>
        <v>11.133044954129</v>
      </c>
      <c r="R30" s="0" t="n">
        <f aca="false">ATAN2(Fz2_u,A30)</f>
        <v>1.48085241696572</v>
      </c>
      <c r="S30" s="0" t="n">
        <f aca="false">1/SQRT(1+(A30/Fp1_u)^2)</f>
        <v>0.999561127174705</v>
      </c>
      <c r="T30" s="0" t="n">
        <f aca="false">-ATAN2(Fp1_u,A30)</f>
        <v>-0.0296278561698873</v>
      </c>
      <c r="U30" s="0" t="n">
        <f aca="false">1/SQRT(1+(A30/Fp2_u)^2)</f>
        <v>0.999999410590906</v>
      </c>
      <c r="V30" s="0" t="n">
        <f aca="false">-ATAN2(Fp2_u,A30)</f>
        <v>-0.0010857339932121</v>
      </c>
      <c r="X30" s="0" t="n">
        <f aca="false">20*LOG(C30*J30*O30*Q30*F30*M30*S30*U30)</f>
        <v>63.3159028682025</v>
      </c>
      <c r="Y30" s="0" t="n">
        <f aca="false">(180/Pi)*(D30+H30+N30+P30+R30+T30+V30)</f>
        <v>-6.68386939601338</v>
      </c>
      <c r="Z30" s="0" t="n">
        <f aca="false">Y30+180</f>
        <v>173.316130603987</v>
      </c>
      <c r="AC30" s="0" t="n">
        <v>1</v>
      </c>
      <c r="AD30" s="0" t="n">
        <f aca="false">Rcea1_u*Cc1ea_u*A30*2*Pi</f>
        <v>0.00977160977856</v>
      </c>
      <c r="AE30" s="0" t="n">
        <f aca="false">-Rcea1_u*Cc1ea_u*Cc2ea_u*(A30*2*Pi)^2</f>
        <v>-3.68381009507907E-009</v>
      </c>
      <c r="AF30" s="0" t="n">
        <f aca="false">(Cc2ea_u+Cc1ea_u)*A30*2*Pi</f>
        <v>3.392920062E-006</v>
      </c>
      <c r="AG30" s="0" t="n">
        <f aca="false">AC30*AE30/(AE30^2+AF30^2)+AD30*AF30/(AE30^2+AF30^2)</f>
        <v>2559.99698222633</v>
      </c>
      <c r="AH30" s="0" t="n">
        <f aca="false">AD30*AE30/(AE30^2+AF30^2)-AC30*AF30/(AE30^2+AF30^2)</f>
        <v>-294734.15590972</v>
      </c>
      <c r="AJ30" s="0" t="n">
        <f aca="false">_Rfb1</f>
        <v>20000</v>
      </c>
      <c r="AK30" s="0" t="n">
        <f aca="false">_Rfb1*Rcea2_u*Cc3ea_u*A30*2*Pi</f>
        <v>592.7305684608</v>
      </c>
      <c r="AL30" s="0" t="n">
        <v>1</v>
      </c>
      <c r="AM30" s="0" t="n">
        <f aca="false">(_Rfb1+Rcea2_u)*Cc3ea_u*A30*2*Pi</f>
        <v>11.088042656423</v>
      </c>
      <c r="AN30" s="0" t="n">
        <f aca="false">AJ30*AL30/(AL30^2+AM30^2)+AK30*AM30/(AL30^2+AM30^2)</f>
        <v>214.387738897389</v>
      </c>
      <c r="AO30" s="0" t="n">
        <f aca="false">AK30*AL30/(AL30^2+AM30^2)-AJ30*AM30/(AL30^2+AM30^2)</f>
        <v>-1784.40982544753</v>
      </c>
      <c r="AQ30" s="0" t="n">
        <f aca="false">Eadcg/(1+(Eadcg*A30/GBP)^2)</f>
        <v>3027.46943079285</v>
      </c>
      <c r="AR30" s="0" t="n">
        <f aca="false">-(A30*Eadcg*Eadcg/GBP)/(1+(Eadcg*A30/GBP)^2)</f>
        <v>-638.190556011134</v>
      </c>
      <c r="AT30" s="0" t="n">
        <f aca="false">-AR30*AH30+AG30*AQ30</f>
        <v>-180346242.228884</v>
      </c>
      <c r="AU30" s="0" t="n">
        <f aca="false">AQ30*AH30+AG30*AR30</f>
        <v>-893932413.124687</v>
      </c>
      <c r="AV30" s="0" t="n">
        <f aca="false">ATAN2(AT30,AU30)</f>
        <v>-1.76986904294023</v>
      </c>
      <c r="AW30" s="0" t="n">
        <f aca="false">AG30-AH30*AO30/_Rfb2+AG30*AN30/_Rfb2+AN30-AO30*AR30+AQ30*AN30</f>
        <v>-723386.74936538</v>
      </c>
      <c r="AX30" s="0" t="n">
        <f aca="false">AH30+AH30*AN30/_Rfb2+AG30*AO30/_Rfb2+AO30+AO30*AQ30+AN30*AR30</f>
        <v>-5866074.95743615</v>
      </c>
      <c r="AY30" s="0" t="n">
        <f aca="false">ATAN2(AW30,AX30)</f>
        <v>-1.69349386913156</v>
      </c>
      <c r="BA30" s="0" t="n">
        <f aca="false">SQRT(AT30^2+AU30^2)/SQRT(AW30^2+AX30^2)</f>
        <v>154.291761821216</v>
      </c>
      <c r="BB30" s="0" t="n">
        <f aca="false">20*LOG(BA30)</f>
        <v>43.7668547635053</v>
      </c>
      <c r="BC30" s="0" t="n">
        <f aca="false">AV30-AY30</f>
        <v>-0.0763751738086755</v>
      </c>
      <c r="BD30" s="0" t="n">
        <f aca="false">BC30*180/Pi-180</f>
        <v>-184.375975123816</v>
      </c>
      <c r="BF30" s="0" t="n">
        <f aca="false">20*LOG(BA30*J30*F30*C30)</f>
        <v>62.7859541381916</v>
      </c>
      <c r="BG30" s="0" t="n">
        <f aca="false">(180/Pi)*(D30+H30+BC30)</f>
        <v>-4.70653327996049</v>
      </c>
      <c r="BH30" s="0" t="n">
        <f aca="false">IF(BG30&gt;180,BG30-180,BG30+180)</f>
        <v>175.29346672004</v>
      </c>
      <c r="BI30" s="0" t="n">
        <f aca="false">IF(BH30&gt;180,BH30-360,BH30)</f>
        <v>175.29346672004</v>
      </c>
      <c r="BJ30" s="0" t="n">
        <f aca="false">SUM((BF31&lt;0)*(BF30&gt;0))*A30</f>
        <v>0</v>
      </c>
      <c r="BK30" s="0" t="n">
        <f aca="false">IF(BJ30&gt;0,BI30,0)</f>
        <v>0</v>
      </c>
      <c r="BM30" s="0" t="n">
        <f aca="false">20*LOG(J30*F30*C30)</f>
        <v>19.0190993746863</v>
      </c>
      <c r="BN30" s="0" t="n">
        <f aca="false">(H30+D30)*180/Pi</f>
        <v>-0.330558156144996</v>
      </c>
      <c r="BQ30" s="347" t="n">
        <f aca="false">20*LOG(BA30*7)</f>
        <v>60.6688155637904</v>
      </c>
      <c r="BR30" s="350"/>
      <c r="BS30" s="350"/>
      <c r="BT30" s="350" t="n">
        <v>158.489</v>
      </c>
      <c r="BU30" s="350" t="n">
        <v>31.0037</v>
      </c>
      <c r="BV30" s="350" t="n">
        <v>-259.869</v>
      </c>
      <c r="BW30" s="349"/>
      <c r="BY30" s="350"/>
      <c r="BZ30" s="350"/>
      <c r="CA30" s="350"/>
      <c r="CC30" s="350"/>
    </row>
    <row r="31" customFormat="false" ht="12.75" hidden="false" customHeight="false" outlineLevel="0" collapsed="false">
      <c r="A31" s="0" t="n">
        <f aca="false">A22*10</f>
        <v>500</v>
      </c>
      <c r="B31" s="0" t="n">
        <f aca="false">A31/1000</f>
        <v>0.5</v>
      </c>
      <c r="C31" s="0" t="n">
        <f aca="false">SQRT((A31/Fesr)^2+1)</f>
        <v>1.00000000000493</v>
      </c>
      <c r="D31" s="0" t="n">
        <f aca="false">ATAN(A31/Fesr)</f>
        <v>3.14159264998966E-006</v>
      </c>
      <c r="F31" s="0" t="n">
        <f aca="false">(Ro/(Ro+Rdcr))/SQRT((A31/(Q*Fo))^2+(1-(A31^2/Fo^2))^2)</f>
        <v>0.992497041766269</v>
      </c>
      <c r="G31" s="0" t="n">
        <f aca="false">-ATAN(A31*Fo/(Q*(Fo^2-A31^2)))</f>
        <v>-0.00721510282861252</v>
      </c>
      <c r="H31" s="0" t="n">
        <f aca="false">IF(G31&gt;0,G31-Pi,G31)</f>
        <v>-0.00721510282861252</v>
      </c>
      <c r="J31" s="0" t="n">
        <f aca="false">Vin/Vramp</f>
        <v>9</v>
      </c>
      <c r="M31" s="0" t="n">
        <f aca="false">1/(2*Pi*_Rfb1*(Cc1ea_u+Cc2ea_u)*A31)</f>
        <v>11.7892550573153</v>
      </c>
      <c r="N31" s="0" t="n">
        <f aca="false">-Pi/2</f>
        <v>-1.570796325</v>
      </c>
      <c r="O31" s="0" t="n">
        <f aca="false">SQRT(1+(A31/Fz1_u)^2)</f>
        <v>1.00007459437227</v>
      </c>
      <c r="P31" s="0" t="n">
        <f aca="false">ATAN2(Fz1_u,A31)</f>
        <v>0.0122139048323343</v>
      </c>
      <c r="Q31" s="0" t="n">
        <f aca="false">SQRT(1+(A31/Fz2_u)^2)</f>
        <v>13.8960813918134</v>
      </c>
      <c r="R31" s="0" t="n">
        <f aca="false">ATAN2(Fz2_u,A31)</f>
        <v>1.49877133678488</v>
      </c>
      <c r="S31" s="0" t="n">
        <f aca="false">1/SQRT(1+(A31/Fp1_u)^2)</f>
        <v>0.999314514997283</v>
      </c>
      <c r="T31" s="0" t="n">
        <f aca="false">-ATAN2(Fp1_u,A31)</f>
        <v>-0.0370287275499437</v>
      </c>
      <c r="U31" s="0" t="n">
        <f aca="false">1/SQRT(1+(A31/Fp2_u)^2)</f>
        <v>0.999999079048748</v>
      </c>
      <c r="V31" s="0" t="n">
        <f aca="false">-ATAN2(Fp2_u,A31)</f>
        <v>-0.00135716719154271</v>
      </c>
      <c r="X31" s="0" t="n">
        <f aca="false">20*LOG(C31*J31*O31*Q31*F31*M31*S31*U31)</f>
        <v>63.3016926713388</v>
      </c>
      <c r="Y31" s="0" t="n">
        <f aca="false">(180/Pi)*(D31+H31+N31+P31+R31+T31+V31)</f>
        <v>-6.03948735519305</v>
      </c>
      <c r="Z31" s="0" t="n">
        <f aca="false">Y31+180</f>
        <v>173.960512644807</v>
      </c>
      <c r="AC31" s="0" t="n">
        <v>1</v>
      </c>
      <c r="AD31" s="0" t="n">
        <f aca="false">Rcea1_u*Cc1ea_u*A31*2*Pi</f>
        <v>0.0122145122232</v>
      </c>
      <c r="AE31" s="0" t="n">
        <f aca="false">-Rcea1_u*Cc1ea_u*Cc2ea_u*(A31*2*Pi)^2</f>
        <v>-5.75595327356104E-009</v>
      </c>
      <c r="AF31" s="0" t="n">
        <f aca="false">(Cc2ea_u+Cc1ea_u)*A31*2*Pi</f>
        <v>4.2411500775E-006</v>
      </c>
      <c r="AG31" s="0" t="n">
        <f aca="false">AC31*AE31/(AE31^2+AF31^2)+AD31*AF31/(AE31^2+AF31^2)</f>
        <v>2559.99528473176</v>
      </c>
      <c r="AH31" s="0" t="n">
        <f aca="false">AD31*AE31/(AE31^2+AF31^2)-AC31*AF31/(AE31^2+AF31^2)</f>
        <v>-235788.57549005</v>
      </c>
      <c r="AJ31" s="0" t="n">
        <f aca="false">_Rfb1</f>
        <v>20000</v>
      </c>
      <c r="AK31" s="0" t="n">
        <f aca="false">_Rfb1*Rcea2_u*Cc3ea_u*A31*2*Pi</f>
        <v>740.913210576</v>
      </c>
      <c r="AL31" s="0" t="n">
        <v>1</v>
      </c>
      <c r="AM31" s="0" t="n">
        <f aca="false">(_Rfb1+Rcea2_u)*Cc3ea_u*A31*2*Pi</f>
        <v>13.8600533205288</v>
      </c>
      <c r="AN31" s="0" t="n">
        <f aca="false">AJ31*AL31/(AL31^2+AM31^2)+AK31*AM31/(AL31^2+AM31^2)</f>
        <v>156.752602887897</v>
      </c>
      <c r="AO31" s="0" t="n">
        <f aca="false">AK31*AL31/(AL31^2+AM31^2)-AJ31*AM31/(AL31^2+AM31^2)</f>
        <v>-1431.68622358193</v>
      </c>
      <c r="AQ31" s="0" t="n">
        <f aca="false">Eadcg/(1+(Eadcg*A31/GBP)^2)</f>
        <v>2956.70903883813</v>
      </c>
      <c r="AR31" s="0" t="n">
        <f aca="false">-(A31*Eadcg*Eadcg/GBP)/(1+(Eadcg*A31/GBP)^2)</f>
        <v>-779.092831733848</v>
      </c>
      <c r="AT31" s="0" t="n">
        <f aca="false">-AR31*AH31+AG31*AQ31</f>
        <v>-176132027.771284</v>
      </c>
      <c r="AU31" s="0" t="n">
        <f aca="false">AQ31*AH31+AG31*AR31</f>
        <v>-699152686.381804</v>
      </c>
      <c r="AV31" s="0" t="n">
        <f aca="false">ATAN2(AT31,AU31)</f>
        <v>-1.81758322536443</v>
      </c>
      <c r="AW31" s="0" t="n">
        <f aca="false">AG31-AH31*AO31/_Rfb2+AG31*AN31/_Rfb2+AN31-AO31*AR31+AQ31*AN31</f>
        <v>-800956.174554399</v>
      </c>
      <c r="AX31" s="0" t="n">
        <f aca="false">AH31+AH31*AN31/_Rfb2+AG31*AO31/_Rfb2+AO31+AO31*AQ31+AN31*AR31</f>
        <v>-4610706.20133834</v>
      </c>
      <c r="AY31" s="0" t="n">
        <f aca="false">ATAN2(AW31,AX31)</f>
        <v>-1.74279645227884</v>
      </c>
      <c r="BA31" s="0" t="n">
        <f aca="false">SQRT(AT31^2+AU31^2)/SQRT(AW31^2+AX31^2)</f>
        <v>154.067172142102</v>
      </c>
      <c r="BB31" s="0" t="n">
        <f aca="false">20*LOG(BA31)</f>
        <v>43.7542022258505</v>
      </c>
      <c r="BC31" s="0" t="n">
        <f aca="false">AV31-AY31</f>
        <v>-0.0747867730855973</v>
      </c>
      <c r="BD31" s="0" t="n">
        <f aca="false">BC31*180/Pi-180</f>
        <v>-184.284966466104</v>
      </c>
      <c r="BF31" s="0" t="n">
        <f aca="false">20*LOG(BA31*J31*F31*C31)</f>
        <v>62.7736368342847</v>
      </c>
      <c r="BG31" s="0" t="n">
        <f aca="false">(180/Pi)*(D31+H31+BC31)</f>
        <v>-4.69818140740837</v>
      </c>
      <c r="BH31" s="0" t="n">
        <f aca="false">IF(BG31&gt;180,BG31-180,BG31+180)</f>
        <v>175.301818592592</v>
      </c>
      <c r="BI31" s="0" t="n">
        <f aca="false">IF(BH31&gt;180,BH31-360,BH31)</f>
        <v>175.301818592592</v>
      </c>
      <c r="BJ31" s="0" t="n">
        <f aca="false">SUM((BF32&lt;0)*(BF31&gt;0))*A31</f>
        <v>0</v>
      </c>
      <c r="BK31" s="0" t="n">
        <f aca="false">IF(BJ31&gt;0,BI31,0)</f>
        <v>0</v>
      </c>
      <c r="BM31" s="0" t="n">
        <f aca="false">20*LOG(J31*F31*C31)</f>
        <v>19.0194346084342</v>
      </c>
      <c r="BN31" s="0" t="n">
        <f aca="false">(H31+D31)*180/Pi</f>
        <v>-0.413214941304773</v>
      </c>
      <c r="BQ31" s="347" t="n">
        <f aca="false">20*LOG(BA31*7)</f>
        <v>60.6561630261357</v>
      </c>
      <c r="BR31" s="350"/>
      <c r="BS31" s="350"/>
      <c r="BT31" s="350" t="n">
        <v>162.181</v>
      </c>
      <c r="BU31" s="350" t="n">
        <v>30.4293</v>
      </c>
      <c r="BV31" s="350" t="n">
        <v>-262.3986</v>
      </c>
      <c r="BW31" s="349"/>
      <c r="BY31" s="350"/>
      <c r="BZ31" s="350"/>
      <c r="CA31" s="350"/>
      <c r="CC31" s="350"/>
    </row>
    <row r="32" customFormat="false" ht="12.75" hidden="false" customHeight="false" outlineLevel="0" collapsed="false">
      <c r="A32" s="0" t="n">
        <f aca="false">A23*10</f>
        <v>600</v>
      </c>
      <c r="B32" s="0" t="n">
        <f aca="false">A32/1000</f>
        <v>0.6</v>
      </c>
      <c r="C32" s="0" t="n">
        <f aca="false">SQRT((A32/Fesr)^2+1)</f>
        <v>1.00000000000711</v>
      </c>
      <c r="D32" s="0" t="n">
        <f aca="false">ATAN(A32/Fesr)</f>
        <v>3.76991117998214E-006</v>
      </c>
      <c r="F32" s="0" t="n">
        <f aca="false">(Ro/(Ro+Rdcr))/SQRT((A32/(Q*Fo))^2+(1-(A32^2/Fo^2))^2)</f>
        <v>0.992543861778993</v>
      </c>
      <c r="G32" s="0" t="n">
        <f aca="false">-ATAN(A32*Fo/(Q*(Fo^2-A32^2)))</f>
        <v>-0.00865856489802223</v>
      </c>
      <c r="H32" s="0" t="n">
        <f aca="false">IF(G32&gt;0,G32-Pi,G32)</f>
        <v>-0.00865856489802223</v>
      </c>
      <c r="J32" s="0" t="n">
        <f aca="false">Vin/Vramp</f>
        <v>9</v>
      </c>
      <c r="M32" s="0" t="n">
        <f aca="false">1/(2*Pi*_Rfb1*(Cc1ea_u+Cc2ea_u)*A32)</f>
        <v>9.82437921442941</v>
      </c>
      <c r="N32" s="0" t="n">
        <f aca="false">-Pi/2</f>
        <v>-1.570796325</v>
      </c>
      <c r="O32" s="0" t="n">
        <f aca="false">SQRT(1+(A32/Fz1_u)^2)</f>
        <v>1.00010741413347</v>
      </c>
      <c r="P32" s="0" t="n">
        <f aca="false">ATAN2(Fz1_u,A32)</f>
        <v>0.0146563651377567</v>
      </c>
      <c r="Q32" s="0" t="n">
        <f aca="false">SQRT(1+(A32/Fz2_u)^2)</f>
        <v>16.6620992791718</v>
      </c>
      <c r="R32" s="0" t="n">
        <f aca="false">ATAN2(Fz2_u,A32)</f>
        <v>1.5107437915543</v>
      </c>
      <c r="S32" s="0" t="n">
        <f aca="false">1/SQRT(1+(A32/Fp1_u)^2)</f>
        <v>0.999013347852947</v>
      </c>
      <c r="T32" s="0" t="n">
        <f aca="false">-ATAN2(Fp1_u,A32)</f>
        <v>-0.0444255430317135</v>
      </c>
      <c r="U32" s="0" t="n">
        <f aca="false">1/SQRT(1+(A32/Fp2_u)^2)</f>
        <v>0.999998673831004</v>
      </c>
      <c r="V32" s="0" t="n">
        <f aca="false">-ATAN2(Fp2_u,A32)</f>
        <v>-0.0016286001898921</v>
      </c>
      <c r="X32" s="0" t="n">
        <f aca="false">20*LOG(C32*J32*O32*Q32*F32*M32*S32*U32)</f>
        <v>63.2928882911888</v>
      </c>
      <c r="Y32" s="0" t="n">
        <f aca="false">(180/Pi)*(D32+H32+N32+P32+R32+T32+V32)</f>
        <v>-5.73560011765054</v>
      </c>
      <c r="Z32" s="0" t="n">
        <f aca="false">Y32+180</f>
        <v>174.264399882349</v>
      </c>
      <c r="AC32" s="0" t="n">
        <v>1</v>
      </c>
      <c r="AD32" s="0" t="n">
        <f aca="false">Rcea1_u*Cc1ea_u*A32*2*Pi</f>
        <v>0.01465741466784</v>
      </c>
      <c r="AE32" s="0" t="n">
        <f aca="false">-Rcea1_u*Cc1ea_u*Cc2ea_u*(A32*2*Pi)^2</f>
        <v>-8.2885727139279E-009</v>
      </c>
      <c r="AF32" s="0" t="n">
        <f aca="false">(Cc2ea_u+Cc1ea_u)*A32*2*Pi</f>
        <v>5.089380093E-006</v>
      </c>
      <c r="AG32" s="0" t="n">
        <f aca="false">AC32*AE32/(AE32^2+AF32^2)+AD32*AF32/(AE32^2+AF32^2)</f>
        <v>2559.99321001924</v>
      </c>
      <c r="AH32" s="0" t="n">
        <f aca="false">AD32*AE32/(AE32^2+AF32^2)-AC32*AF32/(AE32^2+AF32^2)</f>
        <v>-196491.753497702</v>
      </c>
      <c r="AJ32" s="0" t="n">
        <f aca="false">_Rfb1</f>
        <v>20000</v>
      </c>
      <c r="AK32" s="0" t="n">
        <f aca="false">_Rfb1*Rcea2_u*Cc3ea_u*A32*2*Pi</f>
        <v>889.0958526912</v>
      </c>
      <c r="AL32" s="0" t="n">
        <v>1</v>
      </c>
      <c r="AM32" s="0" t="n">
        <f aca="false">(_Rfb1+Rcea2_u)*Cc3ea_u*A32*2*Pi</f>
        <v>16.6320639846346</v>
      </c>
      <c r="AN32" s="0" t="n">
        <f aca="false">AJ32*AL32/(AL32^2+AM32^2)+AK32*AM32/(AL32^2+AM32^2)</f>
        <v>125.303664634201</v>
      </c>
      <c r="AO32" s="0" t="n">
        <f aca="false">AK32*AL32/(AL32^2+AM32^2)-AJ32*AM32/(AL32^2+AM32^2)</f>
        <v>-1194.96271501402</v>
      </c>
      <c r="AQ32" s="0" t="n">
        <f aca="false">Eadcg/(1+(Eadcg*A32/GBP)^2)</f>
        <v>2874.59134347636</v>
      </c>
      <c r="AR32" s="0" t="n">
        <f aca="false">-(A32*Eadcg*Eadcg/GBP)/(1+(Eadcg*A32/GBP)^2)</f>
        <v>-908.945782807224</v>
      </c>
      <c r="AT32" s="0" t="n">
        <f aca="false">-AR32*AH32+AG32*AQ32</f>
        <v>-171241416.377253</v>
      </c>
      <c r="AU32" s="0" t="n">
        <f aca="false">AQ32*AH32+AG32*AR32</f>
        <v>-567160388.701247</v>
      </c>
      <c r="AV32" s="0" t="n">
        <f aca="false">ATAN2(AT32,AU32)</f>
        <v>-1.86402068898173</v>
      </c>
      <c r="AW32" s="0" t="n">
        <f aca="false">AG32-AH32*AO32/_Rfb2+AG32*AN32/_Rfb2+AN32-AO32*AR32+AQ32*AN32</f>
        <v>-828789.988103943</v>
      </c>
      <c r="AX32" s="0" t="n">
        <f aca="false">AH32+AH32*AN32/_Rfb2+AG32*AO32/_Rfb2+AO32+AO32*AQ32+AN32*AR32</f>
        <v>-3759066.53505771</v>
      </c>
      <c r="AY32" s="0" t="n">
        <f aca="false">ATAN2(AW32,AX32)</f>
        <v>-1.78780214253255</v>
      </c>
      <c r="BA32" s="0" t="n">
        <f aca="false">SQRT(AT32^2+AU32^2)/SQRT(AW32^2+AX32^2)</f>
        <v>153.908670223306</v>
      </c>
      <c r="BB32" s="0" t="n">
        <f aca="false">20*LOG(BA32)</f>
        <v>43.7452617174972</v>
      </c>
      <c r="BC32" s="0" t="n">
        <f aca="false">AV32-AY32</f>
        <v>-0.076218546449178</v>
      </c>
      <c r="BD32" s="0" t="n">
        <f aca="false">BC32*180/Pi-180</f>
        <v>-184.36700103715</v>
      </c>
      <c r="BF32" s="0" t="n">
        <f aca="false">20*LOG(BA32*J32*F32*C32)</f>
        <v>62.7651060640697</v>
      </c>
      <c r="BG32" s="0" t="n">
        <f aca="false">(180/Pi)*(D32+H32+BC32)</f>
        <v>-4.86288426301343</v>
      </c>
      <c r="BH32" s="0" t="n">
        <f aca="false">IF(BG32&gt;180,BG32-180,BG32+180)</f>
        <v>175.137115736987</v>
      </c>
      <c r="BI32" s="0" t="n">
        <f aca="false">IF(BH32&gt;180,BH32-360,BH32)</f>
        <v>175.137115736987</v>
      </c>
      <c r="BJ32" s="0" t="n">
        <f aca="false">SUM((BF33&lt;0)*(BF32&gt;0))*A32</f>
        <v>0</v>
      </c>
      <c r="BK32" s="0" t="n">
        <f aca="false">IF(BJ32&gt;0,BI32,0)</f>
        <v>0</v>
      </c>
      <c r="BM32" s="0" t="n">
        <f aca="false">20*LOG(J32*F32*C32)</f>
        <v>19.0198443465725</v>
      </c>
      <c r="BN32" s="0" t="n">
        <f aca="false">(H32+D32)*180/Pi</f>
        <v>-0.495883225863673</v>
      </c>
      <c r="BQ32" s="347" t="n">
        <f aca="false">20*LOG(BA32*7)</f>
        <v>60.6472225177823</v>
      </c>
      <c r="BR32" s="350"/>
      <c r="BS32" s="350"/>
      <c r="BT32" s="350" t="n">
        <v>165.959</v>
      </c>
      <c r="BU32" s="350" t="n">
        <v>29.9194</v>
      </c>
      <c r="BV32" s="350" t="n">
        <v>-264.8295</v>
      </c>
      <c r="BW32" s="349"/>
      <c r="BY32" s="350"/>
      <c r="BZ32" s="350"/>
      <c r="CA32" s="350"/>
      <c r="CC32" s="350"/>
    </row>
    <row r="33" customFormat="false" ht="12.75" hidden="false" customHeight="false" outlineLevel="0" collapsed="false">
      <c r="A33" s="0" t="n">
        <f aca="false">A24*10</f>
        <v>700</v>
      </c>
      <c r="B33" s="0" t="n">
        <f aca="false">A33/1000</f>
        <v>0.7</v>
      </c>
      <c r="C33" s="0" t="n">
        <f aca="false">SQRT((A33/Fesr)^2+1)</f>
        <v>1.00000000000967</v>
      </c>
      <c r="D33" s="0" t="n">
        <f aca="false">ATAN(A33/Fesr)</f>
        <v>4.39822970997164E-006</v>
      </c>
      <c r="F33" s="0" t="n">
        <f aca="false">(Ro/(Ro+Rdcr))/SQRT((A33/(Q*Fo))^2+(1-(A33^2/Fo^2))^2)</f>
        <v>0.992599198665566</v>
      </c>
      <c r="G33" s="0" t="n">
        <f aca="false">-ATAN(A33*Fo/(Q*(Fo^2-A33^2)))</f>
        <v>-0.0101022678449069</v>
      </c>
      <c r="H33" s="0" t="n">
        <f aca="false">IF(G33&gt;0,G33-Pi,G33)</f>
        <v>-0.0101022678449069</v>
      </c>
      <c r="J33" s="0" t="n">
        <f aca="false">Vin/Vramp</f>
        <v>9</v>
      </c>
      <c r="M33" s="0" t="n">
        <f aca="false">1/(2*Pi*_Rfb1*(Cc1ea_u+Cc2ea_u)*A33)</f>
        <v>8.42089646951092</v>
      </c>
      <c r="N33" s="0" t="n">
        <f aca="false">-Pi/2</f>
        <v>-1.570796325</v>
      </c>
      <c r="O33" s="0" t="n">
        <f aca="false">SQRT(1+(A33/Fz1_u)^2)</f>
        <v>1.00014619973549</v>
      </c>
      <c r="P33" s="0" t="n">
        <f aca="false">ATAN2(Fz1_u,A33)</f>
        <v>0.0170986505751398</v>
      </c>
      <c r="Q33" s="0" t="n">
        <f aca="false">SQRT(1+(A33/Fz2_u)^2)</f>
        <v>19.429825345944</v>
      </c>
      <c r="R33" s="0" t="n">
        <f aca="false">ATAN2(Fz2_u,A33)</f>
        <v>1.51930631135823</v>
      </c>
      <c r="S33" s="0" t="n">
        <f aca="false">1/SQRT(1+(A33/Fp1_u)^2)</f>
        <v>0.998657773856156</v>
      </c>
      <c r="T33" s="0" t="n">
        <f aca="false">-ATAN2(Fp1_u,A33)</f>
        <v>-0.0518174972996447</v>
      </c>
      <c r="U33" s="0" t="n">
        <f aca="false">1/SQRT(1+(A33/Fp2_u)^2)</f>
        <v>0.999998194937941</v>
      </c>
      <c r="V33" s="0" t="n">
        <f aca="false">-ATAN2(Fp2_u,A33)</f>
        <v>-0.00190003294826442</v>
      </c>
      <c r="X33" s="0" t="n">
        <f aca="false">20*LOG(C33*J33*O33*Q33*F33*M33*S33*U33)</f>
        <v>63.28646093245</v>
      </c>
      <c r="Y33" s="0" t="n">
        <f aca="false">(180/Pi)*(D33+H33+N33+P33+R33+T33+V33)</f>
        <v>-5.62683304194526</v>
      </c>
      <c r="Z33" s="0" t="n">
        <f aca="false">Y33+180</f>
        <v>174.373166958055</v>
      </c>
      <c r="AC33" s="0" t="n">
        <v>1</v>
      </c>
      <c r="AD33" s="0" t="n">
        <f aca="false">Rcea1_u*Cc1ea_u*A33*2*Pi</f>
        <v>0.01710031711248</v>
      </c>
      <c r="AE33" s="0" t="n">
        <f aca="false">-Rcea1_u*Cc1ea_u*Cc2ea_u*(A33*2*Pi)^2</f>
        <v>-1.12816684161796E-008</v>
      </c>
      <c r="AF33" s="0" t="n">
        <f aca="false">(Cc2ea_u+Cc1ea_u)*A33*2*Pi</f>
        <v>5.9376101085E-006</v>
      </c>
      <c r="AG33" s="0" t="n">
        <f aca="false">AC33*AE33/(AE33^2+AF33^2)+AD33*AF33/(AE33^2+AF33^2)</f>
        <v>2559.9907580906</v>
      </c>
      <c r="AH33" s="0" t="n">
        <f aca="false">AD33*AE33/(AE33^2+AF33^2)-AC33*AF33/(AE33^2+AF33^2)</f>
        <v>-168422.793462859</v>
      </c>
      <c r="AJ33" s="0" t="n">
        <f aca="false">_Rfb1</f>
        <v>20000</v>
      </c>
      <c r="AK33" s="0" t="n">
        <f aca="false">_Rfb1*Rcea2_u*Cc3ea_u*A33*2*Pi</f>
        <v>1037.2784948064</v>
      </c>
      <c r="AL33" s="0" t="n">
        <v>1</v>
      </c>
      <c r="AM33" s="0" t="n">
        <f aca="false">(_Rfb1+Rcea2_u)*Cc3ea_u*A33*2*Pi</f>
        <v>19.4040746487403</v>
      </c>
      <c r="AN33" s="0" t="n">
        <f aca="false">AJ33*AL33/(AL33^2+AM33^2)+AK33*AM33/(AL33^2+AM33^2)</f>
        <v>106.29272600632</v>
      </c>
      <c r="AO33" s="0" t="n">
        <f aca="false">AK33*AL33/(AL33^2+AM33^2)-AJ33*AM33/(AL33^2+AM33^2)</f>
        <v>-1025.23349523834</v>
      </c>
      <c r="AQ33" s="0" t="n">
        <f aca="false">Eadcg/(1+(Eadcg*A33/GBP)^2)</f>
        <v>2783.23703688205</v>
      </c>
      <c r="AR33" s="0" t="n">
        <f aca="false">-(A33*Eadcg*Eadcg/GBP)/(1+(Eadcg*A33/GBP)^2)</f>
        <v>-1026.73614290579</v>
      </c>
      <c r="AT33" s="0" t="n">
        <f aca="false">-AR33*AH33+AG33*AQ33</f>
        <v>-165800708.245481</v>
      </c>
      <c r="AU33" s="0" t="n">
        <f aca="false">AQ33*AH33+AG33*AR33</f>
        <v>-471388991.657803</v>
      </c>
      <c r="AV33" s="0" t="n">
        <f aca="false">ATAN2(AT33,AU33)</f>
        <v>-1.90900973877828</v>
      </c>
      <c r="AW33" s="0" t="n">
        <f aca="false">AG33-AH33*AO33/_Rfb2+AG33*AN33/_Rfb2+AN33-AO33*AR33+AQ33*AN33</f>
        <v>-831720.410593367</v>
      </c>
      <c r="AX33" s="0" t="n">
        <f aca="false">AH33+AH33*AN33/_Rfb2+AG33*AO33/_Rfb2+AO33+AO33*AQ33+AN33*AR33</f>
        <v>-3141287.46362631</v>
      </c>
      <c r="AY33" s="0" t="n">
        <f aca="false">ATAN2(AW33,AX33)</f>
        <v>-1.8296276512759</v>
      </c>
      <c r="BA33" s="0" t="n">
        <f aca="false">SQRT(AT33^2+AU33^2)/SQRT(AW33^2+AX33^2)</f>
        <v>153.775269567535</v>
      </c>
      <c r="BB33" s="0" t="n">
        <f aca="false">20*LOG(BA33)</f>
        <v>43.7377299402646</v>
      </c>
      <c r="BC33" s="0" t="n">
        <f aca="false">AV33-AY33</f>
        <v>-0.0793820875023787</v>
      </c>
      <c r="BD33" s="0" t="n">
        <f aca="false">BC33*180/Pi-180</f>
        <v>-184.548258588022</v>
      </c>
      <c r="BF33" s="0" t="n">
        <f aca="false">20*LOG(BA33*J33*F33*C33)</f>
        <v>62.7580585341657</v>
      </c>
      <c r="BG33" s="0" t="n">
        <f aca="false">(180/Pi)*(D33+H33+BC33)</f>
        <v>-5.12682389970693</v>
      </c>
      <c r="BH33" s="0" t="n">
        <f aca="false">IF(BG33&gt;180,BG33-180,BG33+180)</f>
        <v>174.873176100293</v>
      </c>
      <c r="BI33" s="0" t="n">
        <f aca="false">IF(BH33&gt;180,BH33-360,BH33)</f>
        <v>174.873176100293</v>
      </c>
      <c r="BJ33" s="0" t="n">
        <f aca="false">SUM((BF34&lt;0)*(BF33&gt;0))*A33</f>
        <v>0</v>
      </c>
      <c r="BK33" s="0" t="n">
        <f aca="false">IF(BJ33&gt;0,BI33,0)</f>
        <v>0</v>
      </c>
      <c r="BM33" s="0" t="n">
        <f aca="false">20*LOG(J33*F33*C33)</f>
        <v>19.0203285939011</v>
      </c>
      <c r="BN33" s="0" t="n">
        <f aca="false">(H33+D33)*180/Pi</f>
        <v>-0.578565311685284</v>
      </c>
      <c r="BQ33" s="347" t="n">
        <f aca="false">20*LOG(BA33*7)</f>
        <v>60.6396907405498</v>
      </c>
      <c r="BR33" s="350"/>
      <c r="BS33" s="350"/>
      <c r="BT33" s="350" t="n">
        <v>169.824</v>
      </c>
      <c r="BU33" s="350" t="n">
        <v>29.8089</v>
      </c>
      <c r="BV33" s="350" t="n">
        <v>-267.7277</v>
      </c>
      <c r="BW33" s="349"/>
      <c r="BY33" s="350"/>
      <c r="BZ33" s="350"/>
      <c r="CA33" s="350"/>
      <c r="CC33" s="350"/>
    </row>
    <row r="34" customFormat="false" ht="12.75" hidden="false" customHeight="false" outlineLevel="0" collapsed="false">
      <c r="A34" s="0" t="n">
        <f aca="false">A25*10</f>
        <v>800</v>
      </c>
      <c r="B34" s="0" t="n">
        <f aca="false">A34/1000</f>
        <v>0.8</v>
      </c>
      <c r="C34" s="0" t="n">
        <f aca="false">SQRT((A34/Fesr)^2+1)</f>
        <v>1.00000000001263</v>
      </c>
      <c r="D34" s="0" t="n">
        <f aca="false">ATAN(A34/Fesr)</f>
        <v>5.02654823995767E-006</v>
      </c>
      <c r="F34" s="0" t="n">
        <f aca="false">(Ro/(Ro+Rdcr))/SQRT((A34/(Q*Fo))^2+(1-(A34^2/Fo^2))^2)</f>
        <v>0.992663054498354</v>
      </c>
      <c r="G34" s="0" t="n">
        <f aca="false">-ATAN(A34*Fo/(Q*(Fo^2-A34^2)))</f>
        <v>-0.0115462518632577</v>
      </c>
      <c r="H34" s="0" t="n">
        <f aca="false">IF(G34&gt;0,G34-Pi,G34)</f>
        <v>-0.0115462518632577</v>
      </c>
      <c r="J34" s="0" t="n">
        <f aca="false">Vin/Vramp</f>
        <v>9</v>
      </c>
      <c r="M34" s="0" t="n">
        <f aca="false">1/(2*Pi*_Rfb1*(Cc1ea_u+Cc2ea_u)*A34)</f>
        <v>7.36828441082205</v>
      </c>
      <c r="N34" s="0" t="n">
        <f aca="false">-Pi/2</f>
        <v>-1.570796325</v>
      </c>
      <c r="O34" s="0" t="n">
        <f aca="false">SQRT(1+(A34/Fz1_u)^2)</f>
        <v>1.00019095048429</v>
      </c>
      <c r="P34" s="0" t="n">
        <f aca="false">ATAN2(Fz1_u,A34)</f>
        <v>0.0195407320314545</v>
      </c>
      <c r="Q34" s="0" t="n">
        <f aca="false">SQRT(1+(A34/Fz2_u)^2)</f>
        <v>22.1986206734253</v>
      </c>
      <c r="R34" s="0" t="n">
        <f aca="false">ATAN2(Fz2_u,A34)</f>
        <v>1.52573323292129</v>
      </c>
      <c r="S34" s="0" t="n">
        <f aca="false">1/SQRT(1+(A34/Fp1_u)^2)</f>
        <v>0.998247967572248</v>
      </c>
      <c r="T34" s="0" t="n">
        <f aca="false">-ATAN2(Fp1_u,A34)</f>
        <v>-0.0592037882208598</v>
      </c>
      <c r="U34" s="0" t="n">
        <f aca="false">1/SQRT(1+(A34/Fp2_u)^2)</f>
        <v>0.999997642369877</v>
      </c>
      <c r="V34" s="0" t="n">
        <f aca="false">-ATAN2(Fp2_u,A34)</f>
        <v>-0.00217146542666402</v>
      </c>
      <c r="X34" s="0" t="n">
        <f aca="false">20*LOG(C34*J34*O34*Q34*F34*M34*S34*U34)</f>
        <v>63.2811414091632</v>
      </c>
      <c r="Y34" s="0" t="n">
        <f aca="false">(180/Pi)*(D34+H34+N34+P34+R34+T34+V34)</f>
        <v>-5.64013002187417</v>
      </c>
      <c r="Z34" s="0" t="n">
        <f aca="false">Y34+180</f>
        <v>174.359869978126</v>
      </c>
      <c r="AC34" s="0" t="n">
        <v>1</v>
      </c>
      <c r="AD34" s="0" t="n">
        <f aca="false">Rcea1_u*Cc1ea_u*A34*2*Pi</f>
        <v>0.01954321955712</v>
      </c>
      <c r="AE34" s="0" t="n">
        <f aca="false">-Rcea1_u*Cc1ea_u*Cc2ea_u*(A34*2*Pi)^2</f>
        <v>-1.47352403803163E-008</v>
      </c>
      <c r="AF34" s="0" t="n">
        <f aca="false">(Cc2ea_u+Cc1ea_u)*A34*2*Pi</f>
        <v>6.785840124E-006</v>
      </c>
      <c r="AG34" s="0" t="n">
        <f aca="false">AC34*AE34/(AE34^2+AF34^2)+AD34*AF34/(AE34^2+AF34^2)</f>
        <v>2559.987928948</v>
      </c>
      <c r="AH34" s="0" t="n">
        <f aca="false">AD34*AE34/(AE34^2+AF34^2)-AC34*AF34/(AE34^2+AF34^2)</f>
        <v>-147371.247150459</v>
      </c>
      <c r="AJ34" s="0" t="n">
        <f aca="false">_Rfb1</f>
        <v>20000</v>
      </c>
      <c r="AK34" s="0" t="n">
        <f aca="false">_Rfb1*Rcea2_u*Cc3ea_u*A34*2*Pi</f>
        <v>1185.4611369216</v>
      </c>
      <c r="AL34" s="0" t="n">
        <v>1</v>
      </c>
      <c r="AM34" s="0" t="n">
        <f aca="false">(_Rfb1+Rcea2_u)*Cc3ea_u*A34*2*Pi</f>
        <v>22.1760853128461</v>
      </c>
      <c r="AN34" s="0" t="n">
        <f aca="false">AJ34*AL34/(AL34^2+AM34^2)+AK34*AM34/(AL34^2+AM34^2)</f>
        <v>93.934420643408</v>
      </c>
      <c r="AO34" s="0" t="n">
        <f aca="false">AK34*AL34/(AL34^2+AM34^2)-AJ34*AM34/(AL34^2+AM34^2)</f>
        <v>-897.636589079385</v>
      </c>
      <c r="AQ34" s="0" t="n">
        <f aca="false">Eadcg/(1+(Eadcg*A34/GBP)^2)</f>
        <v>2684.78814321478</v>
      </c>
      <c r="AR34" s="0" t="n">
        <f aca="false">-(A34*Eadcg*Eadcg/GBP)/(1+(Eadcg*A34/GBP)^2)</f>
        <v>-1131.90668117935</v>
      </c>
      <c r="AT34" s="0" t="n">
        <f aca="false">-AR34*AH34+AG34*AQ34</f>
        <v>-159937474.024925</v>
      </c>
      <c r="AU34" s="0" t="n">
        <f aca="false">AQ34*AH34+AG34*AR34</f>
        <v>-398558244.440842</v>
      </c>
      <c r="AV34" s="0" t="n">
        <f aca="false">ATAN2(AT34,AU34)</f>
        <v>-1.95241435599826</v>
      </c>
      <c r="AW34" s="0" t="n">
        <f aca="false">AG34-AH34*AO34/_Rfb2+AG34*AN34/_Rfb2+AN34-AO34*AR34+AQ34*AN34</f>
        <v>-820613.320004137</v>
      </c>
      <c r="AX34" s="0" t="n">
        <f aca="false">AH34+AH34*AN34/_Rfb2+AG34*AO34/_Rfb2+AO34+AO34*AQ34+AN34*AR34</f>
        <v>-2671821.48053356</v>
      </c>
      <c r="AY34" s="0" t="n">
        <f aca="false">ATAN2(AW34,AX34)</f>
        <v>-1.86878724351646</v>
      </c>
      <c r="BA34" s="0" t="n">
        <f aca="false">SQRT(AT34^2+AU34^2)/SQRT(AW34^2+AX34^2)</f>
        <v>153.649832861102</v>
      </c>
      <c r="BB34" s="0" t="n">
        <f aca="false">20*LOG(BA34)</f>
        <v>43.7306418434209</v>
      </c>
      <c r="BC34" s="0" t="n">
        <f aca="false">AV34-AY34</f>
        <v>-0.0836271124818007</v>
      </c>
      <c r="BD34" s="0" t="n">
        <f aca="false">BC34*180/Pi-180</f>
        <v>-184.791480603548</v>
      </c>
      <c r="BF34" s="0" t="n">
        <f aca="false">20*LOG(BA34*J34*F34*C34)</f>
        <v>62.7515291995119</v>
      </c>
      <c r="BG34" s="0" t="n">
        <f aca="false">(180/Pi)*(D34+H34+BC34)</f>
        <v>-5.45274410526372</v>
      </c>
      <c r="BH34" s="0" t="n">
        <f aca="false">IF(BG34&gt;180,BG34-180,BG34+180)</f>
        <v>174.547255894736</v>
      </c>
      <c r="BI34" s="0" t="n">
        <f aca="false">IF(BH34&gt;180,BH34-360,BH34)</f>
        <v>174.547255894736</v>
      </c>
      <c r="BJ34" s="0" t="n">
        <f aca="false">SUM((BF35&lt;0)*(BF34&gt;0))*A34</f>
        <v>0</v>
      </c>
      <c r="BK34" s="0" t="n">
        <f aca="false">IF(BJ34&gt;0,BI34,0)</f>
        <v>0</v>
      </c>
      <c r="BM34" s="0" t="n">
        <f aca="false">20*LOG(J34*F34*C34)</f>
        <v>19.020887356091</v>
      </c>
      <c r="BN34" s="0" t="n">
        <f aca="false">(H34+D34)*180/Pi</f>
        <v>-0.661263501715666</v>
      </c>
      <c r="BQ34" s="347" t="n">
        <f aca="false">20*LOG(BA34*7)</f>
        <v>60.6326026437061</v>
      </c>
      <c r="BR34" s="350"/>
      <c r="BS34" s="350"/>
      <c r="BT34" s="350" t="n">
        <v>173.78</v>
      </c>
      <c r="BU34" s="350" t="n">
        <v>30.0709</v>
      </c>
      <c r="BV34" s="350" t="n">
        <v>-269.952</v>
      </c>
      <c r="BW34" s="349"/>
      <c r="BY34" s="350"/>
      <c r="BZ34" s="350"/>
      <c r="CA34" s="350"/>
      <c r="CC34" s="350"/>
    </row>
    <row r="35" customFormat="false" ht="12.75" hidden="false" customHeight="false" outlineLevel="0" collapsed="false">
      <c r="A35" s="0" t="n">
        <f aca="false">A26*10</f>
        <v>900</v>
      </c>
      <c r="B35" s="0" t="n">
        <f aca="false">A35/1000</f>
        <v>0.9</v>
      </c>
      <c r="C35" s="0" t="n">
        <f aca="false">SQRT((A35/Fesr)^2+1)</f>
        <v>1.00000000001599</v>
      </c>
      <c r="D35" s="0" t="n">
        <f aca="false">ATAN(A35/Fesr)</f>
        <v>5.65486676993972E-006</v>
      </c>
      <c r="F35" s="0" t="n">
        <f aca="false">(Ro/(Ro+Rdcr))/SQRT((A35/(Q*Fo))^2+(1-(A35^2/Fo^2))^2)</f>
        <v>0.992735431668728</v>
      </c>
      <c r="G35" s="0" t="n">
        <f aca="false">-ATAN(A35*Fo/(Q*(Fo^2-A35^2)))</f>
        <v>-0.0129905571691134</v>
      </c>
      <c r="H35" s="0" t="n">
        <f aca="false">IF(G35&gt;0,G35-Pi,G35)</f>
        <v>-0.0129905571691134</v>
      </c>
      <c r="J35" s="0" t="n">
        <f aca="false">Vin/Vramp</f>
        <v>9</v>
      </c>
      <c r="M35" s="0" t="n">
        <f aca="false">1/(2*Pi*_Rfb1*(Cc1ea_u+Cc2ea_u)*A35)</f>
        <v>6.54958614295294</v>
      </c>
      <c r="N35" s="0" t="n">
        <f aca="false">-Pi/2</f>
        <v>-1.570796325</v>
      </c>
      <c r="O35" s="0" t="n">
        <f aca="false">SQRT(1+(A35/Fz1_u)^2)</f>
        <v>1.00024166557921</v>
      </c>
      <c r="P35" s="0" t="n">
        <f aca="false">ATAN2(Fz1_u,A35)</f>
        <v>0.0219825804082664</v>
      </c>
      <c r="Q35" s="0" t="n">
        <f aca="false">SQRT(1+(A35/Fz2_u)^2)</f>
        <v>24.9681295429834</v>
      </c>
      <c r="R35" s="0" t="n">
        <f aca="false">ATAN2(Fz2_u,A35)</f>
        <v>1.53073455367261</v>
      </c>
      <c r="S35" s="0" t="n">
        <f aca="false">1/SQRT(1+(A35/Fp1_u)^2)</f>
        <v>0.997784129780179</v>
      </c>
      <c r="T35" s="0" t="n">
        <f aca="false">-ATAN2(Fp1_u,A35)</f>
        <v>-0.0665836173623972</v>
      </c>
      <c r="U35" s="0" t="n">
        <f aca="false">1/SQRT(1+(A35/Fp2_u)^2)</f>
        <v>0.999997016127178</v>
      </c>
      <c r="V35" s="0" t="n">
        <f aca="false">-ATAN2(Fp2_u,A35)</f>
        <v>-0.00244289758509551</v>
      </c>
      <c r="X35" s="0" t="n">
        <f aca="false">20*LOG(C35*J35*O35*Q35*F35*M35*S35*U35)</f>
        <v>63.2763227384147</v>
      </c>
      <c r="Y35" s="0" t="n">
        <f aca="false">(180/Pi)*(D35+H35+N35+P35+R35+T35+V35)</f>
        <v>-5.7347694235317</v>
      </c>
      <c r="Z35" s="0" t="n">
        <f aca="false">Y35+180</f>
        <v>174.265230576468</v>
      </c>
      <c r="AC35" s="0" t="n">
        <v>1</v>
      </c>
      <c r="AD35" s="0" t="n">
        <f aca="false">Rcea1_u*Cc1ea_u*A35*2*Pi</f>
        <v>0.02198612200176</v>
      </c>
      <c r="AE35" s="0" t="n">
        <f aca="false">-Rcea1_u*Cc1ea_u*Cc2ea_u*(A35*2*Pi)^2</f>
        <v>-1.86492886063378E-008</v>
      </c>
      <c r="AF35" s="0" t="n">
        <f aca="false">(Cc2ea_u+Cc1ea_u)*A35*2*Pi</f>
        <v>7.6340701395E-006</v>
      </c>
      <c r="AG35" s="0" t="n">
        <f aca="false">AC35*AE35/(AE35^2+AF35^2)+AD35*AF35/(AE35^2+AF35^2)</f>
        <v>2559.98472259395</v>
      </c>
      <c r="AH35" s="0" t="n">
        <f aca="false">AD35*AE35/(AE35^2+AF35^2)-AC35*AF35/(AE35^2+AF35^2)</f>
        <v>-130997.976651996</v>
      </c>
      <c r="AJ35" s="0" t="n">
        <f aca="false">_Rfb1</f>
        <v>20000</v>
      </c>
      <c r="AK35" s="0" t="n">
        <f aca="false">_Rfb1*Rcea2_u*Cc3ea_u*A35*2*Pi</f>
        <v>1333.6437790368</v>
      </c>
      <c r="AL35" s="0" t="n">
        <v>1</v>
      </c>
      <c r="AM35" s="0" t="n">
        <f aca="false">(_Rfb1+Rcea2_u)*Cc3ea_u*A35*2*Pi</f>
        <v>24.9480959769518</v>
      </c>
      <c r="AN35" s="0" t="n">
        <f aca="false">AJ35*AL35/(AL35^2+AM35^2)+AK35*AM35/(AL35^2+AM35^2)</f>
        <v>85.4527313311252</v>
      </c>
      <c r="AO35" s="0" t="n">
        <f aca="false">AK35*AL35/(AL35^2+AM35^2)-AJ35*AM35/(AL35^2+AM35^2)</f>
        <v>-798.23916370479</v>
      </c>
      <c r="AQ35" s="0" t="n">
        <f aca="false">Eadcg/(1+(Eadcg*A35/GBP)^2)</f>
        <v>2581.30774487265</v>
      </c>
      <c r="AR35" s="0" t="n">
        <f aca="false">-(A35*Eadcg*Eadcg/GBP)/(1+(Eadcg*A35/GBP)^2)</f>
        <v>-1224.3142633931</v>
      </c>
      <c r="AT35" s="0" t="n">
        <f aca="false">-AR35*AH35+AG35*AQ35</f>
        <v>-153774582.899487</v>
      </c>
      <c r="AU35" s="0" t="n">
        <f aca="false">AQ35*AH35+AG35*AR35</f>
        <v>-341280317.504384</v>
      </c>
      <c r="AV35" s="0" t="n">
        <f aca="false">ATAN2(AT35,AU35)</f>
        <v>-1.99413368829276</v>
      </c>
      <c r="AW35" s="0" t="n">
        <f aca="false">AG35-AH35*AO35/_Rfb2+AG35*AN35/_Rfb2+AN35-AO35*AR35+AQ35*AN35</f>
        <v>-801027.390002622</v>
      </c>
      <c r="AX35" s="0" t="n">
        <f aca="false">AH35+AH35*AN35/_Rfb2+AG35*AO35/_Rfb2+AO35+AO35*AQ35+AN35*AR35</f>
        <v>-2302875.07589766</v>
      </c>
      <c r="AY35" s="0" t="n">
        <f aca="false">ATAN2(AW35,AX35)</f>
        <v>-1.90554376402435</v>
      </c>
      <c r="BA35" s="0" t="n">
        <f aca="false">SQRT(AT35^2+AU35^2)/SQRT(AW35^2+AX35^2)</f>
        <v>153.524196596638</v>
      </c>
      <c r="BB35" s="0" t="n">
        <f aca="false">20*LOG(BA35)</f>
        <v>43.7235366673066</v>
      </c>
      <c r="BC35" s="0" t="n">
        <f aca="false">AV35-AY35</f>
        <v>-0.0885899242684169</v>
      </c>
      <c r="BD35" s="0" t="n">
        <f aca="false">BC35*180/Pi-180</f>
        <v>-185.075828773764</v>
      </c>
      <c r="BF35" s="0" t="n">
        <f aca="false">20*LOG(BA35*J35*F35*C35)</f>
        <v>62.7450573069906</v>
      </c>
      <c r="BG35" s="0" t="n">
        <f aca="false">(180/Pi)*(D35+H35+BC35)</f>
        <v>-5.81980887392796</v>
      </c>
      <c r="BH35" s="0" t="n">
        <f aca="false">IF(BG35&gt;180,BG35-180,BG35+180)</f>
        <v>174.180191126072</v>
      </c>
      <c r="BI35" s="0" t="n">
        <f aca="false">IF(BH35&gt;180,BH35-360,BH35)</f>
        <v>174.180191126072</v>
      </c>
      <c r="BJ35" s="0" t="n">
        <f aca="false">SUM((BF36&lt;0)*(BF35&gt;0))*A35</f>
        <v>0</v>
      </c>
      <c r="BK35" s="0" t="n">
        <f aca="false">IF(BJ35&gt;0,BI35,0)</f>
        <v>0</v>
      </c>
      <c r="BM35" s="0" t="n">
        <f aca="false">20*LOG(J35*F35*C35)</f>
        <v>19.021520639684</v>
      </c>
      <c r="BN35" s="0" t="n">
        <f aca="false">(H35+D35)*180/Pi</f>
        <v>-0.743980100164106</v>
      </c>
      <c r="BQ35" s="347" t="n">
        <f aca="false">20*LOG(BA35*7)</f>
        <v>60.6254974675917</v>
      </c>
      <c r="BR35" s="350"/>
      <c r="BS35" s="350"/>
      <c r="BT35" s="350" t="n">
        <v>177.828</v>
      </c>
      <c r="BU35" s="350" t="n">
        <v>29.7201</v>
      </c>
      <c r="BV35" s="350" t="n">
        <v>-271.5601</v>
      </c>
      <c r="BW35" s="349"/>
      <c r="BY35" s="350"/>
      <c r="BZ35" s="350"/>
      <c r="CA35" s="350"/>
      <c r="CC35" s="350"/>
    </row>
    <row r="36" customFormat="false" ht="12.75" hidden="false" customHeight="false" outlineLevel="0" collapsed="false">
      <c r="A36" s="0" t="n">
        <f aca="false">A27*10</f>
        <v>1000</v>
      </c>
      <c r="B36" s="0" t="n">
        <f aca="false">A36/1000</f>
        <v>1</v>
      </c>
      <c r="C36" s="0" t="n">
        <f aca="false">SQRT((A36/Fesr)^2+1)</f>
        <v>1.00000000001974</v>
      </c>
      <c r="D36" s="0" t="n">
        <f aca="false">ATAN(A36/Fesr)</f>
        <v>6.28318529991732E-006</v>
      </c>
      <c r="F36" s="0" t="n">
        <f aca="false">(Ro/(Ro+Rdcr))/SQRT((A36/(Q*Fo))^2+(1-(A36^2/Fo^2))^2)</f>
        <v>0.992816332887143</v>
      </c>
      <c r="G36" s="0" t="n">
        <f aca="false">-ATAN(A36*Fo/(Q*(Fo^2-A36^2)))</f>
        <v>-0.0144352240037176</v>
      </c>
      <c r="H36" s="0" t="n">
        <f aca="false">IF(G36&gt;0,G36-Pi,G36)</f>
        <v>-0.0144352240037176</v>
      </c>
      <c r="J36" s="0" t="n">
        <f aca="false">Vin/Vramp</f>
        <v>9</v>
      </c>
      <c r="M36" s="0" t="n">
        <f aca="false">1/(2*Pi*_Rfb1*(Cc1ea_u+Cc2ea_u)*A36)</f>
        <v>5.89462752865764</v>
      </c>
      <c r="N36" s="0" t="n">
        <f aca="false">-Pi/2</f>
        <v>-1.570796325</v>
      </c>
      <c r="O36" s="0" t="n">
        <f aca="false">SQRT(1+(A36/Fz1_u)^2)</f>
        <v>1.0002983441131</v>
      </c>
      <c r="P36" s="0" t="n">
        <f aca="false">ATAN2(Fz1_u,A36)</f>
        <v>0.0244241666238133</v>
      </c>
      <c r="Q36" s="0" t="n">
        <f aca="false">SQRT(1+(A36/Fz2_u)^2)</f>
        <v>27.7381382250433</v>
      </c>
      <c r="R36" s="0" t="n">
        <f aca="false">ATAN2(Fz2_u,A36)</f>
        <v>1.53473706656364</v>
      </c>
      <c r="S36" s="0" t="n">
        <f aca="false">1/SQRT(1+(A36/Fp1_u)^2)</f>
        <v>0.997266487200467</v>
      </c>
      <c r="T36" s="0" t="n">
        <f aca="false">-ATAN2(Fp1_u,A36)</f>
        <v>-0.0739561905024343</v>
      </c>
      <c r="U36" s="0" t="n">
        <f aca="false">1/SQRT(1+(A36/Fp2_u)^2)</f>
        <v>0.99999631621026</v>
      </c>
      <c r="V36" s="0" t="n">
        <f aca="false">-ATAN2(Fp2_u,A36)</f>
        <v>-0.00271432938356377</v>
      </c>
      <c r="X36" s="0" t="n">
        <f aca="false">20*LOG(C36*J36*O36*Q36*F36*M36*S36*U36)</f>
        <v>63.2716854717146</v>
      </c>
      <c r="Y36" s="0" t="n">
        <f aca="false">(180/Pi)*(D36+H36+N36+P36+R36+T36+V36)</f>
        <v>-5.886256276113</v>
      </c>
      <c r="Z36" s="0" t="n">
        <f aca="false">Y36+180</f>
        <v>174.113743723887</v>
      </c>
      <c r="AC36" s="0" t="n">
        <v>1</v>
      </c>
      <c r="AD36" s="0" t="n">
        <f aca="false">Rcea1_u*Cc1ea_u*A36*2*Pi</f>
        <v>0.0244290244464</v>
      </c>
      <c r="AE36" s="0" t="n">
        <f aca="false">-Rcea1_u*Cc1ea_u*Cc2ea_u*(A36*2*Pi)^2</f>
        <v>-2.30238130942442E-008</v>
      </c>
      <c r="AF36" s="0" t="n">
        <f aca="false">(Cc2ea_u+Cc1ea_u)*A36*2*Pi</f>
        <v>8.482300155E-006</v>
      </c>
      <c r="AG36" s="0" t="n">
        <f aca="false">AC36*AE36/(AE36^2+AF36^2)+AD36*AF36/(AE36^2+AF36^2)</f>
        <v>2559.98113903127</v>
      </c>
      <c r="AH36" s="0" t="n">
        <f aca="false">AD36*AE36/(AE36^2+AF36^2)-AC36*AF36/(AE36^2+AF36^2)</f>
        <v>-117899.499222245</v>
      </c>
      <c r="AJ36" s="0" t="n">
        <f aca="false">_Rfb1</f>
        <v>20000</v>
      </c>
      <c r="AK36" s="0" t="n">
        <f aca="false">_Rfb1*Rcea2_u*Cc3ea_u*A36*2*Pi</f>
        <v>1481.826421152</v>
      </c>
      <c r="AL36" s="0" t="n">
        <v>1</v>
      </c>
      <c r="AM36" s="0" t="n">
        <f aca="false">(_Rfb1+Rcea2_u)*Cc3ea_u*A36*2*Pi</f>
        <v>27.7201066410576</v>
      </c>
      <c r="AN36" s="0" t="n">
        <f aca="false">AJ36*AL36/(AL36^2+AM36^2)+AK36*AM36/(AL36^2+AM36^2)</f>
        <v>79.3813934365632</v>
      </c>
      <c r="AO36" s="0" t="n">
        <f aca="false">AK36*AL36/(AL36^2+AM36^2)-AJ36*AM36/(AL36^2+AM36^2)</f>
        <v>-718.634270225283</v>
      </c>
      <c r="AQ36" s="0" t="n">
        <f aca="false">Eadcg/(1+(Eadcg*A36/GBP)^2)</f>
        <v>2474.70316475559</v>
      </c>
      <c r="AR36" s="0" t="n">
        <f aca="false">-(A36*Eadcg*Eadcg/GBP)/(1+(Eadcg*A36/GBP)^2)</f>
        <v>-1304.1685678262</v>
      </c>
      <c r="AT36" s="0" t="n">
        <f aca="false">-AR36*AH36+AG36*AQ36</f>
        <v>-147425627.621626</v>
      </c>
      <c r="AU36" s="0" t="n">
        <f aca="false">AQ36*AH36+AG36*AR36</f>
        <v>-295104910.784142</v>
      </c>
      <c r="AV36" s="0" t="n">
        <f aca="false">ATAN2(AT36,AU36)</f>
        <v>-2.03410005924914</v>
      </c>
      <c r="AW36" s="0" t="n">
        <f aca="false">AG36-AH36*AO36/_Rfb2+AG36*AN36/_Rfb2+AN36-AO36*AR36+AQ36*AN36</f>
        <v>-776171.011468975</v>
      </c>
      <c r="AX36" s="0" t="n">
        <f aca="false">AH36+AH36*AN36/_Rfb2+AG36*AO36/_Rfb2+AO36+AO36*AQ36+AN36*AR36</f>
        <v>-2005590.77703113</v>
      </c>
      <c r="AY36" s="0" t="n">
        <f aca="false">ATAN2(AW36,AX36)</f>
        <v>-1.94004901954943</v>
      </c>
      <c r="BA36" s="0" t="n">
        <f aca="false">SQRT(AT36^2+AU36^2)/SQRT(AW36^2+AX36^2)</f>
        <v>153.394095901157</v>
      </c>
      <c r="BB36" s="0" t="n">
        <f aca="false">20*LOG(BA36)</f>
        <v>43.7161728810606</v>
      </c>
      <c r="BC36" s="0" t="n">
        <f aca="false">AV36-AY36</f>
        <v>-0.0940510396997094</v>
      </c>
      <c r="BD36" s="0" t="n">
        <f aca="false">BC36*180/Pi-180</f>
        <v>-185.388727639768</v>
      </c>
      <c r="BF36" s="0" t="n">
        <f aca="false">20*LOG(BA36*J36*F36*C36)</f>
        <v>62.7384013331522</v>
      </c>
      <c r="BG36" s="0" t="n">
        <f aca="false">(180/Pi)*(D36+H36+BC36)</f>
        <v>-6.21544505245226</v>
      </c>
      <c r="BH36" s="0" t="n">
        <f aca="false">IF(BG36&gt;180,BG36-180,BG36+180)</f>
        <v>173.784554947548</v>
      </c>
      <c r="BI36" s="0" t="n">
        <f aca="false">IF(BH36&gt;180,BH36-360,BH36)</f>
        <v>173.784554947548</v>
      </c>
      <c r="BJ36" s="0" t="n">
        <f aca="false">SUM((BF37&lt;0)*(BF36&gt;0))*A36</f>
        <v>0</v>
      </c>
      <c r="BK36" s="0" t="n">
        <f aca="false">IF(BJ36&gt;0,BI36,0)</f>
        <v>0</v>
      </c>
      <c r="BM36" s="0" t="n">
        <f aca="false">20*LOG(J36*F36*C36)</f>
        <v>19.0222284520916</v>
      </c>
      <c r="BN36" s="0" t="n">
        <f aca="false">(H36+D36)*180/Pi</f>
        <v>-0.826717412684037</v>
      </c>
      <c r="BQ36" s="347" t="n">
        <f aca="false">20*LOG(BA36*7)</f>
        <v>60.6181336813457</v>
      </c>
      <c r="BR36" s="350"/>
      <c r="BS36" s="350"/>
      <c r="BT36" s="350" t="n">
        <v>181.97</v>
      </c>
      <c r="BU36" s="350" t="n">
        <v>30.0421</v>
      </c>
      <c r="BV36" s="350" t="n">
        <v>-268.8459</v>
      </c>
      <c r="BW36" s="349"/>
      <c r="BY36" s="350"/>
      <c r="BZ36" s="350"/>
      <c r="CA36" s="350"/>
      <c r="CC36" s="350"/>
    </row>
    <row r="37" customFormat="false" ht="12.75" hidden="false" customHeight="false" outlineLevel="0" collapsed="false">
      <c r="A37" s="0" t="n">
        <f aca="false">A36+500</f>
        <v>1500</v>
      </c>
      <c r="B37" s="0" t="n">
        <f aca="false">A37/1000</f>
        <v>1.5</v>
      </c>
      <c r="C37" s="0" t="n">
        <f aca="false">SQRT((A37/Fesr)^2+1)</f>
        <v>1.00000000004441</v>
      </c>
      <c r="D37" s="0" t="n">
        <f aca="false">ATAN(A37/Fesr)</f>
        <v>9.42477794972094E-006</v>
      </c>
      <c r="F37" s="0" t="n">
        <f aca="false">(Ro/(Ro+Rdcr))/SQRT((A37/(Q*Fo))^2+(1-(A37^2/Fo^2))^2)</f>
        <v>0.993348816913336</v>
      </c>
      <c r="G37" s="0" t="n">
        <f aca="false">-ATAN(A37*Fo/(Q*(Fo^2-A37^2)))</f>
        <v>-0.0216653917144417</v>
      </c>
      <c r="H37" s="0" t="n">
        <f aca="false">IF(G37&gt;0,G37-Pi,G37)</f>
        <v>-0.0216653917144417</v>
      </c>
      <c r="J37" s="0" t="n">
        <f aca="false">Vin/Vramp</f>
        <v>9</v>
      </c>
      <c r="M37" s="0" t="n">
        <f aca="false">1/(2*Pi*_Rfb1*(Cc1ea_u+Cc2ea_u)*A37)</f>
        <v>3.92975168577176</v>
      </c>
      <c r="N37" s="0" t="n">
        <f aca="false">-Pi/2</f>
        <v>-1.570796325</v>
      </c>
      <c r="O37" s="0" t="n">
        <f aca="false">SQRT(1+(A37/Fz1_u)^2)</f>
        <v>1.00067114916922</v>
      </c>
      <c r="P37" s="0" t="n">
        <f aca="false">ATAN2(Fz1_u,A37)</f>
        <v>0.0366271488490292</v>
      </c>
      <c r="Q37" s="0" t="n">
        <f aca="false">SQRT(1+(A37/Fz2_u)^2)</f>
        <v>41.5921831890454</v>
      </c>
      <c r="R37" s="0" t="n">
        <f aca="false">ATAN2(Fz2_u,A37)</f>
        <v>1.54675103047883</v>
      </c>
      <c r="S37" s="0" t="n">
        <f aca="false">1/SQRT(1+(A37/Fp1_u)^2)</f>
        <v>0.993880912281477</v>
      </c>
      <c r="T37" s="0" t="n">
        <f aca="false">-ATAN2(Fp1_u,A37)</f>
        <v>-0.110682776083016</v>
      </c>
      <c r="U37" s="0" t="n">
        <f aca="false">1/SQRT(1+(A37/Fp2_u)^2)</f>
        <v>0.999991711530335</v>
      </c>
      <c r="V37" s="0" t="n">
        <f aca="false">-ATAN2(Fp2_u,A37)</f>
        <v>-0.00407148157665205</v>
      </c>
      <c r="X37" s="0" t="n">
        <f aca="false">20*LOG(C37*J37*O37*Q37*F37*M37*S37*U37)</f>
        <v>63.2468648680933</v>
      </c>
      <c r="Y37" s="0" t="n">
        <f aca="false">(180/Pi)*(D37+H37+N37+P37+R37+T37+V37)</f>
        <v>-7.09484300846422</v>
      </c>
      <c r="Z37" s="0" t="n">
        <f aca="false">Y37+180</f>
        <v>172.905156991536</v>
      </c>
      <c r="AC37" s="0" t="n">
        <v>1</v>
      </c>
      <c r="AD37" s="0" t="n">
        <f aca="false">Rcea1_u*Cc1ea_u*A37*2*Pi</f>
        <v>0.0366435366696</v>
      </c>
      <c r="AE37" s="0" t="n">
        <f aca="false">-Rcea1_u*Cc1ea_u*Cc2ea_u*(A37*2*Pi)^2</f>
        <v>-5.18035794620494E-008</v>
      </c>
      <c r="AF37" s="0" t="n">
        <f aca="false">(Cc2ea_u+Cc1ea_u)*A37*2*Pi</f>
        <v>1.27234502325E-005</v>
      </c>
      <c r="AG37" s="0" t="n">
        <f aca="false">AC37*AE37/(AE37^2+AF37^2)+AD37*AF37/(AE37^2+AF37^2)</f>
        <v>2559.95756321118</v>
      </c>
      <c r="AH37" s="0" t="n">
        <f aca="false">AD37*AE37/(AE37^2+AF37^2)-AC37*AF37/(AE37^2+AF37^2)</f>
        <v>-78605.4565930842</v>
      </c>
      <c r="AJ37" s="0" t="n">
        <f aca="false">_Rfb1</f>
        <v>20000</v>
      </c>
      <c r="AK37" s="0" t="n">
        <f aca="false">_Rfb1*Rcea2_u*Cc3ea_u*A37*2*Pi</f>
        <v>2222.739631728</v>
      </c>
      <c r="AL37" s="0" t="n">
        <v>1</v>
      </c>
      <c r="AM37" s="0" t="n">
        <f aca="false">(_Rfb1+Rcea2_u)*Cc3ea_u*A37*2*Pi</f>
        <v>41.5801599615864</v>
      </c>
      <c r="AN37" s="0" t="n">
        <f aca="false">AJ37*AL37/(AL37^2+AM37^2)+AK37*AM37/(AL37^2+AM37^2)</f>
        <v>64.9871315723687</v>
      </c>
      <c r="AO37" s="0" t="n">
        <f aca="false">AK37*AL37/(AL37^2+AM37^2)-AJ37*AM37/(AL37^2+AM37^2)</f>
        <v>-479.435694495752</v>
      </c>
      <c r="AQ37" s="0" t="n">
        <f aca="false">Eadcg/(1+(Eadcg*A37/GBP)^2)</f>
        <v>1945.97758217824</v>
      </c>
      <c r="AR37" s="0" t="n">
        <f aca="false">-(A37*Eadcg*Eadcg/GBP)/(1+(Eadcg*A37/GBP)^2)</f>
        <v>-1538.2952787119</v>
      </c>
      <c r="AT37" s="0" t="n">
        <f aca="false">-AR37*AH37+AG37*AQ37</f>
        <v>-115936782.728798</v>
      </c>
      <c r="AU37" s="0" t="n">
        <f aca="false">AQ37*AH37+AG37*AR37</f>
        <v>-156902427.000217</v>
      </c>
      <c r="AV37" s="0" t="n">
        <f aca="false">ATAN2(AT37,AU37)</f>
        <v>-2.20716201539934</v>
      </c>
      <c r="AW37" s="0" t="n">
        <f aca="false">AG37-AH37*AO37/_Rfb2+AG37*AN37/_Rfb2+AN37-AO37*AR37+AQ37*AN37</f>
        <v>-625309.173242342</v>
      </c>
      <c r="AX37" s="0" t="n">
        <f aca="false">AH37+AH37*AN37/_Rfb2+AG37*AO37/_Rfb2+AO37+AO37*AQ37+AN37*AR37</f>
        <v>-1114876.45872913</v>
      </c>
      <c r="AY37" s="0" t="n">
        <f aca="false">ATAN2(AW37,AX37)</f>
        <v>-2.08195244604184</v>
      </c>
      <c r="BA37" s="0" t="n">
        <f aca="false">SQRT(AT37^2+AU37^2)/SQRT(AW37^2+AX37^2)</f>
        <v>152.620150993606</v>
      </c>
      <c r="BB37" s="0" t="n">
        <f aca="false">20*LOG(BA37)</f>
        <v>43.6722375776929</v>
      </c>
      <c r="BC37" s="0" t="n">
        <f aca="false">AV37-AY37</f>
        <v>-0.125209569357504</v>
      </c>
      <c r="BD37" s="0" t="n">
        <f aca="false">BC37*180/Pi-180</f>
        <v>-187.173979887033</v>
      </c>
      <c r="BF37" s="0" t="n">
        <f aca="false">20*LOG(BA37*J37*F37*C37)</f>
        <v>62.6991233442174</v>
      </c>
      <c r="BG37" s="0" t="n">
        <f aca="false">(180/Pi)*(D37+H37+BC37)</f>
        <v>-8.41477539518665</v>
      </c>
      <c r="BH37" s="0" t="n">
        <f aca="false">IF(BG37&gt;180,BG37-180,BG37+180)</f>
        <v>171.585224604813</v>
      </c>
      <c r="BI37" s="0" t="n">
        <f aca="false">IF(BH37&gt;180,BH37-360,BH37)</f>
        <v>171.585224604813</v>
      </c>
      <c r="BJ37" s="0" t="n">
        <f aca="false">SUM((BF38&lt;0)*(BF37&gt;0))*A37</f>
        <v>0</v>
      </c>
      <c r="BK37" s="0" t="n">
        <f aca="false">IF(BJ37&gt;0,BI37,0)</f>
        <v>0</v>
      </c>
      <c r="BM37" s="0" t="n">
        <f aca="false">20*LOG(J37*F37*C37)</f>
        <v>19.0268857665245</v>
      </c>
      <c r="BN37" s="0" t="n">
        <f aca="false">(H37+D37)*180/Pi</f>
        <v>-1.24079550815366</v>
      </c>
      <c r="BQ37" s="347" t="n">
        <f aca="false">20*LOG(BA37*7)</f>
        <v>60.5741983779781</v>
      </c>
      <c r="BR37" s="350"/>
      <c r="BS37" s="350"/>
      <c r="BT37" s="350" t="n">
        <v>186.209</v>
      </c>
      <c r="BU37" s="350" t="n">
        <v>29.9018</v>
      </c>
      <c r="BV37" s="350" t="n">
        <v>-265.3796</v>
      </c>
      <c r="BW37" s="349"/>
      <c r="BY37" s="350"/>
      <c r="BZ37" s="350"/>
      <c r="CA37" s="350"/>
      <c r="CC37" s="350"/>
    </row>
    <row r="38" customFormat="false" ht="12.75" hidden="false" customHeight="false" outlineLevel="0" collapsed="false">
      <c r="A38" s="0" t="n">
        <f aca="false">A37+500</f>
        <v>2000</v>
      </c>
      <c r="B38" s="0" t="n">
        <f aca="false">A38/1000</f>
        <v>2</v>
      </c>
      <c r="C38" s="0" t="n">
        <f aca="false">SQRT((A38/Fesr)^2+1)</f>
        <v>1.00000000007896</v>
      </c>
      <c r="D38" s="0" t="n">
        <f aca="false">ATAN(A38/Fesr)</f>
        <v>1.25663705993385E-005</v>
      </c>
      <c r="F38" s="0" t="n">
        <f aca="false">(Ro/(Ro+Rdcr))/SQRT((A38/(Q*Fo))^2+(1-(A38^2/Fo^2))^2)</f>
        <v>0.994094992361893</v>
      </c>
      <c r="G38" s="0" t="n">
        <f aca="false">-ATAN(A38*Fo/(Q*(Fo^2-A38^2)))</f>
        <v>-0.0289106538664052</v>
      </c>
      <c r="H38" s="0" t="n">
        <f aca="false">IF(G38&gt;0,G38-Pi,G38)</f>
        <v>-0.0289106538664052</v>
      </c>
      <c r="J38" s="0" t="n">
        <f aca="false">Vin/Vramp</f>
        <v>9</v>
      </c>
      <c r="M38" s="0" t="n">
        <f aca="false">1/(2*Pi*_Rfb1*(Cc1ea_u+Cc2ea_u)*A38)</f>
        <v>2.94731376432882</v>
      </c>
      <c r="N38" s="0" t="n">
        <f aca="false">-Pi/2</f>
        <v>-1.570796325</v>
      </c>
      <c r="O38" s="0" t="n">
        <f aca="false">SQRT(1+(A38/Fz1_u)^2)</f>
        <v>1.00119284303355</v>
      </c>
      <c r="P38" s="0" t="n">
        <f aca="false">ATAN2(Fz1_u,A38)</f>
        <v>0.048819227984365</v>
      </c>
      <c r="Q38" s="0" t="n">
        <f aca="false">SQRT(1+(A38/Fz2_u)^2)</f>
        <v>55.449231272998</v>
      </c>
      <c r="R38" s="0" t="n">
        <f aca="false">ATAN2(Fz2_u,A38)</f>
        <v>1.55276083392574</v>
      </c>
      <c r="S38" s="0" t="n">
        <f aca="false">1/SQRT(1+(A38/Fp1_u)^2)</f>
        <v>0.989198515335157</v>
      </c>
      <c r="T38" s="0" t="n">
        <f aca="false">-ATAN2(Fp1_u,A38)</f>
        <v>-0.14711210837663</v>
      </c>
      <c r="U38" s="0" t="n">
        <f aca="false">1/SQRT(1+(A38/Fp2_u)^2)</f>
        <v>0.999985265085303</v>
      </c>
      <c r="V38" s="0" t="n">
        <f aca="false">-ATAN2(Fp2_u,A38)</f>
        <v>-0.0054286187716174</v>
      </c>
      <c r="X38" s="0" t="n">
        <f aca="false">20*LOG(C38*J38*O38*Q38*F38*M38*S38*U38)</f>
        <v>63.215741809301</v>
      </c>
      <c r="Y38" s="0" t="n">
        <f aca="false">(180/Pi)*(D38+H38+N38+P38+R38+T38+V38)</f>
        <v>-8.6319001262342</v>
      </c>
      <c r="Z38" s="0" t="n">
        <f aca="false">Y38+180</f>
        <v>171.368099873766</v>
      </c>
      <c r="AC38" s="0" t="n">
        <v>1</v>
      </c>
      <c r="AD38" s="0" t="n">
        <f aca="false">Rcea1_u*Cc1ea_u*A38*2*Pi</f>
        <v>0.0488580488928</v>
      </c>
      <c r="AE38" s="0" t="n">
        <f aca="false">-Rcea1_u*Cc1ea_u*Cc2ea_u*(A38*2*Pi)^2</f>
        <v>-9.20952523769767E-008</v>
      </c>
      <c r="AF38" s="0" t="n">
        <f aca="false">(Cc2ea_u+Cc1ea_u)*A38*2*Pi</f>
        <v>1.696460031E-005</v>
      </c>
      <c r="AG38" s="0" t="n">
        <f aca="false">AC38*AE38/(AE38^2+AF38^2)+AD38*AF38/(AE38^2+AF38^2)</f>
        <v>2559.92455779257</v>
      </c>
      <c r="AH38" s="0" t="n">
        <f aca="false">AD38*AE38/(AE38^2+AF38^2)-AC38*AF38/(AE38^2+AF38^2)</f>
        <v>-58960.1722775994</v>
      </c>
      <c r="AJ38" s="0" t="n">
        <f aca="false">_Rfb1</f>
        <v>20000</v>
      </c>
      <c r="AK38" s="0" t="n">
        <f aca="false">_Rfb1*Rcea2_u*Cc3ea_u*A38*2*Pi</f>
        <v>2963.652842304</v>
      </c>
      <c r="AL38" s="0" t="n">
        <v>1</v>
      </c>
      <c r="AM38" s="0" t="n">
        <f aca="false">(_Rfb1+Rcea2_u)*Cc3ea_u*A38*2*Pi</f>
        <v>55.4402132821152</v>
      </c>
      <c r="AN38" s="0" t="n">
        <f aca="false">AJ38*AL38/(AL38^2+AM38^2)+AK38*AM38/(AL38^2+AM38^2)</f>
        <v>59.9442241942234</v>
      </c>
      <c r="AO38" s="0" t="n">
        <f aca="false">AK38*AL38/(AL38^2+AM38^2)-AJ38*AM38/(AL38^2+AM38^2)</f>
        <v>-359.667732054674</v>
      </c>
      <c r="AQ38" s="0" t="n">
        <f aca="false">Eadcg/(1+(Eadcg*A38/GBP)^2)</f>
        <v>1497.92791375877</v>
      </c>
      <c r="AR38" s="0" t="n">
        <f aca="false">-(A38*Eadcg*Eadcg/GBP)/(1+(Eadcg*A38/GBP)^2)</f>
        <v>-1578.81602110174</v>
      </c>
      <c r="AT38" s="0" t="n">
        <f aca="false">-AR38*AH38+AG38*AQ38</f>
        <v>-89252682.1465585</v>
      </c>
      <c r="AU38" s="0" t="n">
        <f aca="false">AQ38*AH38+AG38*AR38</f>
        <v>-92359737.7592966</v>
      </c>
      <c r="AV38" s="0" t="n">
        <f aca="false">ATAN2(AT38,AU38)</f>
        <v>-2.33908799200509</v>
      </c>
      <c r="AW38" s="0" t="n">
        <f aca="false">AG38-AH38*AO38/_Rfb2+AG38*AN38/_Rfb2+AN38-AO38*AR38+AQ38*AN38</f>
        <v>-484910.86060898</v>
      </c>
      <c r="AX38" s="0" t="n">
        <f aca="false">AH38+AH38*AN38/_Rfb2+AG38*AO38/_Rfb2+AO38+AO38*AQ38+AN38*AR38</f>
        <v>-694721.846883475</v>
      </c>
      <c r="AY38" s="0" t="n">
        <f aca="false">ATAN2(AW38,AX38)</f>
        <v>-2.18017391945544</v>
      </c>
      <c r="BA38" s="0" t="n">
        <f aca="false">SQRT(AT38^2+AU38^2)/SQRT(AW38^2+AX38^2)</f>
        <v>151.600044813134</v>
      </c>
      <c r="BB38" s="0" t="n">
        <f aca="false">20*LOG(BA38)</f>
        <v>43.6139865934792</v>
      </c>
      <c r="BC38" s="0" t="n">
        <f aca="false">AV38-AY38</f>
        <v>-0.158914072549647</v>
      </c>
      <c r="BD38" s="0" t="n">
        <f aca="false">BC38*180/Pi-180</f>
        <v>-189.105105672735</v>
      </c>
      <c r="BF38" s="0" t="n">
        <f aca="false">20*LOG(BA38*J38*F38*C38)</f>
        <v>62.6473945048506</v>
      </c>
      <c r="BG38" s="0" t="n">
        <f aca="false">(180/Pi)*(D38+H38+BC38)</f>
        <v>-10.760844124136</v>
      </c>
      <c r="BH38" s="0" t="n">
        <f aca="false">IF(BG38&gt;180,BG38-180,BG38+180)</f>
        <v>169.239155875864</v>
      </c>
      <c r="BI38" s="0" t="n">
        <f aca="false">IF(BH38&gt;180,BH38-360,BH38)</f>
        <v>169.239155875864</v>
      </c>
      <c r="BJ38" s="0" t="n">
        <f aca="false">SUM((BF39&lt;0)*(BF38&gt;0))*A38</f>
        <v>0</v>
      </c>
      <c r="BK38" s="0" t="n">
        <f aca="false">IF(BJ38&gt;0,BI38,0)</f>
        <v>0</v>
      </c>
      <c r="BM38" s="0" t="n">
        <f aca="false">20*LOG(J38*F38*C38)</f>
        <v>19.0334079113713</v>
      </c>
      <c r="BN38" s="0" t="n">
        <f aca="false">(H38+D38)*180/Pi</f>
        <v>-1.65573845140141</v>
      </c>
      <c r="BQ38" s="347" t="n">
        <f aca="false">20*LOG(BA38*7)</f>
        <v>60.5159473937644</v>
      </c>
      <c r="BR38" s="350"/>
      <c r="BS38" s="350"/>
      <c r="BT38" s="350" t="n">
        <v>190.546</v>
      </c>
      <c r="BU38" s="350" t="n">
        <v>29.5667</v>
      </c>
      <c r="BV38" s="350" t="n">
        <v>-265.8945</v>
      </c>
      <c r="BW38" s="349"/>
      <c r="BY38" s="350"/>
      <c r="BZ38" s="350"/>
      <c r="CA38" s="350"/>
      <c r="CC38" s="350"/>
    </row>
    <row r="39" customFormat="false" ht="12.75" hidden="false" customHeight="false" outlineLevel="0" collapsed="false">
      <c r="A39" s="0" t="n">
        <f aca="false">A38+500</f>
        <v>2500</v>
      </c>
      <c r="B39" s="0" t="n">
        <f aca="false">A39/1000</f>
        <v>2.5</v>
      </c>
      <c r="C39" s="0" t="n">
        <f aca="false">SQRT((A39/Fesr)^2+1)</f>
        <v>1.00000000012337</v>
      </c>
      <c r="D39" s="0" t="n">
        <f aca="false">ATAN(A39/Fesr)</f>
        <v>1.57079632487081E-005</v>
      </c>
      <c r="F39" s="0" t="n">
        <f aca="false">(Ro/(Ro+Rdcr))/SQRT((A39/(Q*Fo))^2+(1-(A39^2/Fo^2))^2)</f>
        <v>0.995055557711537</v>
      </c>
      <c r="G39" s="0" t="n">
        <f aca="false">-ATAN(A39*Fo/(Q*(Fo^2-A39^2)))</f>
        <v>-0.0361760880181176</v>
      </c>
      <c r="H39" s="0" t="n">
        <f aca="false">IF(G39&gt;0,G39-Pi,G39)</f>
        <v>-0.0361760880181176</v>
      </c>
      <c r="J39" s="0" t="n">
        <f aca="false">Vin/Vramp</f>
        <v>9</v>
      </c>
      <c r="M39" s="0" t="n">
        <f aca="false">1/(2*Pi*_Rfb1*(Cc1ea_u+Cc2ea_u)*A39)</f>
        <v>2.35785101146306</v>
      </c>
      <c r="N39" s="0" t="n">
        <f aca="false">-Pi/2</f>
        <v>-1.570796325</v>
      </c>
      <c r="O39" s="0" t="n">
        <f aca="false">SQRT(1+(A39/Fz1_u)^2)</f>
        <v>1.00186319311634</v>
      </c>
      <c r="P39" s="0" t="n">
        <f aca="false">ATAN2(Fz1_u,A39)</f>
        <v>0.0609967999363719</v>
      </c>
      <c r="Q39" s="0" t="n">
        <f aca="false">SQRT(1+(A39/Fz2_u)^2)</f>
        <v>69.307481206559</v>
      </c>
      <c r="R39" s="0" t="n">
        <f aca="false">ATAN2(Fz2_u,A39)</f>
        <v>1.55636736930619</v>
      </c>
      <c r="S39" s="0" t="n">
        <f aca="false">1/SQRT(1+(A39/Fp1_u)^2)</f>
        <v>0.983274413281664</v>
      </c>
      <c r="T39" s="0" t="n">
        <f aca="false">-ATAN2(Fp1_u,A39)</f>
        <v>-0.183152504775482</v>
      </c>
      <c r="U39" s="0" t="n">
        <f aca="false">1/SQRT(1+(A39/Fp2_u)^2)</f>
        <v>0.999976976982019</v>
      </c>
      <c r="V39" s="0" t="n">
        <f aca="false">-ATAN2(Fp2_u,A39)</f>
        <v>-0.00678573596960116</v>
      </c>
      <c r="X39" s="0" t="n">
        <f aca="false">20*LOG(C39*J39*O39*Q39*F39*M39*S39*U39)</f>
        <v>63.1771895046376</v>
      </c>
      <c r="Y39" s="0" t="n">
        <f aca="false">(180/Pi)*(D39+H39+N39+P39+R39+T39+V39)</f>
        <v>-10.2863558011984</v>
      </c>
      <c r="Z39" s="0" t="n">
        <f aca="false">Y39+180</f>
        <v>169.713644198802</v>
      </c>
      <c r="AC39" s="0" t="n">
        <v>1</v>
      </c>
      <c r="AD39" s="0" t="n">
        <f aca="false">Rcea1_u*Cc1ea_u*A39*2*Pi</f>
        <v>0.061072561116</v>
      </c>
      <c r="AE39" s="0" t="n">
        <f aca="false">-Rcea1_u*Cc1ea_u*Cc2ea_u*(A39*2*Pi)^2</f>
        <v>-1.43898831839026E-007</v>
      </c>
      <c r="AF39" s="0" t="n">
        <f aca="false">(Cc2ea_u+Cc1ea_u)*A39*2*Pi</f>
        <v>2.12057503875E-005</v>
      </c>
      <c r="AG39" s="0" t="n">
        <f aca="false">AC39*AE39/(AE39^2+AF39^2)+AD39*AF39/(AE39^2+AF39^2)</f>
        <v>2559.88212350489</v>
      </c>
      <c r="AH39" s="0" t="n">
        <f aca="false">AD39*AE39/(AE39^2+AF39^2)-AC39*AF39/(AE39^2+AF39^2)</f>
        <v>-47174.3911800875</v>
      </c>
      <c r="AJ39" s="0" t="n">
        <f aca="false">_Rfb1</f>
        <v>20000</v>
      </c>
      <c r="AK39" s="0" t="n">
        <f aca="false">_Rfb1*Rcea2_u*Cc3ea_u*A39*2*Pi</f>
        <v>3704.56605288</v>
      </c>
      <c r="AL39" s="0" t="n">
        <v>1</v>
      </c>
      <c r="AM39" s="0" t="n">
        <f aca="false">(_Rfb1+Rcea2_u)*Cc3ea_u*A39*2*Pi</f>
        <v>69.300266602644</v>
      </c>
      <c r="AN39" s="0" t="n">
        <f aca="false">AJ39*AL39/(AL39^2+AM39^2)+AK39*AM39/(AL39^2+AM39^2)</f>
        <v>57.6092146298252</v>
      </c>
      <c r="AO39" s="0" t="n">
        <f aca="false">AK39*AL39/(AL39^2+AM39^2)-AJ39*AM39/(AL39^2+AM39^2)</f>
        <v>-287.767879735824</v>
      </c>
      <c r="AQ39" s="0" t="n">
        <f aca="false">Eadcg/(1+(Eadcg*A39/GBP)^2)</f>
        <v>1155.78360126928</v>
      </c>
      <c r="AR39" s="0" t="n">
        <f aca="false">-(A39*Eadcg*Eadcg/GBP)/(1+(Eadcg*A39/GBP)^2)</f>
        <v>-1522.74489467227</v>
      </c>
      <c r="AT39" s="0" t="n">
        <f aca="false">-AR39*AH39+AG39*AQ39</f>
        <v>-68875893.5492218</v>
      </c>
      <c r="AU39" s="0" t="n">
        <f aca="false">AQ39*AH39+AG39*AR39</f>
        <v>-58421435.1603372</v>
      </c>
      <c r="AV39" s="0" t="n">
        <f aca="false">ATAN2(AT39,AU39)</f>
        <v>-2.4381368922353</v>
      </c>
      <c r="AW39" s="0" t="n">
        <f aca="false">AG39-AH39*AO39/_Rfb2+AG39*AN39/_Rfb2+AN39-AO39*AR39+AQ39*AN39</f>
        <v>-375038.303607171</v>
      </c>
      <c r="AX39" s="0" t="n">
        <f aca="false">AH39+AH39*AN39/_Rfb2+AG39*AO39/_Rfb2+AO39+AO39*AQ39+AN39*AR39</f>
        <v>-469338.142059075</v>
      </c>
      <c r="AY39" s="0" t="n">
        <f aca="false">ATAN2(AW39,AX39)</f>
        <v>-2.24497549681885</v>
      </c>
      <c r="BA39" s="0" t="n">
        <f aca="false">SQRT(AT39^2+AU39^2)/SQRT(AW39^2+AX39^2)</f>
        <v>150.331942116883</v>
      </c>
      <c r="BB39" s="0" t="n">
        <f aca="false">20*LOG(BA39)</f>
        <v>43.5410253617349</v>
      </c>
      <c r="BC39" s="0" t="n">
        <f aca="false">AV39-AY39</f>
        <v>-0.193161395416448</v>
      </c>
      <c r="BD39" s="0" t="n">
        <f aca="false">BC39*180/Pi-180</f>
        <v>-191.067332734866</v>
      </c>
      <c r="BF39" s="0" t="n">
        <f aca="false">20*LOG(BA39*J39*F39*C39)</f>
        <v>62.5828221460843</v>
      </c>
      <c r="BG39" s="0" t="n">
        <f aca="false">(180/Pi)*(D39+H39+BC39)</f>
        <v>-13.1391698999669</v>
      </c>
      <c r="BH39" s="0" t="n">
        <f aca="false">IF(BG39&gt;180,BG39-180,BG39+180)</f>
        <v>166.860830100033</v>
      </c>
      <c r="BI39" s="0" t="n">
        <f aca="false">IF(BH39&gt;180,BH39-360,BH39)</f>
        <v>166.860830100033</v>
      </c>
      <c r="BJ39" s="0" t="n">
        <f aca="false">SUM((BF40&lt;0)*(BF39&gt;0))*A39</f>
        <v>0</v>
      </c>
      <c r="BK39" s="0" t="n">
        <f aca="false">IF(BJ39&gt;0,BI39,0)</f>
        <v>0</v>
      </c>
      <c r="BM39" s="0" t="n">
        <f aca="false">20*LOG(J39*F39*C39)</f>
        <v>19.0417967843494</v>
      </c>
      <c r="BN39" s="0" t="n">
        <f aca="false">(H39+D39)*180/Pi</f>
        <v>-2.07183716510045</v>
      </c>
      <c r="BQ39" s="347" t="n">
        <f aca="false">20*LOG(BA39*7)</f>
        <v>60.4429861620201</v>
      </c>
      <c r="BR39" s="350"/>
      <c r="BS39" s="350"/>
      <c r="BT39" s="350" t="n">
        <v>194.984</v>
      </c>
      <c r="BU39" s="350" t="n">
        <v>29.6856</v>
      </c>
      <c r="BV39" s="350" t="n">
        <v>-265.6327</v>
      </c>
      <c r="BW39" s="349"/>
      <c r="BY39" s="350"/>
      <c r="BZ39" s="350"/>
      <c r="CA39" s="350"/>
      <c r="CC39" s="350"/>
    </row>
    <row r="40" customFormat="false" ht="12.75" hidden="false" customHeight="false" outlineLevel="0" collapsed="false">
      <c r="A40" s="0" t="n">
        <f aca="false">A39+500</f>
        <v>3000</v>
      </c>
      <c r="B40" s="0" t="n">
        <f aca="false">A40/1000</f>
        <v>3</v>
      </c>
      <c r="C40" s="0" t="n">
        <f aca="false">SQRT((A40/Fesr)^2+1)</f>
        <v>1.00000000017765</v>
      </c>
      <c r="D40" s="0" t="n">
        <f aca="false">ATAN(A40/Fesr)</f>
        <v>1.88495558977675E-005</v>
      </c>
      <c r="F40" s="0" t="n">
        <f aca="false">(Ro/(Ro+Rdcr))/SQRT((A40/(Q*Fo))^2+(1-(A40^2/Fo^2))^2)</f>
        <v>0.996231411945666</v>
      </c>
      <c r="G40" s="0" t="n">
        <f aca="false">-ATAN(A40*Fo/(Q*(Fo^2-A40^2)))</f>
        <v>-0.0434668114113738</v>
      </c>
      <c r="H40" s="0" t="n">
        <f aca="false">IF(G40&gt;0,G40-Pi,G40)</f>
        <v>-0.0434668114113738</v>
      </c>
      <c r="J40" s="0" t="n">
        <f aca="false">Vin/Vramp</f>
        <v>9</v>
      </c>
      <c r="M40" s="0" t="n">
        <f aca="false">1/(2*Pi*_Rfb1*(Cc1ea_u+Cc2ea_u)*A40)</f>
        <v>1.96487584288588</v>
      </c>
      <c r="N40" s="0" t="n">
        <f aca="false">-Pi/2</f>
        <v>-1.570796325</v>
      </c>
      <c r="O40" s="0" t="n">
        <f aca="false">SQRT(1+(A40/Fz1_u)^2)</f>
        <v>1.00268190126212</v>
      </c>
      <c r="P40" s="0" t="n">
        <f aca="false">ATAN2(Fz1_u,A40)</f>
        <v>0.0731562863838005</v>
      </c>
      <c r="Q40" s="0" t="n">
        <f aca="false">SQRT(1+(A40/Fz2_u)^2)</f>
        <v>83.1663321887196</v>
      </c>
      <c r="R40" s="0" t="n">
        <f aca="false">ATAN2(Fz2_u,A40)</f>
        <v>1.55877194058316</v>
      </c>
      <c r="S40" s="0" t="n">
        <f aca="false">1/SQRT(1+(A40/Fp1_u)^2)</f>
        <v>0.976176363123576</v>
      </c>
      <c r="T40" s="0" t="n">
        <f aca="false">-ATAN2(Fp1_u,A40)</f>
        <v>-0.218718251415981</v>
      </c>
      <c r="U40" s="0" t="n">
        <f aca="false">1/SQRT(1+(A40/Fp2_u)^2)</f>
        <v>0.999966847357864</v>
      </c>
      <c r="V40" s="0" t="n">
        <f aca="false">-ATAN2(Fp2_u,A40)</f>
        <v>-0.00814282817218661</v>
      </c>
      <c r="X40" s="0" t="n">
        <f aca="false">20*LOG(C40*J40*O40*Q40*F40*M40*S40*U40)</f>
        <v>63.1312493558049</v>
      </c>
      <c r="Y40" s="0" t="n">
        <f aca="false">(180/Pi)*(D40+H40+N40+P40+R40+T40+V40)</f>
        <v>-11.9849672763279</v>
      </c>
      <c r="Z40" s="0" t="n">
        <f aca="false">Y40+180</f>
        <v>168.015032723672</v>
      </c>
      <c r="AA40" s="0" t="n">
        <f aca="false">20*LOG(7)</f>
        <v>16.9019608002851</v>
      </c>
      <c r="AC40" s="0" t="n">
        <v>1</v>
      </c>
      <c r="AD40" s="0" t="n">
        <f aca="false">Rcea1_u*Cc1ea_u*A40*2*Pi</f>
        <v>0.0732870733392</v>
      </c>
      <c r="AE40" s="0" t="n">
        <f aca="false">-Rcea1_u*Cc1ea_u*Cc2ea_u*(A40*2*Pi)^2</f>
        <v>-2.07214317848198E-007</v>
      </c>
      <c r="AF40" s="0" t="n">
        <f aca="false">(Cc2ea_u+Cc1ea_u)*A40*2*Pi</f>
        <v>2.5446900465E-005</v>
      </c>
      <c r="AG40" s="0" t="n">
        <f aca="false">AC40*AE40/(AE40^2+AF40^2)+AD40*AF40/(AE40^2+AF40^2)</f>
        <v>2559.83026128595</v>
      </c>
      <c r="AH40" s="0" t="n">
        <f aca="false">AD40*AE40/(AE40^2+AF40^2)-AC40*AF40/(AE40^2+AF40^2)</f>
        <v>-39318.3615763948</v>
      </c>
      <c r="AJ40" s="0" t="n">
        <f aca="false">_Rfb1</f>
        <v>20000</v>
      </c>
      <c r="AK40" s="0" t="n">
        <f aca="false">_Rfb1*Rcea2_u*Cc3ea_u*A40*2*Pi</f>
        <v>4445.479263456</v>
      </c>
      <c r="AL40" s="0" t="n">
        <v>1</v>
      </c>
      <c r="AM40" s="0" t="n">
        <f aca="false">(_Rfb1+Rcea2_u)*Cc3ea_u*A40*2*Pi</f>
        <v>83.1603199231728</v>
      </c>
      <c r="AN40" s="0" t="n">
        <f aca="false">AJ40*AL40/(AL40^2+AM40^2)+AK40*AM40/(AL40^2+AM40^2)</f>
        <v>56.3405851427359</v>
      </c>
      <c r="AO40" s="0" t="n">
        <f aca="false">AK40*AL40/(AL40^2+AM40^2)-AJ40*AM40/(AL40^2+AM40^2)</f>
        <v>-239.821821672669</v>
      </c>
      <c r="AQ40" s="0" t="n">
        <f aca="false">Eadcg/(1+(Eadcg*A40/GBP)^2)</f>
        <v>903.54190139849</v>
      </c>
      <c r="AR40" s="0" t="n">
        <f aca="false">-(A40*Eadcg*Eadcg/GBP)/(1+(Eadcg*A40/GBP)^2)</f>
        <v>-1428.49974611101</v>
      </c>
      <c r="AT40" s="0" t="n">
        <f aca="false">-AR40*AH40+AG40*AQ40</f>
        <v>-53853355.6278413</v>
      </c>
      <c r="AU40" s="0" t="n">
        <f aca="false">AQ40*AH40+AG40*AR40</f>
        <v>-39182504.0569434</v>
      </c>
      <c r="AV40" s="0" t="n">
        <f aca="false">ATAN2(AT40,AU40)</f>
        <v>-2.51259688579136</v>
      </c>
      <c r="AW40" s="0" t="n">
        <f aca="false">AG40-AH40*AO40/_Rfb2+AG40*AN40/_Rfb2+AN40-AO40*AR40+AQ40*AN40</f>
        <v>-293241.491542731</v>
      </c>
      <c r="AX40" s="0" t="n">
        <f aca="false">AH40+AH40*AN40/_Rfb2+AG40*AO40/_Rfb2+AO40+AO40*AQ40+AN40*AR40</f>
        <v>-338002.864915711</v>
      </c>
      <c r="AY40" s="0" t="n">
        <f aca="false">ATAN2(AW40,AX40)</f>
        <v>-2.28540324187747</v>
      </c>
      <c r="BA40" s="0" t="n">
        <f aca="false">SQRT(AT40^2+AU40^2)/SQRT(AW40^2+AX40^2)</f>
        <v>148.83234877566</v>
      </c>
      <c r="BB40" s="0" t="n">
        <f aca="false">20*LOG(BA40)</f>
        <v>43.453946711279</v>
      </c>
      <c r="BC40" s="0" t="n">
        <f aca="false">AV40-AY40</f>
        <v>-0.227193643913886</v>
      </c>
      <c r="BD40" s="0" t="n">
        <f aca="false">BC40*180/Pi-180</f>
        <v>-193.017236943338</v>
      </c>
      <c r="BF40" s="0" t="n">
        <f aca="false">20*LOG(BA40*J40*F40*C40)</f>
        <v>62.5060015266608</v>
      </c>
      <c r="BG40" s="0" t="n">
        <f aca="false">(180/Pi)*(D40+H40+BC40)</f>
        <v>-15.5066217889468</v>
      </c>
      <c r="BH40" s="0" t="n">
        <f aca="false">IF(BG40&gt;180,BG40-180,BG40+180)</f>
        <v>164.493378211053</v>
      </c>
      <c r="BI40" s="0" t="n">
        <f aca="false">IF(BH40&gt;180,BH40-360,BH40)</f>
        <v>164.493378211053</v>
      </c>
      <c r="BJ40" s="0" t="n">
        <f aca="false">SUM((BF41&lt;0)*(BF40&gt;0))*A40</f>
        <v>0</v>
      </c>
      <c r="BK40" s="0" t="n">
        <f aca="false">IF(BJ40&gt;0,BI40,0)</f>
        <v>0</v>
      </c>
      <c r="BM40" s="0" t="n">
        <f aca="false">20*LOG(J40*F40*C40)</f>
        <v>19.0520548153818</v>
      </c>
      <c r="BN40" s="0" t="n">
        <f aca="false">(H40+D40)*180/Pi</f>
        <v>-2.4893848456087</v>
      </c>
      <c r="BQ40" s="347" t="n">
        <f aca="false">20*LOG(BA40*7)</f>
        <v>60.3559075115641</v>
      </c>
      <c r="BR40" s="350"/>
      <c r="BS40" s="350"/>
      <c r="BT40" s="350" t="n">
        <v>199.526</v>
      </c>
      <c r="BU40" s="350" t="n">
        <v>29.051</v>
      </c>
      <c r="BV40" s="350" t="n">
        <v>-267.8015</v>
      </c>
      <c r="BW40" s="349"/>
      <c r="BY40" s="350"/>
      <c r="BZ40" s="350"/>
      <c r="CA40" s="350"/>
      <c r="CC40" s="350"/>
    </row>
    <row r="41" customFormat="false" ht="12.75" hidden="false" customHeight="false" outlineLevel="0" collapsed="false">
      <c r="A41" s="0" t="n">
        <f aca="false">A40+500</f>
        <v>3500</v>
      </c>
      <c r="B41" s="0" t="n">
        <f aca="false">A41/1000</f>
        <v>3.5</v>
      </c>
      <c r="C41" s="0" t="n">
        <f aca="false">SQRT((A41/Fesr)^2+1)</f>
        <v>1.00000000024181</v>
      </c>
      <c r="D41" s="0" t="n">
        <f aca="false">ATAN(A41/Fesr)</f>
        <v>2.19911485464549E-005</v>
      </c>
      <c r="F41" s="0" t="n">
        <f aca="false">(Ro/(Ro+Rdcr))/SQRT((A41/(Q*Fo))^2+(1-(A41^2/Fo^2))^2)</f>
        <v>0.997623655233289</v>
      </c>
      <c r="G41" s="0" t="n">
        <f aca="false">-ATAN(A41*Fo/(Q*(Fo^2-A41^2)))</f>
        <v>-0.0507879911273569</v>
      </c>
      <c r="H41" s="0" t="n">
        <f aca="false">IF(G41&gt;0,G41-Pi,G41)</f>
        <v>-0.0507879911273569</v>
      </c>
      <c r="J41" s="0" t="n">
        <f aca="false">Vin/Vramp</f>
        <v>9</v>
      </c>
      <c r="M41" s="0" t="n">
        <f aca="false">1/(2*Pi*_Rfb1*(Cc1ea_u+Cc2ea_u)*A41)</f>
        <v>1.68417929390218</v>
      </c>
      <c r="N41" s="0" t="n">
        <f aca="false">-Pi/2</f>
        <v>-1.570796325</v>
      </c>
      <c r="O41" s="0" t="n">
        <f aca="false">SQRT(1+(A41/Fz1_u)^2)</f>
        <v>1.00364860440977</v>
      </c>
      <c r="P41" s="0" t="n">
        <f aca="false">ATAN2(Fz1_u,A41)</f>
        <v>0.0852941410056202</v>
      </c>
      <c r="Q41" s="0" t="n">
        <f aca="false">SQRT(1+(A41/Fz2_u)^2)</f>
        <v>97.0255266635908</v>
      </c>
      <c r="R41" s="0" t="n">
        <f aca="false">ATAN2(Fz2_u,A41)</f>
        <v>1.56048957825715</v>
      </c>
      <c r="S41" s="0" t="n">
        <f aca="false">1/SQRT(1+(A41/Fp1_u)^2)</f>
        <v>0.967982701761207</v>
      </c>
      <c r="T41" s="0" t="n">
        <f aca="false">-ATAN2(Fp1_u,A41)</f>
        <v>-0.253730657877863</v>
      </c>
      <c r="U41" s="0" t="n">
        <f aca="false">1/SQRT(1+(A41/Fp2_u)^2)</f>
        <v>0.99995487638073</v>
      </c>
      <c r="V41" s="0" t="n">
        <f aca="false">-ATAN2(Fp2_u,A41)</f>
        <v>-0.00949989038150943</v>
      </c>
      <c r="X41" s="0" t="n">
        <f aca="false">20*LOG(C41*J41*O41*Q41*F41*M41*S41*U41)</f>
        <v>63.0782652881123</v>
      </c>
      <c r="Y41" s="0" t="n">
        <f aca="false">(180/Pi)*(D41+H41+N41+P41+R41+T41+V41)</f>
        <v>-13.6942158034313</v>
      </c>
      <c r="Z41" s="0" t="n">
        <f aca="false">Y41+180</f>
        <v>166.305784196569</v>
      </c>
      <c r="AC41" s="0" t="n">
        <v>1</v>
      </c>
      <c r="AD41" s="0" t="n">
        <f aca="false">Rcea1_u*Cc1ea_u*A41*2*Pi</f>
        <v>0.0855015855624</v>
      </c>
      <c r="AE41" s="0" t="n">
        <f aca="false">-Rcea1_u*Cc1ea_u*Cc2ea_u*(A41*2*Pi)^2</f>
        <v>-2.82041710404491E-007</v>
      </c>
      <c r="AF41" s="0" t="n">
        <f aca="false">(Cc2ea_u+Cc1ea_u)*A41*2*Pi</f>
        <v>2.96880505425E-005</v>
      </c>
      <c r="AG41" s="0" t="n">
        <f aca="false">AC41*AE41/(AE41^2+AF41^2)+AD41*AF41/(AE41^2+AF41^2)</f>
        <v>2559.76897228186</v>
      </c>
      <c r="AH41" s="0" t="n">
        <f aca="false">AD41*AE41/(AE41^2+AF41^2)-AC41*AF41/(AE41^2+AF41^2)</f>
        <v>-33707.9041342441</v>
      </c>
      <c r="AJ41" s="0" t="n">
        <f aca="false">_Rfb1</f>
        <v>20000</v>
      </c>
      <c r="AK41" s="0" t="n">
        <f aca="false">_Rfb1*Rcea2_u*Cc3ea_u*A41*2*Pi</f>
        <v>5186.392474032</v>
      </c>
      <c r="AL41" s="0" t="n">
        <v>1</v>
      </c>
      <c r="AM41" s="0" t="n">
        <f aca="false">(_Rfb1+Rcea2_u)*Cc3ea_u*A41*2*Pi</f>
        <v>97.0203732437016</v>
      </c>
      <c r="AN41" s="0" t="n">
        <f aca="false">AJ41*AL41/(AL41^2+AM41^2)+AK41*AM41/(AL41^2+AM41^2)</f>
        <v>55.5755635683453</v>
      </c>
      <c r="AO41" s="0" t="n">
        <f aca="false">AK41*AL41/(AL41^2+AM41^2)-AJ41*AM41/(AL41^2+AM41^2)</f>
        <v>-205.569446597923</v>
      </c>
      <c r="AQ41" s="0" t="n">
        <f aca="false">Eadcg/(1+(Eadcg*A41/GBP)^2)</f>
        <v>718.280447512343</v>
      </c>
      <c r="AR41" s="0" t="n">
        <f aca="false">-(A41*Eadcg*Eadcg/GBP)/(1+(Eadcg*A41/GBP)^2)</f>
        <v>-1324.86828543652</v>
      </c>
      <c r="AT41" s="0" t="n">
        <f aca="false">-AR41*AH41+AG41*AQ41</f>
        <v>-42819901.1530556</v>
      </c>
      <c r="AU41" s="0" t="n">
        <f aca="false">AQ41*AH41+AG41*AR41</f>
        <v>-27603085.1956687</v>
      </c>
      <c r="AV41" s="0" t="n">
        <f aca="false">ATAN2(AT41,AU41)</f>
        <v>-2.56900022176535</v>
      </c>
      <c r="AW41" s="0" t="n">
        <f aca="false">AG41-AH41*AO41/_Rfb2+AG41*AN41/_Rfb2+AN41-AO41*AR41+AQ41*AN41</f>
        <v>-232872.429613878</v>
      </c>
      <c r="AX41" s="0" t="n">
        <f aca="false">AH41+AH41*AN41/_Rfb2+AG41*AO41/_Rfb2+AO41+AO41*AQ41+AN41*AR41</f>
        <v>-256280.085022033</v>
      </c>
      <c r="AY41" s="0" t="n">
        <f aca="false">ATAN2(AW41,AX41)</f>
        <v>-2.30837747665816</v>
      </c>
      <c r="BA41" s="0" t="n">
        <f aca="false">SQRT(AT41^2+AU41^2)/SQRT(AW41^2+AX41^2)</f>
        <v>147.123612497539</v>
      </c>
      <c r="BB41" s="0" t="n">
        <f aca="false">20*LOG(BA41)</f>
        <v>43.3536476019911</v>
      </c>
      <c r="BC41" s="0" t="n">
        <f aca="false">AV41-AY41</f>
        <v>-0.260622745107193</v>
      </c>
      <c r="BD41" s="0" t="n">
        <f aca="false">BC41*180/Pi-180</f>
        <v>-194.932583356819</v>
      </c>
      <c r="BF41" s="0" t="n">
        <f aca="false">20*LOG(BA41*J41*F41*C41)</f>
        <v>62.417832560898</v>
      </c>
      <c r="BG41" s="0" t="n">
        <f aca="false">(180/Pi)*(D41+H41+BC41)</f>
        <v>-17.8412609016897</v>
      </c>
      <c r="BH41" s="0" t="n">
        <f aca="false">IF(BG41&gt;180,BG41-180,BG41+180)</f>
        <v>162.15873909831</v>
      </c>
      <c r="BI41" s="0" t="n">
        <f aca="false">IF(BH41&gt;180,BH41-360,BH41)</f>
        <v>162.15873909831</v>
      </c>
      <c r="BJ41" s="0" t="n">
        <f aca="false">SUM((BF42&lt;0)*(BF41&gt;0))*A41</f>
        <v>0</v>
      </c>
      <c r="BK41" s="0" t="n">
        <f aca="false">IF(BJ41&gt;0,BI41,0)</f>
        <v>0</v>
      </c>
      <c r="BM41" s="0" t="n">
        <f aca="false">20*LOG(J41*F41*C41)</f>
        <v>19.0641849589069</v>
      </c>
      <c r="BN41" s="0" t="n">
        <f aca="false">(H41+D41)*180/Pi</f>
        <v>-2.90867754487071</v>
      </c>
      <c r="BQ41" s="347" t="n">
        <f aca="false">20*LOG(BA41*7)</f>
        <v>60.2556084022762</v>
      </c>
      <c r="BR41" s="350"/>
      <c r="BS41" s="350"/>
      <c r="BT41" s="350" t="n">
        <v>204.174</v>
      </c>
      <c r="BU41" s="350" t="n">
        <v>28.4243</v>
      </c>
      <c r="BV41" s="350" t="n">
        <v>-264.1684</v>
      </c>
      <c r="BW41" s="349"/>
      <c r="BY41" s="350"/>
      <c r="BZ41" s="350"/>
      <c r="CA41" s="350"/>
      <c r="CC41" s="350"/>
    </row>
    <row r="42" customFormat="false" ht="12.75" hidden="false" customHeight="false" outlineLevel="0" collapsed="false">
      <c r="A42" s="0" t="n">
        <f aca="false">A41+500</f>
        <v>4000</v>
      </c>
      <c r="B42" s="0" t="n">
        <f aca="false">A42/1000</f>
        <v>4</v>
      </c>
      <c r="C42" s="0" t="n">
        <f aca="false">SQRT((A42/Fesr)^2+1)</f>
        <v>1.00000000031583</v>
      </c>
      <c r="D42" s="0" t="n">
        <f aca="false">ATAN(A42/Fesr)</f>
        <v>2.51327411947083E-005</v>
      </c>
      <c r="F42" s="0" t="n">
        <f aca="false">(Ro/(Ro+Rdcr))/SQRT((A42/(Q*Fo))^2+(1-(A42^2/Fo^2))^2)</f>
        <v>0.999233589734456</v>
      </c>
      <c r="G42" s="0" t="n">
        <f aca="false">-ATAN(A42*Fo/(Q*(Fo^2-A42^2)))</f>
        <v>-0.0581448544004632</v>
      </c>
      <c r="H42" s="0" t="n">
        <f aca="false">IF(G42&gt;0,G42-Pi,G42)</f>
        <v>-0.0581448544004632</v>
      </c>
      <c r="J42" s="0" t="n">
        <f aca="false">Vin/Vramp</f>
        <v>9</v>
      </c>
      <c r="M42" s="0" t="n">
        <f aca="false">1/(2*Pi*_Rfb1*(Cc1ea_u+Cc2ea_u)*A42)</f>
        <v>1.47365688216441</v>
      </c>
      <c r="N42" s="0" t="n">
        <f aca="false">-Pi/2</f>
        <v>-1.570796325</v>
      </c>
      <c r="O42" s="0" t="n">
        <f aca="false">SQRT(1+(A42/Fz1_u)^2)</f>
        <v>1.00476287539222</v>
      </c>
      <c r="P42" s="0" t="n">
        <f aca="false">ATAN2(Fz1_u,A42)</f>
        <v>0.0974068555682974</v>
      </c>
      <c r="Q42" s="0" t="n">
        <f aca="false">SQRT(1+(A42/Fz2_u)^2)</f>
        <v>110.884935834701</v>
      </c>
      <c r="R42" s="0" t="n">
        <f aca="false">ATAN2(Fz2_u,A42)</f>
        <v>1.56177784697979</v>
      </c>
      <c r="S42" s="0" t="n">
        <f aca="false">1/SQRT(1+(A42/Fp1_u)^2)</f>
        <v>0.958780094185406</v>
      </c>
      <c r="T42" s="0" t="n">
        <f aca="false">-ATAN2(Fp1_u,A42)</f>
        <v>-0.288118866040365</v>
      </c>
      <c r="U42" s="0" t="n">
        <f aca="false">1/SQRT(1+(A42/Fp2_u)^2)</f>
        <v>0.999941064249022</v>
      </c>
      <c r="V42" s="0" t="n">
        <f aca="false">-ATAN2(Fp2_u,A42)</f>
        <v>-0.0108569176003681</v>
      </c>
      <c r="X42" s="0" t="n">
        <f aca="false">20*LOG(C42*J42*O42*Q42*F42*M42*S42*U42)</f>
        <v>63.0187090609874</v>
      </c>
      <c r="Y42" s="0" t="n">
        <f aca="false">(180/Pi)*(D42+H42+N42+P42+R42+T42+V42)</f>
        <v>-15.3957843628597</v>
      </c>
      <c r="Z42" s="0" t="n">
        <f aca="false">Y42+180</f>
        <v>164.60421563714</v>
      </c>
      <c r="AC42" s="0" t="n">
        <v>1</v>
      </c>
      <c r="AD42" s="0" t="n">
        <f aca="false">Rcea1_u*Cc1ea_u*A42*2*Pi</f>
        <v>0.0977160977856</v>
      </c>
      <c r="AE42" s="0" t="n">
        <f aca="false">-Rcea1_u*Cc1ea_u*Cc2ea_u*(A42*2*Pi)^2</f>
        <v>-3.68381009507907E-007</v>
      </c>
      <c r="AF42" s="0" t="n">
        <f aca="false">(Cc2ea_u+Cc1ea_u)*A42*2*Pi</f>
        <v>3.392920062E-005</v>
      </c>
      <c r="AG42" s="0" t="n">
        <f aca="false">AC42*AE42/(AE42^2+AF42^2)+AD42*AF42/(AE42^2+AF42^2)</f>
        <v>2559.69825784696</v>
      </c>
      <c r="AH42" s="0" t="n">
        <f aca="false">AD42*AE42/(AE42^2+AF42^2)-AC42*AF42/(AE42^2+AF42^2)</f>
        <v>-29500.9291683177</v>
      </c>
      <c r="AJ42" s="0" t="n">
        <f aca="false">_Rfb1</f>
        <v>20000</v>
      </c>
      <c r="AK42" s="0" t="n">
        <f aca="false">_Rfb1*Rcea2_u*Cc3ea_u*A42*2*Pi</f>
        <v>5927.305684608</v>
      </c>
      <c r="AL42" s="0" t="n">
        <v>1</v>
      </c>
      <c r="AM42" s="0" t="n">
        <f aca="false">(_Rfb1+Rcea2_u)*Cc3ea_u*A42*2*Pi</f>
        <v>110.88042656423</v>
      </c>
      <c r="AN42" s="0" t="n">
        <f aca="false">AJ42*AL42/(AL42^2+AM42^2)+AK42*AM42/(AL42^2+AM42^2)</f>
        <v>55.0790037336274</v>
      </c>
      <c r="AO42" s="0" t="n">
        <f aca="false">AK42*AL42/(AL42^2+AM42^2)-AJ42*AM42/(AL42^2+AM42^2)</f>
        <v>-179.877744109442</v>
      </c>
      <c r="AQ42" s="0" t="n">
        <f aca="false">Eadcg/(1+(Eadcg*A42/GBP)^2)</f>
        <v>580.858774531272</v>
      </c>
      <c r="AR42" s="0" t="n">
        <f aca="false">-(A42*Eadcg*Eadcg/GBP)/(1+(Eadcg*A42/GBP)^2)</f>
        <v>-1224.45029671192</v>
      </c>
      <c r="AT42" s="0" t="n">
        <f aca="false">-AR42*AH42+AG42*AQ42</f>
        <v>-34635598.2802012</v>
      </c>
      <c r="AU42" s="0" t="n">
        <f aca="false">AQ42*AH42+AG42*AR42</f>
        <v>-20270096.8555566</v>
      </c>
      <c r="AV42" s="0" t="n">
        <f aca="false">ATAN2(AT42,AU42)</f>
        <v>-2.61209766990682</v>
      </c>
      <c r="AW42" s="0" t="n">
        <f aca="false">AG42-AH42*AO42/_Rfb2+AG42*AN42/_Rfb2+AN42-AO42*AR42+AQ42*AN42</f>
        <v>-187967.966005091</v>
      </c>
      <c r="AX42" s="0" t="n">
        <f aca="false">AH42+AH42*AN42/_Rfb2+AG42*AO42/_Rfb2+AO42+AO42*AQ42+AN42*AR42</f>
        <v>-202544.266926737</v>
      </c>
      <c r="AY42" s="0" t="n">
        <f aca="false">ATAN2(AW42,AX42)</f>
        <v>-2.31888570463687</v>
      </c>
      <c r="BA42" s="0" t="n">
        <f aca="false">SQRT(AT42^2+AU42^2)/SQRT(AW42^2+AX42^2)</f>
        <v>145.230754575956</v>
      </c>
      <c r="BB42" s="0" t="n">
        <f aca="false">20*LOG(BA42)</f>
        <v>43.2411718766364</v>
      </c>
      <c r="BC42" s="0" t="n">
        <f aca="false">AV42-AY42</f>
        <v>-0.293211965269953</v>
      </c>
      <c r="BD42" s="0" t="n">
        <f aca="false">BC42*180/Pi-180</f>
        <v>-196.799808131901</v>
      </c>
      <c r="BF42" s="0" t="n">
        <f aca="false">20*LOG(BA42*J42*F42*C42)</f>
        <v>62.3193625608987</v>
      </c>
      <c r="BG42" s="0" t="n">
        <f aca="false">(180/Pi)*(D42+H42+BC42)</f>
        <v>-20.1298228932576</v>
      </c>
      <c r="BH42" s="0" t="n">
        <f aca="false">IF(BG42&gt;180,BG42-180,BG42+180)</f>
        <v>159.870177106742</v>
      </c>
      <c r="BI42" s="0" t="n">
        <f aca="false">IF(BH42&gt;180,BH42-360,BH42)</f>
        <v>159.870177106742</v>
      </c>
      <c r="BJ42" s="0" t="n">
        <f aca="false">SUM((BF43&lt;0)*(BF42&gt;0))*A42</f>
        <v>0</v>
      </c>
      <c r="BK42" s="0" t="n">
        <f aca="false">IF(BJ42&gt;0,BI42,0)</f>
        <v>0</v>
      </c>
      <c r="BM42" s="0" t="n">
        <f aca="false">20*LOG(J42*F42*C42)</f>
        <v>19.0781906842623</v>
      </c>
      <c r="BN42" s="0" t="n">
        <f aca="false">(H42+D42)*180/Pi</f>
        <v>-3.33001476135626</v>
      </c>
      <c r="BQ42" s="347" t="n">
        <f aca="false">20*LOG(BA42*7)</f>
        <v>60.1431326769216</v>
      </c>
      <c r="BR42" s="350"/>
      <c r="BS42" s="350"/>
      <c r="BT42" s="350" t="n">
        <v>208.93</v>
      </c>
      <c r="BU42" s="350" t="n">
        <v>28.5109</v>
      </c>
      <c r="BV42" s="350" t="n">
        <v>-267.6911</v>
      </c>
      <c r="BW42" s="349"/>
      <c r="BY42" s="350"/>
      <c r="BZ42" s="350"/>
      <c r="CA42" s="350"/>
      <c r="CC42" s="350"/>
    </row>
    <row r="43" customFormat="false" ht="12.75" hidden="false" customHeight="false" outlineLevel="0" collapsed="false">
      <c r="A43" s="0" t="n">
        <f aca="false">A42+500</f>
        <v>4500</v>
      </c>
      <c r="B43" s="0" t="n">
        <f aca="false">A43/1000</f>
        <v>4.5</v>
      </c>
      <c r="C43" s="0" t="n">
        <f aca="false">SQRT((A43/Fesr)^2+1)</f>
        <v>1.00000000039972</v>
      </c>
      <c r="D43" s="0" t="n">
        <f aca="false">ATAN(A43/Fesr)</f>
        <v>2.82743338424655E-005</v>
      </c>
      <c r="F43" s="0" t="n">
        <f aca="false">(Ro/(Ro+Rdcr))/SQRT((A43/(Q*Fo))^2+(1-(A43^2/Fo^2))^2)</f>
        <v>1.00106272051323</v>
      </c>
      <c r="G43" s="0" t="n">
        <f aca="false">-ATAN(A43*Fo/(Q*(Fo^2-A43^2)))</f>
        <v>-0.0655426991222398</v>
      </c>
      <c r="H43" s="0" t="n">
        <f aca="false">IF(G43&gt;0,G43-Pi,G43)</f>
        <v>-0.0655426991222398</v>
      </c>
      <c r="J43" s="0" t="n">
        <f aca="false">Vin/Vramp</f>
        <v>9</v>
      </c>
      <c r="M43" s="0" t="n">
        <f aca="false">1/(2*Pi*_Rfb1*(Cc1ea_u+Cc2ea_u)*A43)</f>
        <v>1.30991722859059</v>
      </c>
      <c r="N43" s="0" t="n">
        <f aca="false">-Pi/2</f>
        <v>-1.570796325</v>
      </c>
      <c r="O43" s="0" t="n">
        <f aca="false">SQRT(1+(A43/Fz1_u)^2)</f>
        <v>1.00602422387182</v>
      </c>
      <c r="P43" s="0" t="n">
        <f aca="false">ATAN2(Fz1_u,A43)</f>
        <v>0.109490965846753</v>
      </c>
      <c r="Q43" s="0" t="n">
        <f aca="false">SQRT(1+(A43/Fz2_u)^2)</f>
        <v>124.744488142282</v>
      </c>
      <c r="R43" s="0" t="n">
        <f aca="false">ATAN2(Fz2_u,A43)</f>
        <v>1.56277985467969</v>
      </c>
      <c r="S43" s="0" t="n">
        <f aca="false">1/SQRT(1+(A43/Fp1_u)^2)</f>
        <v>0.948661207651582</v>
      </c>
      <c r="T43" s="0" t="n">
        <f aca="false">-ATAN2(Fp1_u,A43)</f>
        <v>-0.321820403053492</v>
      </c>
      <c r="U43" s="0" t="n">
        <f aca="false">1/SQRT(1+(A43/Fp2_u)^2)</f>
        <v>0.99992541119164</v>
      </c>
      <c r="V43" s="0" t="n">
        <f aca="false">-ATAN2(Fp2_u,A43)</f>
        <v>-0.0122139048323343</v>
      </c>
      <c r="X43" s="0" t="n">
        <f aca="false">20*LOG(C43*J43*O43*Q43*F43*M43*S43*U43)</f>
        <v>62.9531240616801</v>
      </c>
      <c r="Y43" s="0" t="n">
        <f aca="false">(180/Pi)*(D43+H43+N43+P43+R43+T43+V43)</f>
        <v>-17.0783957896641</v>
      </c>
      <c r="Z43" s="0" t="n">
        <f aca="false">Y43+180</f>
        <v>162.921604210336</v>
      </c>
      <c r="AC43" s="0" t="n">
        <v>1</v>
      </c>
      <c r="AD43" s="0" t="n">
        <f aca="false">Rcea1_u*Cc1ea_u*A43*2*Pi</f>
        <v>0.1099306100088</v>
      </c>
      <c r="AE43" s="0" t="n">
        <f aca="false">-Rcea1_u*Cc1ea_u*Cc2ea_u*(A43*2*Pi)^2</f>
        <v>-4.66232215158445E-007</v>
      </c>
      <c r="AF43" s="0" t="n">
        <f aca="false">(Cc2ea_u+Cc1ea_u)*A43*2*Pi</f>
        <v>3.81703506975E-005</v>
      </c>
      <c r="AG43" s="0" t="n">
        <f aca="false">AC43*AE43/(AE43^2+AF43^2)+AD43*AF43/(AE43^2+AF43^2)</f>
        <v>2559.61811954373</v>
      </c>
      <c r="AH43" s="0" t="n">
        <f aca="false">AD43*AE43/(AE43^2+AF43^2)-AC43*AF43/(AE43^2+AF43^2)</f>
        <v>-26229.6090586196</v>
      </c>
      <c r="AJ43" s="0" t="n">
        <f aca="false">_Rfb1</f>
        <v>20000</v>
      </c>
      <c r="AK43" s="0" t="n">
        <f aca="false">_Rfb1*Rcea2_u*Cc3ea_u*A43*2*Pi</f>
        <v>6668.218895184</v>
      </c>
      <c r="AL43" s="0" t="n">
        <v>1</v>
      </c>
      <c r="AM43" s="0" t="n">
        <f aca="false">(_Rfb1+Rcea2_u)*Cc3ea_u*A43*2*Pi</f>
        <v>124.740479884759</v>
      </c>
      <c r="AN43" s="0" t="n">
        <f aca="false">AJ43*AL43/(AL43^2+AM43^2)+AK43*AM43/(AL43^2+AM43^2)</f>
        <v>54.7385496583664</v>
      </c>
      <c r="AO43" s="0" t="n">
        <f aca="false">AK43*AL43/(AL43^2+AM43^2)-AJ43*AM43/(AL43^2+AM43^2)</f>
        <v>-159.894057396348</v>
      </c>
      <c r="AQ43" s="0" t="n">
        <f aca="false">Eadcg/(1+(Eadcg*A43/GBP)^2)</f>
        <v>477.3541896756</v>
      </c>
      <c r="AR43" s="0" t="n">
        <f aca="false">-(A43*Eadcg*Eadcg/GBP)/(1+(Eadcg*A43/GBP)^2)</f>
        <v>-1132.04546081569</v>
      </c>
      <c r="AT43" s="0" t="n">
        <f aca="false">-AR43*AH43+AG43*AQ43</f>
        <v>-28471265.4404466</v>
      </c>
      <c r="AU43" s="0" t="n">
        <f aca="false">AQ43*AH43+AG43*AR43</f>
        <v>-15418417.8513362</v>
      </c>
      <c r="AV43" s="0" t="n">
        <f aca="false">ATAN2(AT43,AU43)</f>
        <v>-2.64526542755389</v>
      </c>
      <c r="AW43" s="0" t="n">
        <f aca="false">AG43-AH43*AO43/_Rfb2+AG43*AN43/_Rfb2+AN43-AO43*AR43+AQ43*AN43</f>
        <v>-154087.541176291</v>
      </c>
      <c r="AX43" s="0" t="n">
        <f aca="false">AH43+AH43*AN43/_Rfb2+AG43*AO43/_Rfb2+AO43+AO43*AQ43+AN43*AR43</f>
        <v>-165512.395308803</v>
      </c>
      <c r="AY43" s="0" t="n">
        <f aca="false">ATAN2(AW43,AX43)</f>
        <v>-2.32046234493976</v>
      </c>
      <c r="BA43" s="0" t="n">
        <f aca="false">SQRT(AT43^2+AU43^2)/SQRT(AW43^2+AX43^2)</f>
        <v>143.179947653103</v>
      </c>
      <c r="BB43" s="0" t="n">
        <f aca="false">20*LOG(BA43)</f>
        <v>43.1176439860569</v>
      </c>
      <c r="BC43" s="0" t="n">
        <f aca="false">AV43-AY43</f>
        <v>-0.324803082614124</v>
      </c>
      <c r="BD43" s="0" t="n">
        <f aca="false">BC43*180/Pi-180</f>
        <v>-198.609845827893</v>
      </c>
      <c r="BF43" s="0" t="n">
        <f aca="false">20*LOG(BA43*J43*F43*C43)</f>
        <v>62.2117199500687</v>
      </c>
      <c r="BG43" s="0" t="n">
        <f aca="false">(180/Pi)*(D43+H43+BC43)</f>
        <v>-22.3635458697848</v>
      </c>
      <c r="BH43" s="0" t="n">
        <f aca="false">IF(BG43&gt;180,BG43-180,BG43+180)</f>
        <v>157.636454130215</v>
      </c>
      <c r="BI43" s="0" t="n">
        <f aca="false">IF(BH43&gt;180,BH43-360,BH43)</f>
        <v>157.636454130215</v>
      </c>
      <c r="BJ43" s="0" t="n">
        <f aca="false">SUM((BF44&lt;0)*(BF43&gt;0))*A43</f>
        <v>0</v>
      </c>
      <c r="BK43" s="0" t="n">
        <f aca="false">IF(BJ43&gt;0,BI43,0)</f>
        <v>0</v>
      </c>
      <c r="BM43" s="0" t="n">
        <f aca="false">20*LOG(J43*F43*C43)</f>
        <v>19.0940759640118</v>
      </c>
      <c r="BN43" s="0" t="n">
        <f aca="false">(H43+D43)*180/Pi</f>
        <v>-3.75370004189166</v>
      </c>
      <c r="BQ43" s="347" t="n">
        <f aca="false">20*LOG(BA43*7)</f>
        <v>60.0196047863421</v>
      </c>
      <c r="BR43" s="350"/>
      <c r="BS43" s="350"/>
      <c r="BT43" s="350" t="n">
        <v>213.796</v>
      </c>
      <c r="BU43" s="350" t="n">
        <v>28.179</v>
      </c>
      <c r="BV43" s="350" t="n">
        <v>-266.9667</v>
      </c>
      <c r="BW43" s="349"/>
      <c r="BY43" s="350"/>
      <c r="BZ43" s="350"/>
      <c r="CA43" s="350"/>
      <c r="CC43" s="350"/>
    </row>
    <row r="44" customFormat="false" ht="12.75" hidden="false" customHeight="false" outlineLevel="0" collapsed="false">
      <c r="A44" s="0" t="n">
        <f aca="false">A43+500</f>
        <v>5000</v>
      </c>
      <c r="B44" s="0" t="n">
        <f aca="false">A44/1000</f>
        <v>5</v>
      </c>
      <c r="C44" s="0" t="n">
        <f aca="false">SQRT((A44/Fesr)^2+1)</f>
        <v>1.00000000049348</v>
      </c>
      <c r="D44" s="0" t="n">
        <f aca="false">ATAN(A44/Fesr)</f>
        <v>3.14159264896646E-005</v>
      </c>
      <c r="F44" s="0" t="n">
        <f aca="false">(Ro/(Ro+Rdcr))/SQRT((A44/(Q*Fo))^2+(1-(A44^2/Fo^2))^2)</f>
        <v>1.0031127565373</v>
      </c>
      <c r="G44" s="0" t="n">
        <f aca="false">-ATAN(A44*Fo/(Q*(Fo^2-A44^2)))</f>
        <v>-0.0729869045682672</v>
      </c>
      <c r="H44" s="0" t="n">
        <f aca="false">IF(G44&gt;0,G44-Pi,G44)</f>
        <v>-0.0729869045682672</v>
      </c>
      <c r="J44" s="0" t="n">
        <f aca="false">Vin/Vramp</f>
        <v>9</v>
      </c>
      <c r="M44" s="0" t="n">
        <f aca="false">1/(2*Pi*_Rfb1*(Cc1ea_u+Cc2ea_u)*A44)</f>
        <v>1.17892550573153</v>
      </c>
      <c r="N44" s="0" t="n">
        <f aca="false">-Pi/2</f>
        <v>-1.570796325</v>
      </c>
      <c r="O44" s="0" t="n">
        <f aca="false">SQRT(1+(A44/Fz1_u)^2)</f>
        <v>1.0074320974066</v>
      </c>
      <c r="P44" s="0" t="n">
        <f aca="false">ATAN2(Fz1_u,A44)</f>
        <v>0.121543057354766</v>
      </c>
      <c r="Q44" s="0" t="n">
        <f aca="false">SQRT(1+(A44/Fz2_u)^2)</f>
        <v>138.604140648071</v>
      </c>
      <c r="R44" s="0" t="n">
        <f aca="false">ATAN2(Fz2_u,A44)</f>
        <v>1.56358147252673</v>
      </c>
      <c r="S44" s="0" t="n">
        <f aca="false">1/SQRT(1+(A44/Fp1_u)^2)</f>
        <v>0.937722421004333</v>
      </c>
      <c r="T44" s="0" t="n">
        <f aca="false">-ATAN2(Fp1_u,A44)</f>
        <v>-0.354781482516655</v>
      </c>
      <c r="U44" s="0" t="n">
        <f aca="false">1/SQRT(1+(A44/Fp2_u)^2)</f>
        <v>0.999907917467974</v>
      </c>
      <c r="V44" s="0" t="n">
        <f aca="false">-ATAN2(Fp2_u,A44)</f>
        <v>-0.0135708470818631</v>
      </c>
      <c r="X44" s="0" t="n">
        <f aca="false">20*LOG(C44*J44*O44*Q44*F44*M44*S44*U44)</f>
        <v>62.8820984437469</v>
      </c>
      <c r="Y44" s="0" t="n">
        <f aca="false">(180/Pi)*(D44+H44+N44+P44+R44+T44+V44)</f>
        <v>-18.7345518536858</v>
      </c>
      <c r="Z44" s="0" t="n">
        <f aca="false">Y44+180</f>
        <v>161.265448146314</v>
      </c>
      <c r="AC44" s="0" t="n">
        <v>1</v>
      </c>
      <c r="AD44" s="0" t="n">
        <f aca="false">Rcea1_u*Cc1ea_u*A44*2*Pi</f>
        <v>0.122145122232</v>
      </c>
      <c r="AE44" s="0" t="n">
        <f aca="false">-Rcea1_u*Cc1ea_u*Cc2ea_u*(A44*2*Pi)^2</f>
        <v>-5.75595327356104E-007</v>
      </c>
      <c r="AF44" s="0" t="n">
        <f aca="false">(Cc2ea_u+Cc1ea_u)*A44*2*Pi</f>
        <v>4.2411500775E-005</v>
      </c>
      <c r="AG44" s="0" t="n">
        <f aca="false">AC44*AE44/(AE44^2+AF44^2)+AD44*AF44/(AE44^2+AF44^2)</f>
        <v>2559.52855914276</v>
      </c>
      <c r="AH44" s="0" t="n">
        <f aca="false">AD44*AE44/(AE44^2+AF44^2)-AC44*AF44/(AE44^2+AF44^2)</f>
        <v>-23613.2472178209</v>
      </c>
      <c r="AJ44" s="0" t="n">
        <f aca="false">_Rfb1</f>
        <v>20000</v>
      </c>
      <c r="AK44" s="0" t="n">
        <f aca="false">_Rfb1*Rcea2_u*Cc3ea_u*A44*2*Pi</f>
        <v>7409.13210576</v>
      </c>
      <c r="AL44" s="0" t="n">
        <v>1</v>
      </c>
      <c r="AM44" s="0" t="n">
        <f aca="false">(_Rfb1+Rcea2_u)*Cc3ea_u*A44*2*Pi</f>
        <v>138.600533205288</v>
      </c>
      <c r="AN44" s="0" t="n">
        <f aca="false">AJ44*AL44/(AL44^2+AM44^2)+AK44*AM44/(AL44^2+AM44^2)</f>
        <v>54.4950177306129</v>
      </c>
      <c r="AO44" s="0" t="n">
        <f aca="false">AK44*AL44/(AL44^2+AM44^2)-AJ44*AM44/(AL44^2+AM44^2)</f>
        <v>-143.906408734569</v>
      </c>
      <c r="AQ44" s="0" t="n">
        <f aca="false">Eadcg/(1+(Eadcg*A44/GBP)^2)</f>
        <v>398.075089148299</v>
      </c>
      <c r="AR44" s="0" t="n">
        <f aca="false">-(A44*Eadcg*Eadcg/GBP)/(1+(Eadcg*A44/GBP)^2)</f>
        <v>-1048.92785990577</v>
      </c>
      <c r="AT44" s="0" t="n">
        <f aca="false">-AR44*AH44+AG44*AQ44</f>
        <v>-23749708.3102563</v>
      </c>
      <c r="AU44" s="0" t="n">
        <f aca="false">AQ44*AH44+AG44*AR44</f>
        <v>-12084606.3052242</v>
      </c>
      <c r="AV44" s="0" t="n">
        <f aca="false">ATAN2(AT44,AU44)</f>
        <v>-2.6709046107901</v>
      </c>
      <c r="AW44" s="0" t="n">
        <f aca="false">AG44-AH44*AO44/_Rfb2+AG44*AN44/_Rfb2+AN44-AO44*AR44+AQ44*AN44</f>
        <v>-128106.685945711</v>
      </c>
      <c r="AX44" s="0" t="n">
        <f aca="false">AH44+AH44*AN44/_Rfb2+AG44*AO44/_Rfb2+AO44+AO44*AQ44+AN44*AR44</f>
        <v>-138948.864036245</v>
      </c>
      <c r="AY44" s="0" t="n">
        <f aca="false">ATAN2(AW44,AX44)</f>
        <v>-2.31561781238382</v>
      </c>
      <c r="BA44" s="0" t="n">
        <f aca="false">SQRT(AT44^2+AU44^2)/SQRT(AW44^2+AX44^2)</f>
        <v>140.99747959418</v>
      </c>
      <c r="BB44" s="0" t="n">
        <f aca="false">20*LOG(BA44)</f>
        <v>42.984226989544</v>
      </c>
      <c r="BC44" s="0" t="n">
        <f aca="false">AV44-AY44</f>
        <v>-0.355286798406276</v>
      </c>
      <c r="BD44" s="0" t="n">
        <f aca="false">BC44*180/Pi-180</f>
        <v>-200.356434088656</v>
      </c>
      <c r="BF44" s="0" t="n">
        <f aca="false">20*LOG(BA44*J44*F44*C44)</f>
        <v>62.0960722495973</v>
      </c>
      <c r="BG44" s="0" t="n">
        <f aca="false">(180/Pi)*(D44+H44+BC44)</f>
        <v>-24.5364756849204</v>
      </c>
      <c r="BH44" s="0" t="n">
        <f aca="false">IF(BG44&gt;180,BG44-180,BG44+180)</f>
        <v>155.46352431508</v>
      </c>
      <c r="BI44" s="0" t="n">
        <f aca="false">IF(BH44&gt;180,BH44-360,BH44)</f>
        <v>155.46352431508</v>
      </c>
      <c r="BJ44" s="0" t="n">
        <f aca="false">SUM((BF45&lt;0)*(BF44&gt;0))*A44</f>
        <v>0</v>
      </c>
      <c r="BK44" s="0" t="n">
        <f aca="false">IF(BJ44&gt;0,BI44,0)</f>
        <v>0</v>
      </c>
      <c r="BM44" s="0" t="n">
        <f aca="false">20*LOG(J44*F44*C44)</f>
        <v>19.1118452600533</v>
      </c>
      <c r="BN44" s="0" t="n">
        <f aca="false">(H44+D44)*180/Pi</f>
        <v>-4.18004159626486</v>
      </c>
      <c r="BQ44" s="347" t="n">
        <f aca="false">20*LOG(BA44*7)</f>
        <v>59.8861877898292</v>
      </c>
      <c r="BR44" s="350"/>
      <c r="BS44" s="350"/>
      <c r="BT44" s="350" t="n">
        <v>218.776</v>
      </c>
      <c r="BU44" s="350" t="n">
        <v>27.7064</v>
      </c>
      <c r="BV44" s="350" t="n">
        <v>-263.5369</v>
      </c>
      <c r="BW44" s="349"/>
      <c r="BY44" s="350"/>
      <c r="BZ44" s="350"/>
      <c r="CA44" s="350"/>
      <c r="CC44" s="350"/>
    </row>
    <row r="45" customFormat="false" ht="12.75" hidden="false" customHeight="false" outlineLevel="0" collapsed="false">
      <c r="A45" s="0" t="n">
        <f aca="false">A44+500</f>
        <v>5500</v>
      </c>
      <c r="B45" s="0" t="n">
        <f aca="false">A45/1000</f>
        <v>5.5</v>
      </c>
      <c r="C45" s="0" t="n">
        <f aca="false">SQRT((A45/Fesr)^2+1)</f>
        <v>1.00000000059711</v>
      </c>
      <c r="D45" s="0" t="n">
        <f aca="false">ATAN(A45/Fesr)</f>
        <v>3.45575191362435E-005</v>
      </c>
      <c r="F45" s="0" t="n">
        <f aca="false">(Ro/(Ro+Rdcr))/SQRT((A45/(Q*Fo))^2+(1-(A45^2/Fo^2))^2)</f>
        <v>1.00538561173899</v>
      </c>
      <c r="G45" s="0" t="n">
        <f aca="false">-ATAN(A45*Fo/(Q*(Fo^2-A45^2)))</f>
        <v>-0.0804829423813022</v>
      </c>
      <c r="H45" s="0" t="n">
        <f aca="false">IF(G45&gt;0,G45-Pi,G45)</f>
        <v>-0.0804829423813022</v>
      </c>
      <c r="J45" s="0" t="n">
        <f aca="false">Vin/Vramp</f>
        <v>9</v>
      </c>
      <c r="M45" s="0" t="n">
        <f aca="false">1/(2*Pi*_Rfb1*(Cc1ea_u+Cc2ea_u)*A45)</f>
        <v>1.07175045975594</v>
      </c>
      <c r="N45" s="0" t="n">
        <f aca="false">-Pi/2</f>
        <v>-1.570796325</v>
      </c>
      <c r="O45" s="0" t="n">
        <f aca="false">SQRT(1+(A45/Fz1_u)^2)</f>
        <v>1.00898588264204</v>
      </c>
      <c r="P45" s="0" t="n">
        <f aca="false">ATAN2(Fz1_u,A45)</f>
        <v>0.133559770862101</v>
      </c>
      <c r="Q45" s="0" t="n">
        <f aca="false">SQRT(1+(A45/Fz2_u)^2)</f>
        <v>152.463866026662</v>
      </c>
      <c r="R45" s="0" t="n">
        <f aca="false">ATAN2(Fz2_u,A45)</f>
        <v>1.56423734861778</v>
      </c>
      <c r="S45" s="0" t="n">
        <f aca="false">1/SQRT(1+(A45/Fp1_u)^2)</f>
        <v>0.926061662720675</v>
      </c>
      <c r="T45" s="0" t="n">
        <f aca="false">-ATAN2(Fp1_u,A45)</f>
        <v>-0.386957070070275</v>
      </c>
      <c r="U45" s="0" t="n">
        <f aca="false">1/SQRT(1+(A45/Fp2_u)^2)</f>
        <v>0.999888583367889</v>
      </c>
      <c r="V45" s="0" t="n">
        <f aca="false">-ATAN2(Fp2_u,A45)</f>
        <v>-0.0149277393544035</v>
      </c>
      <c r="X45" s="0" t="n">
        <f aca="false">20*LOG(C45*J45*O45*Q45*F45*M45*S45*U45)</f>
        <v>62.8062477372993</v>
      </c>
      <c r="Y45" s="0" t="n">
        <f aca="false">(180/Pi)*(D45+H45+N45+P45+R45+T45+V45)</f>
        <v>-20.359046856458</v>
      </c>
      <c r="Z45" s="0" t="n">
        <f aca="false">Y45+180</f>
        <v>159.640953143542</v>
      </c>
      <c r="AC45" s="0" t="n">
        <v>1</v>
      </c>
      <c r="AD45" s="0" t="n">
        <f aca="false">Rcea1_u*Cc1ea_u*A45*2*Pi</f>
        <v>0.1343596344552</v>
      </c>
      <c r="AE45" s="0" t="n">
        <f aca="false">-Rcea1_u*Cc1ea_u*Cc2ea_u*(A45*2*Pi)^2</f>
        <v>-6.96470346100886E-007</v>
      </c>
      <c r="AF45" s="0" t="n">
        <f aca="false">(Cc2ea_u+Cc1ea_u)*A45*2*Pi</f>
        <v>4.66526508525E-005</v>
      </c>
      <c r="AG45" s="0" t="n">
        <f aca="false">AC45*AE45/(AE45^2+AF45^2)+AD45*AF45/(AE45^2+AF45^2)</f>
        <v>2559.42957862258</v>
      </c>
      <c r="AH45" s="0" t="n">
        <f aca="false">AD45*AE45/(AE45^2+AF45^2)-AC45*AF45/(AE45^2+AF45^2)</f>
        <v>-21473.2185309629</v>
      </c>
      <c r="AJ45" s="0" t="n">
        <f aca="false">_Rfb1</f>
        <v>20000</v>
      </c>
      <c r="AK45" s="0" t="n">
        <f aca="false">_Rfb1*Rcea2_u*Cc3ea_u*A45*2*Pi</f>
        <v>8150.045316336</v>
      </c>
      <c r="AL45" s="0" t="n">
        <v>1</v>
      </c>
      <c r="AM45" s="0" t="n">
        <f aca="false">(_Rfb1+Rcea2_u)*Cc3ea_u*A45*2*Pi</f>
        <v>152.460586525817</v>
      </c>
      <c r="AN45" s="0" t="n">
        <f aca="false">AJ45*AL45/(AL45^2+AM45^2)+AK45*AM45/(AL45^2+AM45^2)</f>
        <v>54.3148278178304</v>
      </c>
      <c r="AO45" s="0" t="n">
        <f aca="false">AK45*AL45/(AL45^2+AM45^2)-AJ45*AM45/(AL45^2+AM45^2)</f>
        <v>-130.825189819171</v>
      </c>
      <c r="AQ45" s="0" t="n">
        <f aca="false">Eadcg/(1+(Eadcg*A45/GBP)^2)</f>
        <v>336.336383611111</v>
      </c>
      <c r="AR45" s="0" t="n">
        <f aca="false">-(A45*Eadcg*Eadcg/GBP)/(1+(Eadcg*A45/GBP)^2)</f>
        <v>-974.871007896805</v>
      </c>
      <c r="AT45" s="0" t="n">
        <f aca="false">-AR45*AH45+AG45*AQ45</f>
        <v>-20072788.9034869</v>
      </c>
      <c r="AU45" s="0" t="n">
        <f aca="false">AQ45*AH45+AG45*AR45</f>
        <v>-9717338.35814783</v>
      </c>
      <c r="AV45" s="0" t="n">
        <f aca="false">ATAN2(AT45,AU45)</f>
        <v>-2.6907416759293</v>
      </c>
      <c r="AW45" s="0" t="n">
        <f aca="false">AG45-AH45*AO45/_Rfb2+AG45*AN45/_Rfb2+AN45-AO45*AR45+AQ45*AN45</f>
        <v>-107857.487797217</v>
      </c>
      <c r="AX45" s="0" t="n">
        <f aca="false">AH45+AH45*AN45/_Rfb2+AG45*AO45/_Rfb2+AO45+AO45*AQ45+AN45*AR45</f>
        <v>-119230.784300754</v>
      </c>
      <c r="AY45" s="0" t="n">
        <f aca="false">ATAN2(AW45,AX45)</f>
        <v>-2.30615314993618</v>
      </c>
      <c r="BA45" s="0" t="n">
        <f aca="false">SQRT(AT45^2+AU45^2)/SQRT(AW45^2+AX45^2)</f>
        <v>138.708964715015</v>
      </c>
      <c r="BB45" s="0" t="n">
        <f aca="false">20*LOG(BA45)</f>
        <v>42.8420906058129</v>
      </c>
      <c r="BC45" s="0" t="n">
        <f aca="false">AV45-AY45</f>
        <v>-0.384588525993121</v>
      </c>
      <c r="BD45" s="0" t="n">
        <f aca="false">BC45*180/Pi-180</f>
        <v>-202.035299413742</v>
      </c>
      <c r="BF45" s="0" t="n">
        <f aca="false">20*LOG(BA45*J45*F45*C45)</f>
        <v>61.9735941131298</v>
      </c>
      <c r="BG45" s="0" t="n">
        <f aca="false">(180/Pi)*(D45+H45+BC45)</f>
        <v>-26.6446523402554</v>
      </c>
      <c r="BH45" s="0" t="n">
        <f aca="false">IF(BG45&gt;180,BG45-180,BG45+180)</f>
        <v>153.355347659745</v>
      </c>
      <c r="BI45" s="0" t="n">
        <f aca="false">IF(BH45&gt;180,BH45-360,BH45)</f>
        <v>153.355347659745</v>
      </c>
      <c r="BJ45" s="0" t="n">
        <f aca="false">SUM((BF46&lt;0)*(BF45&gt;0))*A45</f>
        <v>0</v>
      </c>
      <c r="BK45" s="0" t="n">
        <f aca="false">IF(BJ45&gt;0,BI45,0)</f>
        <v>0</v>
      </c>
      <c r="BM45" s="0" t="n">
        <f aca="false">20*LOG(J45*F45*C45)</f>
        <v>19.1315035073169</v>
      </c>
      <c r="BN45" s="0" t="n">
        <f aca="false">(H45+D45)*180/Pi</f>
        <v>-4.6093529265132</v>
      </c>
      <c r="BQ45" s="347" t="n">
        <f aca="false">20*LOG(BA45*7)</f>
        <v>59.7440514060981</v>
      </c>
      <c r="BR45" s="350"/>
      <c r="BS45" s="350"/>
      <c r="BT45" s="350" t="n">
        <v>223.872</v>
      </c>
      <c r="BU45" s="350" t="n">
        <v>27.9371</v>
      </c>
      <c r="BV45" s="350" t="n">
        <v>-265.1945</v>
      </c>
      <c r="BW45" s="349"/>
      <c r="BY45" s="350"/>
      <c r="BZ45" s="350"/>
      <c r="CA45" s="350"/>
      <c r="CC45" s="350"/>
    </row>
    <row r="46" customFormat="false" ht="12.75" hidden="false" customHeight="false" outlineLevel="0" collapsed="false">
      <c r="A46" s="0" t="n">
        <f aca="false">A45+500</f>
        <v>6000</v>
      </c>
      <c r="B46" s="0" t="n">
        <f aca="false">A46/1000</f>
        <v>6</v>
      </c>
      <c r="C46" s="0" t="n">
        <f aca="false">SQRT((A46/Fesr)^2+1)</f>
        <v>1.00000000071061</v>
      </c>
      <c r="D46" s="0" t="n">
        <f aca="false">ATAN(A46/Fesr)</f>
        <v>3.76991117821404E-005</v>
      </c>
      <c r="F46" s="0" t="n">
        <f aca="false">(Ro/(Ro+Rdcr))/SQRT((A46/(Q*Fo))^2+(1-(A46^2/Fo^2))^2)</f>
        <v>1.00788340610758</v>
      </c>
      <c r="G46" s="0" t="n">
        <f aca="false">-ATAN(A46*Fo/(Q*(Fo^2-A46^2)))</f>
        <v>-0.0880363878445279</v>
      </c>
      <c r="H46" s="0" t="n">
        <f aca="false">IF(G46&gt;0,G46-Pi,G46)</f>
        <v>-0.0880363878445279</v>
      </c>
      <c r="J46" s="0" t="n">
        <f aca="false">Vin/Vramp</f>
        <v>9</v>
      </c>
      <c r="M46" s="0" t="n">
        <f aca="false">1/(2*Pi*_Rfb1*(Cc1ea_u+Cc2ea_u)*A46)</f>
        <v>0.982437921442941</v>
      </c>
      <c r="N46" s="0" t="n">
        <f aca="false">-Pi/2</f>
        <v>-1.570796325</v>
      </c>
      <c r="O46" s="0" t="n">
        <f aca="false">SQRT(1+(A46/Fz1_u)^2)</f>
        <v>1.01068490662249</v>
      </c>
      <c r="P46" s="0" t="n">
        <f aca="false">ATAN2(Fz1_u,A46)</f>
        <v>0.145537807677346</v>
      </c>
      <c r="Q46" s="0" t="n">
        <f aca="false">SQRT(1+(A46/Fz2_u)^2)</f>
        <v>166.323646060618</v>
      </c>
      <c r="R46" s="0" t="n">
        <f aca="false">ATAN2(Fz2_u,A46)</f>
        <v>1.56478391636164</v>
      </c>
      <c r="S46" s="0" t="n">
        <f aca="false">1/SQRT(1+(A46/Fp1_u)^2)</f>
        <v>0.913776451026486</v>
      </c>
      <c r="T46" s="0" t="n">
        <f aca="false">-ATAN2(Fp1_u,A46)</f>
        <v>-0.418310738981988</v>
      </c>
      <c r="U46" s="0" t="n">
        <f aca="false">1/SQRT(1+(A46/Fp2_u)^2)</f>
        <v>0.999867409211716</v>
      </c>
      <c r="V46" s="0" t="n">
        <f aca="false">-ATAN2(Fp2_u,A46)</f>
        <v>-0.0162845766565085</v>
      </c>
      <c r="X46" s="0" t="n">
        <f aca="false">20*LOG(C46*J46*O46*Q46*F46*M46*S46*U46)</f>
        <v>62.7262014719275</v>
      </c>
      <c r="Y46" s="0" t="n">
        <f aca="false">(180/Pi)*(D46+H46+N46+P46+R46+T46+V46)</f>
        <v>-21.9482143745803</v>
      </c>
      <c r="Z46" s="0" t="n">
        <f aca="false">Y46+180</f>
        <v>158.05178562542</v>
      </c>
      <c r="AC46" s="0" t="n">
        <v>1</v>
      </c>
      <c r="AD46" s="0" t="n">
        <f aca="false">Rcea1_u*Cc1ea_u*A46*2*Pi</f>
        <v>0.1465741466784</v>
      </c>
      <c r="AE46" s="0" t="n">
        <f aca="false">-Rcea1_u*Cc1ea_u*Cc2ea_u*(A46*2*Pi)^2</f>
        <v>-8.2885727139279E-007</v>
      </c>
      <c r="AF46" s="0" t="n">
        <f aca="false">(Cc2ea_u+Cc1ea_u)*A46*2*Pi</f>
        <v>5.089380093E-005</v>
      </c>
      <c r="AG46" s="0" t="n">
        <f aca="false">AC46*AE46/(AE46^2+AF46^2)+AD46*AF46/(AE46^2+AF46^2)</f>
        <v>2559.3211801696</v>
      </c>
      <c r="AH46" s="0" t="n">
        <f aca="false">AD46*AE46/(AE46^2+AF46^2)-AC46*AF46/(AE46^2+AF46^2)</f>
        <v>-19690.4395753098</v>
      </c>
      <c r="AJ46" s="0" t="n">
        <f aca="false">_Rfb1</f>
        <v>20000</v>
      </c>
      <c r="AK46" s="0" t="n">
        <f aca="false">_Rfb1*Rcea2_u*Cc3ea_u*A46*2*Pi</f>
        <v>8890.958526912</v>
      </c>
      <c r="AL46" s="0" t="n">
        <v>1</v>
      </c>
      <c r="AM46" s="0" t="n">
        <f aca="false">(_Rfb1+Rcea2_u)*Cc3ea_u*A46*2*Pi</f>
        <v>166.320639846346</v>
      </c>
      <c r="AN46" s="0" t="n">
        <f aca="false">AJ46*AL46/(AL46^2+AM46^2)+AK46*AM46/(AL46^2+AM46^2)</f>
        <v>54.1777764318568</v>
      </c>
      <c r="AO46" s="0" t="n">
        <f aca="false">AK46*AL46/(AL46^2+AM46^2)-AJ46*AM46/(AL46^2+AM46^2)</f>
        <v>-119.923914686686</v>
      </c>
      <c r="AQ46" s="0" t="n">
        <f aca="false">Eadcg/(1+(Eadcg*A46/GBP)^2)</f>
        <v>287.500440979487</v>
      </c>
      <c r="AR46" s="0" t="n">
        <f aca="false">-(A46*Eadcg*Eadcg/GBP)/(1+(Eadcg*A46/GBP)^2)</f>
        <v>-909.076394377139</v>
      </c>
      <c r="AT46" s="0" t="n">
        <f aca="false">-AR46*AH46+AG46*AQ46</f>
        <v>-17164307.8449167</v>
      </c>
      <c r="AU46" s="0" t="n">
        <f aca="false">AQ46*AH46+AG46*AR46</f>
        <v>-7987628.53150315</v>
      </c>
      <c r="AV46" s="0" t="n">
        <f aca="false">ATAN2(AT46,AU46)</f>
        <v>-2.7060368095508</v>
      </c>
      <c r="AW46" s="0" t="n">
        <f aca="false">AG46-AH46*AO46/_Rfb2+AG46*AN46/_Rfb2+AN46-AO46*AR46+AQ46*AN46</f>
        <v>-91830.5797101909</v>
      </c>
      <c r="AX46" s="0" t="n">
        <f aca="false">AH46+AH46*AN46/_Rfb2+AG46*AO46/_Rfb2+AO46+AO46*AQ46+AN46*AR46</f>
        <v>-104158.448122058</v>
      </c>
      <c r="AY46" s="0" t="n">
        <f aca="false">ATAN2(AW46,AX46)</f>
        <v>-2.29337644071697</v>
      </c>
      <c r="BA46" s="0" t="n">
        <f aca="false">SQRT(AT46^2+AU46^2)/SQRT(AW46^2+AX46^2)</f>
        <v>136.338742845446</v>
      </c>
      <c r="BB46" s="0" t="n">
        <f aca="false">20*LOG(BA46)</f>
        <v>42.692385702622</v>
      </c>
      <c r="BC46" s="0" t="n">
        <f aca="false">AV46-AY46</f>
        <v>-0.412660368833823</v>
      </c>
      <c r="BD46" s="0" t="n">
        <f aca="false">BC46*180/Pi-180</f>
        <v>-203.643697533507</v>
      </c>
      <c r="BF46" s="0" t="n">
        <f aca="false">20*LOG(BA46*J46*F46*C46)</f>
        <v>61.8454417974529</v>
      </c>
      <c r="BG46" s="0" t="n">
        <f aca="false">(180/Pi)*(D46+H46+BC46)</f>
        <v>-28.6856510063399</v>
      </c>
      <c r="BH46" s="0" t="n">
        <f aca="false">IF(BG46&gt;180,BG46-180,BG46+180)</f>
        <v>151.31434899366</v>
      </c>
      <c r="BI46" s="0" t="n">
        <f aca="false">IF(BH46&gt;180,BH46-360,BH46)</f>
        <v>151.31434899366</v>
      </c>
      <c r="BJ46" s="0" t="n">
        <f aca="false">SUM((BF47&lt;0)*(BF46&gt;0))*A46</f>
        <v>0</v>
      </c>
      <c r="BK46" s="0" t="n">
        <f aca="false">IF(BJ46&gt;0,BI46,0)</f>
        <v>0</v>
      </c>
      <c r="BM46" s="0" t="n">
        <f aca="false">20*LOG(J46*F46*C46)</f>
        <v>19.1530560948309</v>
      </c>
      <c r="BN46" s="0" t="n">
        <f aca="false">(H46+D46)*180/Pi</f>
        <v>-5.04195347283304</v>
      </c>
      <c r="BQ46" s="347" t="n">
        <f aca="false">20*LOG(BA46*7)</f>
        <v>59.5943465029071</v>
      </c>
      <c r="BR46" s="350"/>
      <c r="BS46" s="350"/>
      <c r="BT46" s="350" t="n">
        <v>229.087</v>
      </c>
      <c r="BU46" s="350" t="n">
        <v>27.6763</v>
      </c>
      <c r="BV46" s="350" t="n">
        <v>-266.7544</v>
      </c>
      <c r="BW46" s="349"/>
      <c r="BY46" s="350"/>
      <c r="BZ46" s="350"/>
      <c r="CA46" s="350"/>
      <c r="CC46" s="350"/>
    </row>
    <row r="47" customFormat="false" ht="12.75" hidden="false" customHeight="false" outlineLevel="0" collapsed="false">
      <c r="A47" s="0" t="n">
        <f aca="false">A46+500</f>
        <v>6500</v>
      </c>
      <c r="B47" s="0" t="n">
        <f aca="false">A47/1000</f>
        <v>6.5</v>
      </c>
      <c r="C47" s="0" t="n">
        <f aca="false">SQRT((A47/Fesr)^2+1)</f>
        <v>1.00000000083398</v>
      </c>
      <c r="D47" s="0" t="n">
        <f aca="false">ATAN(A47/Fesr)</f>
        <v>4.08407044272931E-005</v>
      </c>
      <c r="F47" s="0" t="n">
        <f aca="false">(Ro/(Ro+Rdcr))/SQRT((A47/(Q*Fo))^2+(1-(A47^2/Fo^2))^2)</f>
        <v>1.01060846677721</v>
      </c>
      <c r="G47" s="0" t="n">
        <f aca="false">-ATAN(A47*Fo/(Q*(Fo^2-A47^2)))</f>
        <v>-0.0956529314793068</v>
      </c>
      <c r="H47" s="0" t="n">
        <f aca="false">IF(G47&gt;0,G47-Pi,G47)</f>
        <v>-0.0956529314793068</v>
      </c>
      <c r="J47" s="0" t="n">
        <f aca="false">Vin/Vramp</f>
        <v>9</v>
      </c>
      <c r="M47" s="0" t="n">
        <f aca="false">1/(2*Pi*_Rfb1*(Cc1ea_u+Cc2ea_u)*A47)</f>
        <v>0.906865773639637</v>
      </c>
      <c r="N47" s="0" t="n">
        <f aca="false">-Pi/2</f>
        <v>-1.570796325</v>
      </c>
      <c r="O47" s="0" t="n">
        <f aca="false">SQRT(1+(A47/Fz1_u)^2)</f>
        <v>1.01252843821582</v>
      </c>
      <c r="P47" s="0" t="n">
        <f aca="false">ATAN2(Fz1_u,A47)</f>
        <v>0.157473934677236</v>
      </c>
      <c r="Q47" s="0" t="n">
        <f aca="false">SQRT(1+(A47/Fz2_u)^2)</f>
        <v>180.183468137605</v>
      </c>
      <c r="R47" s="0" t="n">
        <f aca="false">ATAN2(Fz2_u,A47)</f>
        <v>1.56524639957921</v>
      </c>
      <c r="S47" s="0" t="n">
        <f aca="false">1/SQRT(1+(A47/Fp1_u)^2)</f>
        <v>0.900962187236756</v>
      </c>
      <c r="T47" s="0" t="n">
        <f aca="false">-ATAN2(Fp1_u,A47)</f>
        <v>-0.448814347630221</v>
      </c>
      <c r="U47" s="0" t="n">
        <f aca="false">1/SQRT(1+(A47/Fp2_u)^2)</f>
        <v>0.99984439535023</v>
      </c>
      <c r="V47" s="0" t="n">
        <f aca="false">-ATAN2(Fp2_u,A47)</f>
        <v>-0.0176413539959452</v>
      </c>
      <c r="X47" s="0" t="n">
        <f aca="false">20*LOG(C47*J47*O47*Q47*F47*M47*S47*U47)</f>
        <v>62.642592120689</v>
      </c>
      <c r="Y47" s="0" t="n">
        <f aca="false">(180/Pi)*(D47+H47+N47+P47+R47+T47+V47)</f>
        <v>-23.4995077945666</v>
      </c>
      <c r="Z47" s="0" t="n">
        <f aca="false">Y47+180</f>
        <v>156.500492205433</v>
      </c>
      <c r="AC47" s="0" t="n">
        <v>1</v>
      </c>
      <c r="AD47" s="0" t="n">
        <f aca="false">Rcea1_u*Cc1ea_u*A47*2*Pi</f>
        <v>0.1587886589016</v>
      </c>
      <c r="AE47" s="0" t="n">
        <f aca="false">-Rcea1_u*Cc1ea_u*Cc2ea_u*(A47*2*Pi)^2</f>
        <v>-9.72756103231816E-007</v>
      </c>
      <c r="AF47" s="0" t="n">
        <f aca="false">(Cc2ea_u+Cc1ea_u)*A47*2*Pi</f>
        <v>5.51349510075E-005</v>
      </c>
      <c r="AG47" s="0" t="n">
        <f aca="false">AC47*AE47/(AE47^2+AF47^2)+AD47*AF47/(AE47^2+AF47^2)</f>
        <v>2559.20336617796</v>
      </c>
      <c r="AH47" s="0" t="n">
        <f aca="false">AD47*AE47/(AE47^2+AF47^2)-AC47*AF47/(AE47^2+AF47^2)</f>
        <v>-18182.4679695007</v>
      </c>
      <c r="AJ47" s="0" t="n">
        <f aca="false">_Rfb1</f>
        <v>20000</v>
      </c>
      <c r="AK47" s="0" t="n">
        <f aca="false">_Rfb1*Rcea2_u*Cc3ea_u*A47*2*Pi</f>
        <v>9631.871737488</v>
      </c>
      <c r="AL47" s="0" t="n">
        <v>1</v>
      </c>
      <c r="AM47" s="0" t="n">
        <f aca="false">(_Rfb1+Rcea2_u)*Cc3ea_u*A47*2*Pi</f>
        <v>180.180693166874</v>
      </c>
      <c r="AN47" s="0" t="n">
        <f aca="false">AJ47*AL47/(AL47^2+AM47^2)+AK47*AM47/(AL47^2+AM47^2)</f>
        <v>54.0711169236974</v>
      </c>
      <c r="AO47" s="0" t="n">
        <f aca="false">AK47*AL47/(AL47^2+AM47^2)-AJ47*AM47/(AL47^2+AM47^2)</f>
        <v>-110.69959013091</v>
      </c>
      <c r="AQ47" s="0" t="n">
        <f aca="false">Eadcg/(1+(Eadcg*A47/GBP)^2)</f>
        <v>248.310626856526</v>
      </c>
      <c r="AR47" s="0" t="n">
        <f aca="false">-(A47*Eadcg*Eadcg/GBP)/(1+(Eadcg*A47/GBP)^2)</f>
        <v>-850.588052297029</v>
      </c>
      <c r="AT47" s="0" t="n">
        <f aca="false">-AR47*AH47+AG47*AQ47</f>
        <v>-14830312.6240218</v>
      </c>
      <c r="AU47" s="0" t="n">
        <f aca="false">AQ47*AH47+AG47*AR47</f>
        <v>-6691727.82597475</v>
      </c>
      <c r="AV47" s="0" t="n">
        <f aca="false">ATAN2(AT47,AU47)</f>
        <v>-2.71772496473609</v>
      </c>
      <c r="AW47" s="0" t="n">
        <f aca="false">AG47-AH47*AO47/_Rfb2+AG47*AN47/_Rfb2+AN47-AO47*AR47+AQ47*AN47</f>
        <v>-78963.5270835796</v>
      </c>
      <c r="AX47" s="0" t="n">
        <f aca="false">AH47+AH47*AN47/_Rfb2+AG47*AO47/_Rfb2+AO47+AO47*AQ47+AN47*AR47</f>
        <v>-92343.2003093082</v>
      </c>
      <c r="AY47" s="0" t="n">
        <f aca="false">ATAN2(AW47,AX47)</f>
        <v>-2.27824912012064</v>
      </c>
      <c r="BA47" s="0" t="n">
        <f aca="false">SQRT(AT47^2+AU47^2)/SQRT(AW47^2+AX47^2)</f>
        <v>133.909443950139</v>
      </c>
      <c r="BB47" s="0" t="n">
        <f aca="false">20*LOG(BA47)</f>
        <v>42.5362241333398</v>
      </c>
      <c r="BC47" s="0" t="n">
        <f aca="false">AV47-AY47</f>
        <v>-0.439475844615456</v>
      </c>
      <c r="BD47" s="0" t="n">
        <f aca="false">BC47*180/Pi-180</f>
        <v>-205.180111123185</v>
      </c>
      <c r="BF47" s="0" t="n">
        <f aca="false">20*LOG(BA47*J47*F47*C47)</f>
        <v>61.7127329772387</v>
      </c>
      <c r="BG47" s="0" t="n">
        <f aca="false">(180/Pi)*(D47+H47+BC47)</f>
        <v>-30.6582804012673</v>
      </c>
      <c r="BH47" s="0" t="n">
        <f aca="false">IF(BG47&gt;180,BG47-180,BG47+180)</f>
        <v>149.341719598733</v>
      </c>
      <c r="BI47" s="0" t="n">
        <f aca="false">IF(BH47&gt;180,BH47-360,BH47)</f>
        <v>149.341719598733</v>
      </c>
      <c r="BJ47" s="0" t="n">
        <f aca="false">SUM((BF48&lt;0)*(BF47&gt;0))*A47</f>
        <v>0</v>
      </c>
      <c r="BK47" s="0" t="n">
        <f aca="false">IF(BJ47&gt;0,BI47,0)</f>
        <v>0</v>
      </c>
      <c r="BM47" s="0" t="n">
        <f aca="false">20*LOG(J47*F47*C47)</f>
        <v>19.1765088438989</v>
      </c>
      <c r="BN47" s="0" t="n">
        <f aca="false">(H47+D47)*180/Pi</f>
        <v>-5.47816927808203</v>
      </c>
      <c r="BQ47" s="347" t="n">
        <f aca="false">20*LOG(BA47*7)</f>
        <v>59.438184933625</v>
      </c>
      <c r="BR47" s="350"/>
      <c r="BS47" s="350"/>
      <c r="BT47" s="350" t="n">
        <v>234.423</v>
      </c>
      <c r="BU47" s="350" t="n">
        <v>27.6703</v>
      </c>
      <c r="BV47" s="350" t="n">
        <v>-266.7612</v>
      </c>
      <c r="BW47" s="349"/>
      <c r="BY47" s="350"/>
      <c r="BZ47" s="350"/>
      <c r="CA47" s="350"/>
      <c r="CC47" s="350"/>
    </row>
    <row r="48" customFormat="false" ht="12.75" hidden="false" customHeight="false" outlineLevel="0" collapsed="false">
      <c r="A48" s="0" t="n">
        <f aca="false">A47+500</f>
        <v>7000</v>
      </c>
      <c r="B48" s="0" t="n">
        <f aca="false">A48/1000</f>
        <v>7</v>
      </c>
      <c r="C48" s="0" t="n">
        <f aca="false">SQRT((A48/Fesr)^2+1)</f>
        <v>1.00000000096722</v>
      </c>
      <c r="D48" s="0" t="n">
        <f aca="false">ATAN(A48/Fesr)</f>
        <v>4.39822970716396E-005</v>
      </c>
      <c r="F48" s="0" t="n">
        <f aca="false">(Ro/(Ro+Rdcr))/SQRT((A48/(Q*Fo))^2+(1-(A48^2/Fo^2))^2)</f>
        <v>1.01356332906862</v>
      </c>
      <c r="G48" s="0" t="n">
        <f aca="false">-ATAN(A48*Fo/(Q*(Fo^2-A48^2)))</f>
        <v>-0.103338391002387</v>
      </c>
      <c r="H48" s="0" t="n">
        <f aca="false">IF(G48&gt;0,G48-Pi,G48)</f>
        <v>-0.103338391002387</v>
      </c>
      <c r="J48" s="0" t="n">
        <f aca="false">Vin/Vramp</f>
        <v>9</v>
      </c>
      <c r="M48" s="0" t="n">
        <f aca="false">1/(2*Pi*_Rfb1*(Cc1ea_u+Cc2ea_u)*A48)</f>
        <v>0.842089646951092</v>
      </c>
      <c r="N48" s="0" t="n">
        <f aca="false">-Pi/2</f>
        <v>-1.570796325</v>
      </c>
      <c r="O48" s="0" t="n">
        <f aca="false">SQRT(1+(A48/Fz1_u)^2)</f>
        <v>1.01451568964444</v>
      </c>
      <c r="P48" s="0" t="n">
        <f aca="false">ATAN2(Fz1_u,A48)</f>
        <v>0.16936498906519</v>
      </c>
      <c r="Q48" s="0" t="n">
        <f aca="false">SQRT(1+(A48/Fz2_u)^2)</f>
        <v>194.043323248672</v>
      </c>
      <c r="R48" s="0" t="n">
        <f aca="false">ATAN2(Fz2_u,A48)</f>
        <v>1.56564281566286</v>
      </c>
      <c r="S48" s="0" t="n">
        <f aca="false">1/SQRT(1+(A48/Fp1_u)^2)</f>
        <v>0.887710731604476</v>
      </c>
      <c r="T48" s="0" t="n">
        <f aca="false">-ATAN2(Fp1_u,A48)</f>
        <v>-0.478447574097339</v>
      </c>
      <c r="U48" s="0" t="n">
        <f aca="false">1/SQRT(1+(A48/Fp2_u)^2)</f>
        <v>0.999819542164643</v>
      </c>
      <c r="V48" s="0" t="n">
        <f aca="false">-ATAN2(Fp2_u,A48)</f>
        <v>-0.018998066381805</v>
      </c>
      <c r="X48" s="0" t="n">
        <f aca="false">20*LOG(C48*J48*O48*Q48*F48*M48*S48*U48)</f>
        <v>62.5560458015236</v>
      </c>
      <c r="Y48" s="0" t="n">
        <f aca="false">(180/Pi)*(D48+H48+N48+P48+R48+T48+V48)</f>
        <v>-25.0112446953153</v>
      </c>
      <c r="Z48" s="0" t="n">
        <f aca="false">Y48+180</f>
        <v>154.988755304685</v>
      </c>
      <c r="AC48" s="0" t="n">
        <v>1</v>
      </c>
      <c r="AD48" s="0" t="n">
        <f aca="false">Rcea1_u*Cc1ea_u*A48*2*Pi</f>
        <v>0.1710031711248</v>
      </c>
      <c r="AE48" s="0" t="n">
        <f aca="false">-Rcea1_u*Cc1ea_u*Cc2ea_u*(A48*2*Pi)^2</f>
        <v>-1.12816684161796E-006</v>
      </c>
      <c r="AF48" s="0" t="n">
        <f aca="false">(Cc2ea_u+Cc1ea_u)*A48*2*Pi</f>
        <v>5.9376101085E-005</v>
      </c>
      <c r="AG48" s="0" t="n">
        <f aca="false">AC48*AE48/(AE48^2+AF48^2)+AD48*AF48/(AE48^2+AF48^2)</f>
        <v>2559.07613924945</v>
      </c>
      <c r="AH48" s="0" t="n">
        <f aca="false">AD48*AE48/(AE48^2+AF48^2)-AC48*AF48/(AE48^2+AF48^2)</f>
        <v>-16890.4162873509</v>
      </c>
      <c r="AJ48" s="0" t="n">
        <f aca="false">_Rfb1</f>
        <v>20000</v>
      </c>
      <c r="AK48" s="0" t="n">
        <f aca="false">_Rfb1*Rcea2_u*Cc3ea_u*A48*2*Pi</f>
        <v>10372.784948064</v>
      </c>
      <c r="AL48" s="0" t="n">
        <v>1</v>
      </c>
      <c r="AM48" s="0" t="n">
        <f aca="false">(_Rfb1+Rcea2_u)*Cc3ea_u*A48*2*Pi</f>
        <v>194.040746487403</v>
      </c>
      <c r="AN48" s="0" t="n">
        <f aca="false">AJ48*AL48/(AL48^2+AM48^2)+AK48*AM48/(AL48^2+AM48^2)</f>
        <v>53.9864850574017</v>
      </c>
      <c r="AO48" s="0" t="n">
        <f aca="false">AK48*AL48/(AL48^2+AM48^2)-AJ48*AM48/(AL48^2+AM48^2)</f>
        <v>-102.792912705257</v>
      </c>
      <c r="AQ48" s="0" t="n">
        <f aca="false">Eadcg/(1+(Eadcg*A48/GBP)^2)</f>
        <v>216.446053011759</v>
      </c>
      <c r="AR48" s="0" t="n">
        <f aca="false">-(A48*Eadcg*Eadcg/GBP)/(1+(Eadcg*A48/GBP)^2)</f>
        <v>-798.46948956038</v>
      </c>
      <c r="AT48" s="0" t="n">
        <f aca="false">-AR48*AH48+AG48*AQ48</f>
        <v>-12932580.1417263</v>
      </c>
      <c r="AU48" s="0" t="n">
        <f aca="false">AQ48*AH48+AG48*AR48</f>
        <v>-5699208.15777529</v>
      </c>
      <c r="AV48" s="0" t="n">
        <f aca="false">ATAN2(AT48,AU48)</f>
        <v>-2.72651111830085</v>
      </c>
      <c r="AW48" s="0" t="n">
        <f aca="false">AG48-AH48*AO48/_Rfb2+AG48*AN48/_Rfb2+AN48-AO48*AR48+AQ48*AN48</f>
        <v>-68497.9071097847</v>
      </c>
      <c r="AX48" s="0" t="n">
        <f aca="false">AH48+AH48*AN48/_Rfb2+AG48*AO48/_Rfb2+AO48+AO48*AQ48+AN48*AR48</f>
        <v>-82877.5996931482</v>
      </c>
      <c r="AY48" s="0" t="n">
        <f aca="false">ATAN2(AW48,AX48)</f>
        <v>-2.261485163955</v>
      </c>
      <c r="BA48" s="0" t="n">
        <f aca="false">SQRT(AT48^2+AU48^2)/SQRT(AW48^2+AX48^2)</f>
        <v>131.441700759275</v>
      </c>
      <c r="BB48" s="0" t="n">
        <f aca="false">20*LOG(BA48)</f>
        <v>42.3746633983133</v>
      </c>
      <c r="BC48" s="0" t="n">
        <f aca="false">AV48-AY48</f>
        <v>-0.465025954345851</v>
      </c>
      <c r="BD48" s="0" t="n">
        <f aca="false">BC48*180/Pi-180</f>
        <v>-206.644024578506</v>
      </c>
      <c r="BF48" s="0" t="n">
        <f aca="false">20*LOG(BA48*J48*F48*C48)</f>
        <v>61.5765313814057</v>
      </c>
      <c r="BG48" s="0" t="n">
        <f aca="false">(180/Pi)*(D48+H48+BC48)</f>
        <v>-32.5623582513824</v>
      </c>
      <c r="BH48" s="0" t="n">
        <f aca="false">IF(BG48&gt;180,BG48-180,BG48+180)</f>
        <v>147.437641748618</v>
      </c>
      <c r="BI48" s="0" t="n">
        <f aca="false">IF(BH48&gt;180,BH48-360,BH48)</f>
        <v>147.437641748618</v>
      </c>
      <c r="BJ48" s="0" t="n">
        <f aca="false">SUM((BF49&lt;0)*(BF48&gt;0))*A48</f>
        <v>0</v>
      </c>
      <c r="BK48" s="0" t="n">
        <f aca="false">IF(BJ48&gt;0,BI48,0)</f>
        <v>0</v>
      </c>
      <c r="BM48" s="0" t="n">
        <f aca="false">20*LOG(J48*F48*C48)</f>
        <v>19.2018679830923</v>
      </c>
      <c r="BN48" s="0" t="n">
        <f aca="false">(H48+D48)*180/Pi</f>
        <v>-5.91833367287663</v>
      </c>
      <c r="BQ48" s="347" t="n">
        <f aca="false">20*LOG(BA48*7)</f>
        <v>59.2766241985985</v>
      </c>
      <c r="BR48" s="350"/>
      <c r="BS48" s="350"/>
      <c r="BT48" s="350" t="n">
        <v>239.883</v>
      </c>
      <c r="BU48" s="350" t="n">
        <v>27.2761</v>
      </c>
      <c r="BV48" s="350" t="n">
        <v>-267.5957</v>
      </c>
      <c r="BW48" s="349"/>
      <c r="BY48" s="350"/>
      <c r="BZ48" s="350"/>
      <c r="CA48" s="350"/>
      <c r="CC48" s="350"/>
    </row>
    <row r="49" customFormat="false" ht="12.75" hidden="false" customHeight="false" outlineLevel="0" collapsed="false">
      <c r="A49" s="0" t="n">
        <f aca="false">A48+500</f>
        <v>7500</v>
      </c>
      <c r="B49" s="0" t="n">
        <f aca="false">A49/1000</f>
        <v>7.5</v>
      </c>
      <c r="C49" s="0" t="n">
        <f aca="false">SQRT((A49/Fesr)^2+1)</f>
        <v>1.00000000111033</v>
      </c>
      <c r="D49" s="0" t="n">
        <f aca="false">ATAN(A49/Fesr)</f>
        <v>4.71238897151179E-005</v>
      </c>
      <c r="F49" s="0" t="n">
        <f aca="false">(Ro/(Ro+Rdcr))/SQRT((A49/(Q*Fo))^2+(1-(A49^2/Fo^2))^2)</f>
        <v>1.01675073743573</v>
      </c>
      <c r="G49" s="0" t="n">
        <f aca="false">-ATAN(A49*Fo/(Q*(Fo^2-A49^2)))</f>
        <v>-0.111098723678054</v>
      </c>
      <c r="H49" s="0" t="n">
        <f aca="false">IF(G49&gt;0,G49-Pi,G49)</f>
        <v>-0.111098723678054</v>
      </c>
      <c r="J49" s="0" t="n">
        <f aca="false">Vin/Vramp</f>
        <v>9</v>
      </c>
      <c r="M49" s="0" t="n">
        <f aca="false">1/(2*Pi*_Rfb1*(Cc1ea_u+Cc2ea_u)*A49)</f>
        <v>0.785950337154352</v>
      </c>
      <c r="N49" s="0" t="n">
        <f aca="false">-Pi/2</f>
        <v>-1.570796325</v>
      </c>
      <c r="O49" s="0" t="n">
        <f aca="false">SQRT(1+(A49/Fz1_u)^2)</f>
        <v>1.01664581811534</v>
      </c>
      <c r="P49" s="0" t="n">
        <f aca="false">ATAN2(Fz1_u,A49)</f>
        <v>0.181207882843836</v>
      </c>
      <c r="Q49" s="0" t="n">
        <f aca="false">SQRT(1+(A49/Fz2_u)^2)</f>
        <v>207.903204787174</v>
      </c>
      <c r="R49" s="0" t="n">
        <f aca="false">ATAN2(Fz2_u,A49)</f>
        <v>1.56598637758334</v>
      </c>
      <c r="S49" s="0" t="n">
        <f aca="false">1/SQRT(1+(A49/Fp1_u)^2)</f>
        <v>0.874109271238249</v>
      </c>
      <c r="T49" s="0" t="n">
        <f aca="false">-ATAN2(Fp1_u,A49)</f>
        <v>-0.507197343704869</v>
      </c>
      <c r="U49" s="0" t="n">
        <f aca="false">1/SQRT(1+(A49/Fp2_u)^2)</f>
        <v>0.999792850066577</v>
      </c>
      <c r="V49" s="0" t="n">
        <f aca="false">-ATAN2(Fp2_u,A49)</f>
        <v>-0.0203547088246137</v>
      </c>
      <c r="X49" s="0" t="n">
        <f aca="false">20*LOG(C49*J49*O49*Q49*F49*M49*S49*U49)</f>
        <v>62.467174525817</v>
      </c>
      <c r="Y49" s="0" t="n">
        <f aca="false">(180/Pi)*(D49+H49+N49+P49+R49+T49+V49)</f>
        <v>-26.482436874913</v>
      </c>
      <c r="Z49" s="0" t="n">
        <f aca="false">Y49+180</f>
        <v>153.517563125087</v>
      </c>
      <c r="AC49" s="0" t="n">
        <v>1</v>
      </c>
      <c r="AD49" s="0" t="n">
        <f aca="false">Rcea1_u*Cc1ea_u*A49*2*Pi</f>
        <v>0.183217683348</v>
      </c>
      <c r="AE49" s="0" t="n">
        <f aca="false">-Rcea1_u*Cc1ea_u*Cc2ea_u*(A49*2*Pi)^2</f>
        <v>-1.29508948655123E-006</v>
      </c>
      <c r="AF49" s="0" t="n">
        <f aca="false">(Cc2ea_u+Cc1ea_u)*A49*2*Pi</f>
        <v>6.36172511625E-005</v>
      </c>
      <c r="AG49" s="0" t="n">
        <f aca="false">AC49*AE49/(AE49^2+AF49^2)+AD49*AF49/(AE49^2+AF49^2)</f>
        <v>2558.93950219328</v>
      </c>
      <c r="AH49" s="0" t="n">
        <f aca="false">AD49*AE49/(AE49^2+AF49^2)-AC49*AF49/(AE49^2+AF49^2)</f>
        <v>-15771.1004061337</v>
      </c>
      <c r="AJ49" s="0" t="n">
        <f aca="false">_Rfb1</f>
        <v>20000</v>
      </c>
      <c r="AK49" s="0" t="n">
        <f aca="false">_Rfb1*Rcea2_u*Cc3ea_u*A49*2*Pi</f>
        <v>11113.69815864</v>
      </c>
      <c r="AL49" s="0" t="n">
        <v>1</v>
      </c>
      <c r="AM49" s="0" t="n">
        <f aca="false">(_Rfb1+Rcea2_u)*Cc3ea_u*A49*2*Pi</f>
        <v>207.900799807932</v>
      </c>
      <c r="AN49" s="0" t="n">
        <f aca="false">AJ49*AL49/(AL49^2+AM49^2)+AK49*AM49/(AL49^2+AM49^2)</f>
        <v>53.9182078629162</v>
      </c>
      <c r="AO49" s="0" t="n">
        <f aca="false">AK49*AL49/(AL49^2+AM49^2)-AJ49*AM49/(AL49^2+AM49^2)</f>
        <v>-95.9403802706106</v>
      </c>
      <c r="AQ49" s="0" t="n">
        <f aca="false">Eadcg/(1+(Eadcg*A49/GBP)^2)</f>
        <v>190.226883308937</v>
      </c>
      <c r="AR49" s="0" t="n">
        <f aca="false">-(A49*Eadcg*Eadcg/GBP)/(1+(Eadcg*A49/GBP)^2)</f>
        <v>-751.871756278574</v>
      </c>
      <c r="AT49" s="0" t="n">
        <f aca="false">-AR49*AH49+AG49*AQ49</f>
        <v>-11371065.8747271</v>
      </c>
      <c r="AU49" s="0" t="n">
        <f aca="false">AQ49*AH49+AG49*AR49</f>
        <v>-4924081.6143358</v>
      </c>
      <c r="AV49" s="0" t="n">
        <f aca="false">ATAN2(AT49,AU49)</f>
        <v>-2.73293512497564</v>
      </c>
      <c r="AW49" s="0" t="n">
        <f aca="false">AG49-AH49*AO49/_Rfb2+AG49*AN49/_Rfb2+AN49-AO49*AR49+AQ49*AN49</f>
        <v>-59884.1122388942</v>
      </c>
      <c r="AX49" s="0" t="n">
        <f aca="false">AH49+AH49*AN49/_Rfb2+AG49*AO49/_Rfb2+AO49+AO49*AQ49+AN49*AR49</f>
        <v>-75150.1927445254</v>
      </c>
      <c r="AY49" s="0" t="n">
        <f aca="false">ATAN2(AW49,AX49)</f>
        <v>-2.24361912749324</v>
      </c>
      <c r="BA49" s="0" t="n">
        <f aca="false">SQRT(AT49^2+AU49^2)/SQRT(AW49^2+AX49^2)</f>
        <v>128.953989706302</v>
      </c>
      <c r="BB49" s="0" t="n">
        <f aca="false">20*LOG(BA49)</f>
        <v>42.208695666296</v>
      </c>
      <c r="BC49" s="0" t="n">
        <f aca="false">AV49-AY49</f>
        <v>-0.489315997482399</v>
      </c>
      <c r="BD49" s="0" t="n">
        <f aca="false">BC49*180/Pi-180</f>
        <v>-208.035741536011</v>
      </c>
      <c r="BF49" s="0" t="n">
        <f aca="false">20*LOG(BA49*J49*F49*C49)</f>
        <v>61.4378357860213</v>
      </c>
      <c r="BG49" s="0" t="n">
        <f aca="false">(180/Pi)*(D49+H49+BC49)</f>
        <v>-34.3985295193293</v>
      </c>
      <c r="BH49" s="0" t="n">
        <f aca="false">IF(BG49&gt;180,BG49-180,BG49+180)</f>
        <v>145.601470480671</v>
      </c>
      <c r="BI49" s="0" t="n">
        <f aca="false">IF(BH49&gt;180,BH49-360,BH49)</f>
        <v>145.601470480671</v>
      </c>
      <c r="BJ49" s="0" t="n">
        <f aca="false">SUM((BF50&lt;0)*(BF49&gt;0))*A49</f>
        <v>0</v>
      </c>
      <c r="BK49" s="0" t="n">
        <f aca="false">IF(BJ49&gt;0,BI49,0)</f>
        <v>0</v>
      </c>
      <c r="BM49" s="0" t="n">
        <f aca="false">20*LOG(J49*F49*C49)</f>
        <v>19.2291401197252</v>
      </c>
      <c r="BN49" s="0" t="n">
        <f aca="false">(H49+D49)*180/Pi</f>
        <v>-6.36278798331828</v>
      </c>
      <c r="BQ49" s="347" t="n">
        <f aca="false">20*LOG(BA49*7)</f>
        <v>59.1106564665812</v>
      </c>
      <c r="BR49" s="350"/>
      <c r="BS49" s="350"/>
      <c r="BT49" s="350" t="n">
        <v>245.471</v>
      </c>
      <c r="BU49" s="350" t="n">
        <v>27.0755</v>
      </c>
      <c r="BV49" s="350" t="n">
        <v>-266.8096</v>
      </c>
      <c r="BW49" s="349"/>
      <c r="BY49" s="350"/>
      <c r="BZ49" s="350"/>
      <c r="CA49" s="350"/>
      <c r="CC49" s="350"/>
    </row>
    <row r="50" customFormat="false" ht="12.75" hidden="false" customHeight="false" outlineLevel="0" collapsed="false">
      <c r="A50" s="0" t="n">
        <f aca="false">A49+500</f>
        <v>8000</v>
      </c>
      <c r="B50" s="0" t="n">
        <f aca="false">A50/1000</f>
        <v>8</v>
      </c>
      <c r="C50" s="0" t="n">
        <f aca="false">SQRT((A50/Fesr)^2+1)</f>
        <v>1.00000000126331</v>
      </c>
      <c r="D50" s="0" t="n">
        <f aca="false">ATAN(A50/Fesr)</f>
        <v>5.02654823576661E-005</v>
      </c>
      <c r="F50" s="0" t="n">
        <f aca="false">(Ro/(Ro+Rdcr))/SQRT((A50/(Q*Fo))^2+(1-(A50^2/Fo^2))^2)</f>
        <v>1.02017364625994</v>
      </c>
      <c r="G50" s="0" t="n">
        <f aca="false">-ATAN(A50*Fo/(Q*(Fo^2-A50^2)))</f>
        <v>-0.118940039101219</v>
      </c>
      <c r="H50" s="0" t="n">
        <f aca="false">IF(G50&gt;0,G50-Pi,G50)</f>
        <v>-0.118940039101219</v>
      </c>
      <c r="J50" s="0" t="n">
        <f aca="false">Vin/Vramp</f>
        <v>9</v>
      </c>
      <c r="M50" s="0" t="n">
        <f aca="false">1/(2*Pi*_Rfb1*(Cc1ea_u+Cc2ea_u)*A50)</f>
        <v>0.736828441082205</v>
      </c>
      <c r="N50" s="0" t="n">
        <f aca="false">-Pi/2</f>
        <v>-1.570796325</v>
      </c>
      <c r="O50" s="0" t="n">
        <f aca="false">SQRT(1+(A50/Fz1_u)^2)</f>
        <v>1.01891792754165</v>
      </c>
      <c r="P50" s="0" t="n">
        <f aca="false">ATAN2(Fz1_u,A50)</f>
        <v>0.192999606988352</v>
      </c>
      <c r="Q50" s="0" t="n">
        <f aca="false">SQRT(1+(A50/Fz2_u)^2)</f>
        <v>221.76310779808</v>
      </c>
      <c r="R50" s="0" t="n">
        <f aca="false">ATAN2(Fz2_u,A50)</f>
        <v>1.566286995198</v>
      </c>
      <c r="S50" s="0" t="n">
        <f aca="false">1/SQRT(1+(A50/Fp1_u)^2)</f>
        <v>0.860239473242179</v>
      </c>
      <c r="T50" s="0" t="n">
        <f aca="false">-ATAN2(Fp1_u,A50)</f>
        <v>-0.535057183756909</v>
      </c>
      <c r="U50" s="0" t="n">
        <f aca="false">1/SQRT(1+(A50/Fp2_u)^2)</f>
        <v>0.999764319498053</v>
      </c>
      <c r="V50" s="0" t="n">
        <f aca="false">-ATAN2(Fp2_u,A50)</f>
        <v>-0.0217112763364413</v>
      </c>
      <c r="X50" s="0" t="n">
        <f aca="false">20*LOG(C50*J50*O50*Q50*F50*M50*S50*U50)</f>
        <v>62.3765698838743</v>
      </c>
      <c r="Y50" s="0" t="n">
        <f aca="false">(180/Pi)*(D50+H50+N50+P50+R50+T50+V50)</f>
        <v>-27.9126678548394</v>
      </c>
      <c r="Z50" s="0" t="n">
        <f aca="false">Y50+180</f>
        <v>152.087332145161</v>
      </c>
      <c r="AC50" s="0" t="n">
        <v>1</v>
      </c>
      <c r="AD50" s="0" t="n">
        <f aca="false">Rcea1_u*Cc1ea_u*A50*2*Pi</f>
        <v>0.1954321955712</v>
      </c>
      <c r="AE50" s="0" t="n">
        <f aca="false">-Rcea1_u*Cc1ea_u*Cc2ea_u*(A50*2*Pi)^2</f>
        <v>-1.47352403803163E-006</v>
      </c>
      <c r="AF50" s="0" t="n">
        <f aca="false">(Cc2ea_u+Cc1ea_u)*A50*2*Pi</f>
        <v>6.785840124E-005</v>
      </c>
      <c r="AG50" s="0" t="n">
        <f aca="false">AC50*AE50/(AE50^2+AF50^2)+AD50*AF50/(AE50^2+AF50^2)</f>
        <v>2558.793458026</v>
      </c>
      <c r="AH50" s="0" t="n">
        <f aca="false">AD50*AE50/(AE50^2+AF50^2)-AC50*AF50/(AE50^2+AF50^2)</f>
        <v>-14792.1322242569</v>
      </c>
      <c r="AJ50" s="0" t="n">
        <f aca="false">_Rfb1</f>
        <v>20000</v>
      </c>
      <c r="AK50" s="0" t="n">
        <f aca="false">_Rfb1*Rcea2_u*Cc3ea_u*A50*2*Pi</f>
        <v>11854.611369216</v>
      </c>
      <c r="AL50" s="0" t="n">
        <v>1</v>
      </c>
      <c r="AM50" s="0" t="n">
        <f aca="false">(_Rfb1+Rcea2_u)*Cc3ea_u*A50*2*Pi</f>
        <v>221.760853128461</v>
      </c>
      <c r="AN50" s="0" t="n">
        <f aca="false">AJ50*AL50/(AL50^2+AM50^2)+AK50*AM50/(AL50^2+AM50^2)</f>
        <v>53.8623276344662</v>
      </c>
      <c r="AO50" s="0" t="n">
        <f aca="false">AK50*AL50/(AL50^2+AM50^2)-AJ50*AM50/(AL50^2+AM50^2)</f>
        <v>-89.9443584878852</v>
      </c>
      <c r="AQ50" s="0" t="n">
        <f aca="false">Eadcg/(1+(Eadcg*A50/GBP)^2)</f>
        <v>168.418531876163</v>
      </c>
      <c r="AR50" s="0" t="n">
        <f aca="false">-(A50*Eadcg*Eadcg/GBP)/(1+(Eadcg*A50/GBP)^2)</f>
        <v>-710.052530389904</v>
      </c>
      <c r="AT50" s="0" t="n">
        <f aca="false">-AR50*AH50+AG50*AQ50</f>
        <v>-10072242.6781206</v>
      </c>
      <c r="AU50" s="0" t="n">
        <f aca="false">AQ50*AH50+AG50*AR50</f>
        <v>-4308146.96214393</v>
      </c>
      <c r="AV50" s="0" t="n">
        <f aca="false">ATAN2(AT50,AU50)</f>
        <v>-2.73741642752584</v>
      </c>
      <c r="AW50" s="0" t="n">
        <f aca="false">AG50-AH50*AO50/_Rfb2+AG50*AN50/_Rfb2+AN50-AO50*AR50+AQ50*AN50</f>
        <v>-52717.8402317265</v>
      </c>
      <c r="AX50" s="0" t="n">
        <f aca="false">AH50+AH50*AN50/_Rfb2+AG50*AO50/_Rfb2+AO50+AO50*AQ50+AN50*AR50</f>
        <v>-68737.5548881227</v>
      </c>
      <c r="AY50" s="0" t="n">
        <f aca="false">ATAN2(AW50,AX50)</f>
        <v>-2.22505355742905</v>
      </c>
      <c r="BA50" s="0" t="n">
        <f aca="false">SQRT(AT50^2+AU50^2)/SQRT(AW50^2+AX50^2)</f>
        <v>126.46257825837</v>
      </c>
      <c r="BB50" s="0" t="n">
        <f aca="false">20*LOG(BA50)</f>
        <v>42.0392406350997</v>
      </c>
      <c r="BC50" s="0" t="n">
        <f aca="false">AV50-AY50</f>
        <v>-0.512362870096792</v>
      </c>
      <c r="BD50" s="0" t="n">
        <f aca="false">BC50*180/Pi-180</f>
        <v>-209.3562300693</v>
      </c>
      <c r="BF50" s="0" t="n">
        <f aca="false">20*LOG(BA50*J50*F50*C50)</f>
        <v>61.2975728425282</v>
      </c>
      <c r="BG50" s="0" t="n">
        <f aca="false">(180/Pi)*(D50+H50+BC50)</f>
        <v>-36.1681123327105</v>
      </c>
      <c r="BH50" s="0" t="n">
        <f aca="false">IF(BG50&gt;180,BG50-180,BG50+180)</f>
        <v>143.83188766729</v>
      </c>
      <c r="BI50" s="0" t="n">
        <f aca="false">IF(BH50&gt;180,BH50-360,BH50)</f>
        <v>143.83188766729</v>
      </c>
      <c r="BJ50" s="0" t="n">
        <f aca="false">SUM((BF51&lt;0)*(BF50&gt;0))*A50</f>
        <v>0</v>
      </c>
      <c r="BK50" s="0" t="n">
        <f aca="false">IF(BJ50&gt;0,BI50,0)</f>
        <v>0</v>
      </c>
      <c r="BM50" s="0" t="n">
        <f aca="false">20*LOG(J50*F50*C50)</f>
        <v>19.2583322074284</v>
      </c>
      <c r="BN50" s="0" t="n">
        <f aca="false">(H50+D50)*180/Pi</f>
        <v>-6.81188226341026</v>
      </c>
      <c r="BQ50" s="347" t="n">
        <f aca="false">20*LOG(BA50*7)</f>
        <v>58.9412014353849</v>
      </c>
      <c r="BR50" s="350"/>
      <c r="BS50" s="350"/>
      <c r="BT50" s="350" t="n">
        <v>251.189</v>
      </c>
      <c r="BU50" s="350" t="n">
        <v>27.0434</v>
      </c>
      <c r="BV50" s="350" t="n">
        <v>-265.9205</v>
      </c>
      <c r="BW50" s="349"/>
      <c r="BY50" s="350"/>
      <c r="BZ50" s="350"/>
      <c r="CA50" s="350"/>
      <c r="CC50" s="350"/>
    </row>
    <row r="51" customFormat="false" ht="12.75" hidden="false" customHeight="false" outlineLevel="0" collapsed="false">
      <c r="A51" s="0" t="n">
        <f aca="false">A50+500</f>
        <v>8500</v>
      </c>
      <c r="B51" s="0" t="n">
        <f aca="false">A51/1000</f>
        <v>8.5</v>
      </c>
      <c r="C51" s="0" t="n">
        <f aca="false">SQRT((A51/Fesr)^2+1)</f>
        <v>1.00000000142616</v>
      </c>
      <c r="D51" s="0" t="n">
        <f aca="false">ATAN(A51/Fesr)</f>
        <v>5.34070749992221E-005</v>
      </c>
      <c r="F51" s="0" t="n">
        <f aca="false">(Ro/(Ro+Rdcr))/SQRT((A51/(Q*Fo))^2+(1-(A51^2/Fo^2))^2)</f>
        <v>1.0238352204261</v>
      </c>
      <c r="G51" s="0" t="n">
        <f aca="false">-ATAN(A51*Fo/(Q*(Fo^2-A51^2)))</f>
        <v>-0.126868612447837</v>
      </c>
      <c r="H51" s="0" t="n">
        <f aca="false">IF(G51&gt;0,G51-Pi,G51)</f>
        <v>-0.126868612447837</v>
      </c>
      <c r="J51" s="0" t="n">
        <f aca="false">Vin/Vramp</f>
        <v>9</v>
      </c>
      <c r="M51" s="0" t="n">
        <f aca="false">1/(2*Pi*_Rfb1*(Cc1ea_u+Cc2ea_u)*A51)</f>
        <v>0.693485591606782</v>
      </c>
      <c r="N51" s="0" t="n">
        <f aca="false">-Pi/2</f>
        <v>-1.570796325</v>
      </c>
      <c r="O51" s="0" t="n">
        <f aca="false">SQRT(1+(A51/Fz1_u)^2)</f>
        <v>1.02133107034783</v>
      </c>
      <c r="P51" s="0" t="n">
        <f aca="false">ATAN2(Fz1_u,A51)</f>
        <v>0.204737235309648</v>
      </c>
      <c r="Q51" s="0" t="n">
        <f aca="false">SQRT(1+(A51/Fz2_u)^2)</f>
        <v>235.623028492216</v>
      </c>
      <c r="R51" s="0" t="n">
        <f aca="false">ATAN2(Fz2_u,A51)</f>
        <v>1.56655224671308</v>
      </c>
      <c r="S51" s="0" t="n">
        <f aca="false">1/SQRT(1+(A51/Fp1_u)^2)</f>
        <v>0.846176903710512</v>
      </c>
      <c r="T51" s="0" t="n">
        <f aca="false">-ATAN2(Fp1_u,A51)</f>
        <v>-0.562026536588246</v>
      </c>
      <c r="U51" s="0" t="n">
        <f aca="false">1/SQRT(1+(A51/Fp2_u)^2)</f>
        <v>0.999733950931467</v>
      </c>
      <c r="V51" s="0" t="n">
        <f aca="false">-ATAN2(Fp2_u,A51)</f>
        <v>-0.0230677639310118</v>
      </c>
      <c r="X51" s="0" t="n">
        <f aca="false">20*LOG(C51*J51*O51*Q51*F51*M51*S51*U51)</f>
        <v>62.28479807124</v>
      </c>
      <c r="Y51" s="0" t="n">
        <f aca="false">(180/Pi)*(D51+H51+N51+P51+R51+T51+V51)</f>
        <v>-29.3019983976876</v>
      </c>
      <c r="Z51" s="0" t="n">
        <f aca="false">Y51+180</f>
        <v>150.698001602312</v>
      </c>
      <c r="AC51" s="0" t="n">
        <v>1</v>
      </c>
      <c r="AD51" s="0" t="n">
        <f aca="false">Rcea1_u*Cc1ea_u*A51*2*Pi</f>
        <v>0.2076467077944</v>
      </c>
      <c r="AE51" s="0" t="n">
        <f aca="false">-Rcea1_u*Cc1ea_u*Cc2ea_u*(A51*2*Pi)^2</f>
        <v>-1.66347049605914E-006</v>
      </c>
      <c r="AF51" s="0" t="n">
        <f aca="false">(Cc2ea_u+Cc1ea_u)*A51*2*Pi</f>
        <v>7.20995513175E-005</v>
      </c>
      <c r="AG51" s="0" t="n">
        <f aca="false">AC51*AE51/(AE51^2+AF51^2)+AD51*AF51/(AE51^2+AF51^2)</f>
        <v>2558.6380099713</v>
      </c>
      <c r="AH51" s="0" t="n">
        <f aca="false">AD51*AE51/(AE51^2+AF51^2)-AC51*AF51/(AE51^2+AF51^2)</f>
        <v>-13928.7443609365</v>
      </c>
      <c r="AJ51" s="0" t="n">
        <f aca="false">_Rfb1</f>
        <v>20000</v>
      </c>
      <c r="AK51" s="0" t="n">
        <f aca="false">_Rfb1*Rcea2_u*Cc3ea_u*A51*2*Pi</f>
        <v>12595.524579792</v>
      </c>
      <c r="AL51" s="0" t="n">
        <v>1</v>
      </c>
      <c r="AM51" s="0" t="n">
        <f aca="false">(_Rfb1+Rcea2_u)*Cc3ea_u*A51*2*Pi</f>
        <v>235.62090644899</v>
      </c>
      <c r="AN51" s="0" t="n">
        <f aca="false">AJ51*AL51/(AL51^2+AM51^2)+AK51*AM51/(AL51^2+AM51^2)</f>
        <v>53.8160152310714</v>
      </c>
      <c r="AO51" s="0" t="n">
        <f aca="false">AK51*AL51/(AL51^2+AM51^2)-AJ51*AM51/(AL51^2+AM51^2)</f>
        <v>-84.6537104256797</v>
      </c>
      <c r="AQ51" s="0" t="n">
        <f aca="false">Eadcg/(1+(Eadcg*A51/GBP)^2)</f>
        <v>150.100254936643</v>
      </c>
      <c r="AR51" s="0" t="n">
        <f aca="false">-(A51*Eadcg*Eadcg/GBP)/(1+(Eadcg*A51/GBP)^2)</f>
        <v>-672.374091988694</v>
      </c>
      <c r="AT51" s="0" t="n">
        <f aca="false">-AR51*AH51+AG51*AQ51</f>
        <v>-8981274.62464007</v>
      </c>
      <c r="AU51" s="0" t="n">
        <f aca="false">AQ51*AH51+AG51*AR51</f>
        <v>-3811069.98820612</v>
      </c>
      <c r="AV51" s="0" t="n">
        <f aca="false">ATAN2(AT51,AU51)</f>
        <v>-2.74028532453965</v>
      </c>
      <c r="AW51" s="0" t="n">
        <f aca="false">AG51-AH51*AO51/_Rfb2+AG51*AN51/_Rfb2+AN51-AO51*AR51+AQ51*AN51</f>
        <v>-46697.3509352037</v>
      </c>
      <c r="AX51" s="0" t="n">
        <f aca="false">AH51+AH51*AN51/_Rfb2+AG51*AO51/_Rfb2+AO51+AO51*AQ51+AN51*AR51</f>
        <v>-63339.2204369671</v>
      </c>
      <c r="AY51" s="0" t="n">
        <f aca="false">ATAN2(AW51,AX51)</f>
        <v>-2.20609259667563</v>
      </c>
      <c r="BA51" s="0" t="n">
        <f aca="false">SQRT(AT51^2+AU51^2)/SQRT(AW51^2+AX51^2)</f>
        <v>123.981556119187</v>
      </c>
      <c r="BB51" s="0" t="n">
        <f aca="false">20*LOG(BA51)</f>
        <v>41.867141659465</v>
      </c>
      <c r="BC51" s="0" t="n">
        <f aca="false">AV51-AY51</f>
        <v>-0.534192727864022</v>
      </c>
      <c r="BD51" s="0" t="n">
        <f aca="false">BC51*180/Pi-180</f>
        <v>-210.606988788163</v>
      </c>
      <c r="BF51" s="0" t="n">
        <f aca="false">20*LOG(BA51*J51*F51*C51)</f>
        <v>61.1565931688618</v>
      </c>
      <c r="BG51" s="0" t="n">
        <f aca="false">(180/Pi)*(D51+H51+BC51)</f>
        <v>-37.8729648424135</v>
      </c>
      <c r="BH51" s="0" t="n">
        <f aca="false">IF(BG51&gt;180,BG51-180,BG51+180)</f>
        <v>142.127035157586</v>
      </c>
      <c r="BI51" s="0" t="n">
        <f aca="false">IF(BH51&gt;180,BH51-360,BH51)</f>
        <v>142.127035157586</v>
      </c>
      <c r="BJ51" s="0" t="n">
        <f aca="false">SUM((BF52&lt;0)*(BF51&gt;0))*A51</f>
        <v>0</v>
      </c>
      <c r="BK51" s="0" t="n">
        <f aca="false">IF(BJ51&gt;0,BI51,0)</f>
        <v>0</v>
      </c>
      <c r="BM51" s="0" t="n">
        <f aca="false">20*LOG(J51*F51*C51)</f>
        <v>19.2894515093969</v>
      </c>
      <c r="BN51" s="0" t="n">
        <f aca="false">(H51+D51)*180/Pi</f>
        <v>-7.26597605425093</v>
      </c>
      <c r="BQ51" s="347" t="n">
        <f aca="false">20*LOG(BA51*7)</f>
        <v>58.7691024597501</v>
      </c>
      <c r="BR51" s="350"/>
      <c r="BS51" s="350"/>
      <c r="BT51" s="350" t="n">
        <v>257.04</v>
      </c>
      <c r="BU51" s="350" t="n">
        <v>26.6776</v>
      </c>
      <c r="BV51" s="350" t="n">
        <v>-267.6031</v>
      </c>
      <c r="BW51" s="349"/>
      <c r="BY51" s="350"/>
      <c r="BZ51" s="350"/>
      <c r="CA51" s="350"/>
      <c r="CC51" s="350"/>
    </row>
    <row r="52" customFormat="false" ht="12.75" hidden="false" customHeight="false" outlineLevel="0" collapsed="false">
      <c r="A52" s="0" t="n">
        <f aca="false">A51+500</f>
        <v>9000</v>
      </c>
      <c r="B52" s="0" t="n">
        <f aca="false">A52/1000</f>
        <v>9</v>
      </c>
      <c r="C52" s="0" t="n">
        <f aca="false">SQRT((A52/Fesr)^2+1)</f>
        <v>1.00000000159888</v>
      </c>
      <c r="D52" s="0" t="n">
        <f aca="false">ATAN(A52/Fesr)</f>
        <v>5.65486676397238E-005</v>
      </c>
      <c r="F52" s="0" t="n">
        <f aca="false">(Ro/(Ro+Rdcr))/SQRT((A52/(Q*Fo))^2+(1-(A52^2/Fo^2))^2)</f>
        <v>1.02773883560317</v>
      </c>
      <c r="G52" s="0" t="n">
        <f aca="false">-ATAN(A52*Fo/(Q*(Fo^2-A52^2)))</f>
        <v>-0.134890898229369</v>
      </c>
      <c r="H52" s="0" t="n">
        <f aca="false">IF(G52&gt;0,G52-Pi,G52)</f>
        <v>-0.134890898229369</v>
      </c>
      <c r="J52" s="0" t="n">
        <f aca="false">Vin/Vramp</f>
        <v>9</v>
      </c>
      <c r="M52" s="0" t="n">
        <f aca="false">1/(2*Pi*_Rfb1*(Cc1ea_u+Cc2ea_u)*A52)</f>
        <v>0.654958614295294</v>
      </c>
      <c r="N52" s="0" t="n">
        <f aca="false">-Pi/2</f>
        <v>-1.570796325</v>
      </c>
      <c r="O52" s="0" t="n">
        <f aca="false">SQRT(1+(A52/Fz1_u)^2)</f>
        <v>1.0238842493503</v>
      </c>
      <c r="P52" s="0" t="n">
        <f aca="false">ATAN2(Fz1_u,A52)</f>
        <v>0.216417927998533</v>
      </c>
      <c r="Q52" s="0" t="n">
        <f aca="false">SQRT(1+(A52/Fz2_u)^2)</f>
        <v>249.482963922429</v>
      </c>
      <c r="R52" s="0" t="n">
        <f aca="false">ATAN2(Fz2_u,A52)</f>
        <v>1.56678802634012</v>
      </c>
      <c r="S52" s="0" t="n">
        <f aca="false">1/SQRT(1+(A52/Fp1_u)^2)</f>
        <v>0.831990684626542</v>
      </c>
      <c r="T52" s="0" t="n">
        <f aca="false">-ATAN2(Fp1_u,A52)</f>
        <v>-0.588110057823265</v>
      </c>
      <c r="U52" s="0" t="n">
        <f aca="false">1/SQRT(1+(A52/Fp2_u)^2)</f>
        <v>0.999701744869566</v>
      </c>
      <c r="V52" s="0" t="n">
        <f aca="false">-ATAN2(Fp2_u,A52)</f>
        <v>-0.0244241666238133</v>
      </c>
      <c r="X52" s="0" t="n">
        <f aca="false">20*LOG(C52*J52*O52*Q52*F52*M52*S52*U52)</f>
        <v>62.192396147721</v>
      </c>
      <c r="Y52" s="0" t="n">
        <f aca="false">(180/Pi)*(D52+H52+N52+P52+R52+T52+V52)</f>
        <v>-30.6508897773964</v>
      </c>
      <c r="Z52" s="0" t="n">
        <f aca="false">Y52+180</f>
        <v>149.349110222604</v>
      </c>
      <c r="AC52" s="0" t="n">
        <v>1</v>
      </c>
      <c r="AD52" s="0" t="n">
        <f aca="false">Rcea1_u*Cc1ea_u*A52*2*Pi</f>
        <v>0.2198612200176</v>
      </c>
      <c r="AE52" s="0" t="n">
        <f aca="false">-Rcea1_u*Cc1ea_u*Cc2ea_u*(A52*2*Pi)^2</f>
        <v>-1.86492886063378E-006</v>
      </c>
      <c r="AF52" s="0" t="n">
        <f aca="false">(Cc2ea_u+Cc1ea_u)*A52*2*Pi</f>
        <v>7.6340701395E-005</v>
      </c>
      <c r="AG52" s="0" t="n">
        <f aca="false">AC52*AE52/(AE52^2+AF52^2)+AD52*AF52/(AE52^2+AF52^2)</f>
        <v>2558.47316145985</v>
      </c>
      <c r="AH52" s="0" t="n">
        <f aca="false">AD52*AE52/(AE52^2+AF52^2)-AC52*AF52/(AE52^2+AF52^2)</f>
        <v>-13161.6732893126</v>
      </c>
      <c r="AJ52" s="0" t="n">
        <f aca="false">_Rfb1</f>
        <v>20000</v>
      </c>
      <c r="AK52" s="0" t="n">
        <f aca="false">_Rfb1*Rcea2_u*Cc3ea_u*A52*2*Pi</f>
        <v>13336.437790368</v>
      </c>
      <c r="AL52" s="0" t="n">
        <v>1</v>
      </c>
      <c r="AM52" s="0" t="n">
        <f aca="false">(_Rfb1+Rcea2_u)*Cc3ea_u*A52*2*Pi</f>
        <v>249.480959769518</v>
      </c>
      <c r="AN52" s="0" t="n">
        <f aca="false">AJ52*AL52/(AL52^2+AM52^2)+AK52*AM52/(AL52^2+AM52^2)</f>
        <v>53.7772048209227</v>
      </c>
      <c r="AO52" s="0" t="n">
        <f aca="false">AK52*AL52/(AL52^2+AM52^2)-AJ52*AM52/(AL52^2+AM52^2)</f>
        <v>-79.9508820777597</v>
      </c>
      <c r="AQ52" s="0" t="n">
        <f aca="false">Eadcg/(1+(Eadcg*A52/GBP)^2)</f>
        <v>134.575817406578</v>
      </c>
      <c r="AR52" s="0" t="n">
        <f aca="false">-(A52*Eadcg*Eadcg/GBP)/(1+(Eadcg*A52/GBP)^2)</f>
        <v>-638.293101959397</v>
      </c>
      <c r="AT52" s="0" t="n">
        <f aca="false">-AR52*AH52+AG52*AQ52</f>
        <v>-8056696.65379526</v>
      </c>
      <c r="AU52" s="0" t="n">
        <f aca="false">AQ52*AH52+AG52*AR52</f>
        <v>-3404298.71185564</v>
      </c>
      <c r="AV52" s="0" t="n">
        <f aca="false">ATAN2(AT52,AU52)</f>
        <v>-2.74180516374332</v>
      </c>
      <c r="AW52" s="0" t="n">
        <f aca="false">AG52-AH52*AO52/_Rfb2+AG52*AN52/_Rfb2+AN52-AO52*AR52+AQ52*AN52</f>
        <v>-41594.3497971461</v>
      </c>
      <c r="AX52" s="0" t="n">
        <f aca="false">AH52+AH52*AN52/_Rfb2+AG52*AO52/_Rfb2+AO52+AO52*AQ52+AN52*AR52</f>
        <v>-58737.2559430678</v>
      </c>
      <c r="AY52" s="0" t="n">
        <f aca="false">ATAN2(AW52,AX52)</f>
        <v>-2.18696620630076</v>
      </c>
      <c r="BA52" s="0" t="n">
        <f aca="false">SQRT(AT52^2+AU52^2)/SQRT(AW52^2+AX52^2)</f>
        <v>121.522928828194</v>
      </c>
      <c r="BB52" s="0" t="n">
        <f aca="false">20*LOG(BA52)</f>
        <v>41.6931645585355</v>
      </c>
      <c r="BC52" s="0" t="n">
        <f aca="false">AV52-AY52</f>
        <v>-0.554838957442557</v>
      </c>
      <c r="BD52" s="0" t="n">
        <f aca="false">BC52*180/Pi-180</f>
        <v>-211.789930607223</v>
      </c>
      <c r="BF52" s="0" t="n">
        <f aca="false">20*LOG(BA52*J52*F52*C52)</f>
        <v>61.0156701153604</v>
      </c>
      <c r="BG52" s="0" t="n">
        <f aca="false">(180/Pi)*(D52+H52+BC52)</f>
        <v>-39.5153697793288</v>
      </c>
      <c r="BH52" s="0" t="n">
        <f aca="false">IF(BG52&gt;180,BG52-180,BG52+180)</f>
        <v>140.484630220671</v>
      </c>
      <c r="BI52" s="0" t="n">
        <f aca="false">IF(BH52&gt;180,BH52-360,BH52)</f>
        <v>140.484630220671</v>
      </c>
      <c r="BJ52" s="0" t="n">
        <f aca="false">SUM((BF53&lt;0)*(BF52&gt;0))*A52</f>
        <v>0</v>
      </c>
      <c r="BK52" s="0" t="n">
        <f aca="false">IF(BJ52&gt;0,BI52,0)</f>
        <v>0</v>
      </c>
      <c r="BM52" s="0" t="n">
        <f aca="false">20*LOG(J52*F52*C52)</f>
        <v>19.3225055568249</v>
      </c>
      <c r="BN52" s="0" t="n">
        <f aca="false">(H52+D52)*180/Pi</f>
        <v>-7.72543917210634</v>
      </c>
      <c r="BQ52" s="347" t="n">
        <f aca="false">20*LOG(BA52*7)</f>
        <v>58.5951253588207</v>
      </c>
      <c r="BR52" s="350"/>
      <c r="BS52" s="350"/>
      <c r="BT52" s="350" t="n">
        <v>263.027</v>
      </c>
      <c r="BU52" s="350" t="n">
        <v>26.2703</v>
      </c>
      <c r="BV52" s="350" t="n">
        <v>-267.3229</v>
      </c>
      <c r="BW52" s="349"/>
      <c r="BY52" s="350"/>
      <c r="BZ52" s="350"/>
      <c r="CA52" s="350"/>
      <c r="CC52" s="350"/>
    </row>
    <row r="53" customFormat="false" ht="12.75" hidden="false" customHeight="false" outlineLevel="0" collapsed="false">
      <c r="A53" s="0" t="n">
        <f aca="false">A52+500</f>
        <v>9500</v>
      </c>
      <c r="B53" s="0" t="n">
        <f aca="false">A53/1000</f>
        <v>9.5</v>
      </c>
      <c r="C53" s="0" t="n">
        <f aca="false">SQRT((A53/Fesr)^2+1)</f>
        <v>1.00000000178146</v>
      </c>
      <c r="D53" s="0" t="n">
        <f aca="false">ATAN(A53/Fesr)</f>
        <v>5.96902602791093E-005</v>
      </c>
      <c r="F53" s="0" t="n">
        <f aca="false">(Ro/(Ro+Rdcr))/SQRT((A53/(Q*Fo))^2+(1-(A53^2/Fo^2))^2)</f>
        <v>1.03188807814097</v>
      </c>
      <c r="G53" s="0" t="n">
        <f aca="false">-ATAN(A53*Fo/(Q*(Fo^2-A53^2)))</f>
        <v>-0.143013544588122</v>
      </c>
      <c r="H53" s="0" t="n">
        <f aca="false">IF(G53&gt;0,G53-Pi,G53)</f>
        <v>-0.143013544588122</v>
      </c>
      <c r="J53" s="0" t="n">
        <f aca="false">Vin/Vramp</f>
        <v>9</v>
      </c>
      <c r="M53" s="0" t="n">
        <f aca="false">1/(2*Pi*_Rfb1*(Cc1ea_u+Cc2ea_u)*A53)</f>
        <v>0.620487108279752</v>
      </c>
      <c r="N53" s="0" t="n">
        <f aca="false">-Pi/2</f>
        <v>-1.570796325</v>
      </c>
      <c r="O53" s="0" t="n">
        <f aca="false">SQRT(1+(A53/Fz1_u)^2)</f>
        <v>1.02657641970537</v>
      </c>
      <c r="P53" s="0" t="n">
        <f aca="false">ATAN2(Fz1_u,A53)</f>
        <v>0.228038934844218</v>
      </c>
      <c r="Q53" s="0" t="n">
        <f aca="false">SQRT(1+(A53/Fz2_u)^2)</f>
        <v>263.342911762007</v>
      </c>
      <c r="R53" s="0" t="n">
        <f aca="false">ATAN2(Fz2_u,A53)</f>
        <v>1.56699898743759</v>
      </c>
      <c r="S53" s="0" t="n">
        <f aca="false">1/SQRT(1+(A53/Fp1_u)^2)</f>
        <v>0.817743355744806</v>
      </c>
      <c r="T53" s="0" t="n">
        <f aca="false">-ATAN2(Fp1_u,A53)</f>
        <v>-0.613316922061626</v>
      </c>
      <c r="U53" s="0" t="n">
        <f aca="false">1/SQRT(1+(A53/Fp2_u)^2)</f>
        <v>0.999667701845431</v>
      </c>
      <c r="V53" s="0" t="n">
        <f aca="false">-ATAN2(Fp2_u,A53)</f>
        <v>-0.0257804794322073</v>
      </c>
      <c r="X53" s="0" t="n">
        <f aca="false">20*LOG(C53*J53*O53*Q53*F53*M53*S53*U53)</f>
        <v>62.0998694050573</v>
      </c>
      <c r="Y53" s="0" t="n">
        <f aca="false">(180/Pi)*(D53+H53+N53+P53+R53+T53+V53)</f>
        <v>-31.9601392424878</v>
      </c>
      <c r="Z53" s="0" t="n">
        <f aca="false">Y53+180</f>
        <v>148.039860757512</v>
      </c>
      <c r="AC53" s="0" t="n">
        <v>1</v>
      </c>
      <c r="AD53" s="0" t="n">
        <f aca="false">Rcea1_u*Cc1ea_u*A53*2*Pi</f>
        <v>0.2320757322408</v>
      </c>
      <c r="AE53" s="0" t="n">
        <f aca="false">-Rcea1_u*Cc1ea_u*Cc2ea_u*(A53*2*Pi)^2</f>
        <v>-2.07789913175554E-006</v>
      </c>
      <c r="AF53" s="0" t="n">
        <f aca="false">(Cc2ea_u+Cc1ea_u)*A53*2*Pi</f>
        <v>8.05818514725E-005</v>
      </c>
      <c r="AG53" s="0" t="n">
        <f aca="false">AC53*AE53/(AE53^2+AF53^2)+AD53*AF53/(AE53^2+AF53^2)</f>
        <v>2558.29891612909</v>
      </c>
      <c r="AH53" s="0" t="n">
        <f aca="false">AD53*AE53/(AE53^2+AF53^2)-AC53*AF53/(AE53^2+AF53^2)</f>
        <v>-12475.7109538452</v>
      </c>
      <c r="AJ53" s="0" t="n">
        <f aca="false">_Rfb1</f>
        <v>20000</v>
      </c>
      <c r="AK53" s="0" t="n">
        <f aca="false">_Rfb1*Rcea2_u*Cc3ea_u*A53*2*Pi</f>
        <v>14077.351000944</v>
      </c>
      <c r="AL53" s="0" t="n">
        <v>1</v>
      </c>
      <c r="AM53" s="0" t="n">
        <f aca="false">(_Rfb1+Rcea2_u)*Cc3ea_u*A53*2*Pi</f>
        <v>263.341013090047</v>
      </c>
      <c r="AN53" s="0" t="n">
        <f aca="false">AJ53*AL53/(AL53^2+AM53^2)+AK53*AM53/(AL53^2+AM53^2)</f>
        <v>53.7443594543545</v>
      </c>
      <c r="AO53" s="0" t="n">
        <f aca="false">AK53*AL53/(AL53^2+AM53^2)-AJ53*AM53/(AL53^2+AM53^2)</f>
        <v>-75.743065641375</v>
      </c>
      <c r="AQ53" s="0" t="n">
        <f aca="false">Eadcg/(1+(Eadcg*A53/GBP)^2)</f>
        <v>121.311907714249</v>
      </c>
      <c r="AR53" s="0" t="n">
        <f aca="false">-(A53*Eadcg*Eadcg/GBP)/(1+(Eadcg*A53/GBP)^2)</f>
        <v>-607.348065971387</v>
      </c>
      <c r="AT53" s="0" t="n">
        <f aca="false">-AR53*AH53+AG53*AQ53</f>
        <v>-7266746.79741702</v>
      </c>
      <c r="AU53" s="0" t="n">
        <f aca="false">AQ53*AH53+AG53*AR53</f>
        <v>-3067230.19479021</v>
      </c>
      <c r="AV53" s="0" t="n">
        <f aca="false">ATAN2(AT53,AU53)</f>
        <v>-2.74218832621285</v>
      </c>
      <c r="AW53" s="0" t="n">
        <f aca="false">AG53-AH53*AO53/_Rfb2+AG53*AN53/_Rfb2+AN53-AO53*AR53+AQ53*AN53</f>
        <v>-37233.8848838833</v>
      </c>
      <c r="AX53" s="0" t="n">
        <f aca="false">AH53+AH53*AN53/_Rfb2+AG53*AO53/_Rfb2+AO53+AO53*AQ53+AN53*AR53</f>
        <v>-54770.4452035497</v>
      </c>
      <c r="AY53" s="0" t="n">
        <f aca="false">ATAN2(AW53,AX53)</f>
        <v>-2.16784790162306</v>
      </c>
      <c r="BA53" s="0" t="n">
        <f aca="false">SQRT(AT53^2+AU53^2)/SQRT(AW53^2+AX53^2)</f>
        <v>119.09675452534</v>
      </c>
      <c r="BB53" s="0" t="n">
        <f aca="false">20*LOG(BA53)</f>
        <v>41.5179985359628</v>
      </c>
      <c r="BC53" s="0" t="n">
        <f aca="false">AV53-AY53</f>
        <v>-0.574340424589794</v>
      </c>
      <c r="BD53" s="0" t="n">
        <f aca="false">BC53*180/Pi-180</f>
        <v>-212.907282370349</v>
      </c>
      <c r="BF53" s="0" t="n">
        <f aca="false">20*LOG(BA53*J53*F53*C53)</f>
        <v>60.8755006379513</v>
      </c>
      <c r="BG53" s="0" t="n">
        <f aca="false">(180/Pi)*(D53+H53+BC53)</f>
        <v>-41.0979348978215</v>
      </c>
      <c r="BH53" s="0" t="n">
        <f aca="false">IF(BG53&gt;180,BG53-180,BG53+180)</f>
        <v>138.902065102178</v>
      </c>
      <c r="BI53" s="0" t="n">
        <f aca="false">IF(BH53&gt;180,BH53-360,BH53)</f>
        <v>138.902065102178</v>
      </c>
      <c r="BJ53" s="0" t="n">
        <f aca="false">SUM((BF54&lt;0)*(BF53&gt;0))*A53</f>
        <v>0</v>
      </c>
      <c r="BK53" s="0" t="n">
        <f aca="false">IF(BJ53&gt;0,BI53,0)</f>
        <v>0</v>
      </c>
      <c r="BM53" s="0" t="n">
        <f aca="false">20*LOG(J53*F53*C53)</f>
        <v>19.3575021019885</v>
      </c>
      <c r="BN53" s="0" t="n">
        <f aca="false">(H53+D53)*180/Pi</f>
        <v>-8.19065252747255</v>
      </c>
      <c r="BQ53" s="347" t="n">
        <f aca="false">20*LOG(BA53*7)</f>
        <v>58.4199593362479</v>
      </c>
      <c r="BR53" s="350"/>
      <c r="BS53" s="350"/>
      <c r="BT53" s="350" t="n">
        <v>269.153</v>
      </c>
      <c r="BU53" s="350" t="n">
        <v>26.2359</v>
      </c>
      <c r="BV53" s="350" t="n">
        <v>-265.677</v>
      </c>
      <c r="BW53" s="349"/>
      <c r="BY53" s="350"/>
      <c r="BZ53" s="350"/>
      <c r="CA53" s="350"/>
      <c r="CC53" s="350"/>
    </row>
    <row r="54" customFormat="false" ht="12.75" hidden="false" customHeight="false" outlineLevel="0" collapsed="false">
      <c r="A54" s="0" t="n">
        <f aca="false">A53+500</f>
        <v>10000</v>
      </c>
      <c r="B54" s="0" t="n">
        <f aca="false">A54/1000</f>
        <v>10</v>
      </c>
      <c r="C54" s="0" t="n">
        <f aca="false">SQRT((A54/Fesr)^2+1)</f>
        <v>1.00000000197392</v>
      </c>
      <c r="D54" s="0" t="n">
        <f aca="false">ATAN(A54/Fesr)</f>
        <v>6.28318529173166E-005</v>
      </c>
      <c r="F54" s="0" t="n">
        <f aca="false">(Ro/(Ro+Rdcr))/SQRT((A54/(Q*Fo))^2+(1-(A54^2/Fo^2))^2)</f>
        <v>1.03628674448035</v>
      </c>
      <c r="G54" s="0" t="n">
        <f aca="false">-ATAN(A54*Fo/(Q*(Fo^2-A54^2)))</f>
        <v>-0.151243408170192</v>
      </c>
      <c r="H54" s="0" t="n">
        <f aca="false">IF(G54&gt;0,G54-Pi,G54)</f>
        <v>-0.151243408170192</v>
      </c>
      <c r="J54" s="0" t="n">
        <f aca="false">Vin/Vramp</f>
        <v>9</v>
      </c>
      <c r="M54" s="0" t="n">
        <f aca="false">1/(2*Pi*_Rfb1*(Cc1ea_u+Cc2ea_u)*A54)</f>
        <v>0.589462752865764</v>
      </c>
      <c r="N54" s="0" t="n">
        <f aca="false">-Pi/2</f>
        <v>-1.570796325</v>
      </c>
      <c r="O54" s="0" t="n">
        <f aca="false">SQRT(1+(A54/Fz1_u)^2)</f>
        <v>1.02940649091614</v>
      </c>
      <c r="P54" s="0" t="n">
        <f aca="false">ATAN2(Fz1_u,A54)</f>
        <v>0.239597598122607</v>
      </c>
      <c r="Q54" s="0" t="n">
        <f aca="false">SQRT(1+(A54/Fz2_u)^2)</f>
        <v>277.202870149572</v>
      </c>
      <c r="R54" s="0" t="n">
        <f aca="false">ATAN2(Fz2_u,A54)</f>
        <v>1.56718885271484</v>
      </c>
      <c r="S54" s="0" t="n">
        <f aca="false">1/SQRT(1+(A54/Fp1_u)^2)</f>
        <v>0.803490906617853</v>
      </c>
      <c r="T54" s="0" t="n">
        <f aca="false">-ATAN2(Fp1_u,A54)</f>
        <v>-0.637660153442902</v>
      </c>
      <c r="U54" s="0" t="n">
        <f aca="false">1/SQRT(1+(A54/Fp2_u)^2)</f>
        <v>0.999631822422447</v>
      </c>
      <c r="V54" s="0" t="n">
        <f aca="false">-ATAN2(Fp2_u,A54)</f>
        <v>-0.0271366973755386</v>
      </c>
      <c r="X54" s="0" t="n">
        <f aca="false">20*LOG(C54*J54*O54*Q54*F54*M54*S54*U54)</f>
        <v>62.007689707604</v>
      </c>
      <c r="Y54" s="0" t="n">
        <f aca="false">(180/Pi)*(D54+H54+N54+P54+R54+T54+V54)</f>
        <v>-33.2308245735449</v>
      </c>
      <c r="Z54" s="0" t="n">
        <f aca="false">Y54+180</f>
        <v>146.769175426455</v>
      </c>
      <c r="AC54" s="0" t="n">
        <v>1</v>
      </c>
      <c r="AD54" s="0" t="n">
        <f aca="false">Rcea1_u*Cc1ea_u*A54*2*Pi</f>
        <v>0.244290244464</v>
      </c>
      <c r="AE54" s="0" t="n">
        <f aca="false">-Rcea1_u*Cc1ea_u*Cc2ea_u*(A54*2*Pi)^2</f>
        <v>-2.30238130942442E-006</v>
      </c>
      <c r="AF54" s="0" t="n">
        <f aca="false">(Cc2ea_u+Cc1ea_u)*A54*2*Pi</f>
        <v>8.482300155E-005</v>
      </c>
      <c r="AG54" s="0" t="n">
        <f aca="false">AC54*AE54/(AE54^2+AF54^2)+AD54*AF54/(AE54^2+AF54^2)</f>
        <v>2558.11527782304</v>
      </c>
      <c r="AH54" s="0" t="n">
        <f aca="false">AD54*AE54/(AE54^2+AF54^2)-AC54*AF54/(AE54^2+AF54^2)</f>
        <v>-11858.6909024916</v>
      </c>
      <c r="AJ54" s="0" t="n">
        <f aca="false">_Rfb1</f>
        <v>20000</v>
      </c>
      <c r="AK54" s="0" t="n">
        <f aca="false">_Rfb1*Rcea2_u*Cc3ea_u*A54*2*Pi</f>
        <v>14818.26421152</v>
      </c>
      <c r="AL54" s="0" t="n">
        <v>1</v>
      </c>
      <c r="AM54" s="0" t="n">
        <f aca="false">(_Rfb1+Rcea2_u)*Cc3ea_u*A54*2*Pi</f>
        <v>277.201066410576</v>
      </c>
      <c r="AN54" s="0" t="n">
        <f aca="false">AJ54*AL54/(AL54^2+AM54^2)+AK54*AM54/(AL54^2+AM54^2)</f>
        <v>53.716316527402</v>
      </c>
      <c r="AO54" s="0" t="n">
        <f aca="false">AK54*AL54/(AL54^2+AM54^2)-AJ54*AM54/(AL54^2+AM54^2)</f>
        <v>-71.9560135238772</v>
      </c>
      <c r="AQ54" s="0" t="n">
        <f aca="false">Eadcg/(1+(Eadcg*A54/GBP)^2)</f>
        <v>109.895074879487</v>
      </c>
      <c r="AR54" s="0" t="n">
        <f aca="false">-(A54*Eadcg*Eadcg/GBP)/(1+(Eadcg*A54/GBP)^2)</f>
        <v>-579.147044614898</v>
      </c>
      <c r="AT54" s="0" t="n">
        <f aca="false">-AR54*AH54+AG54*AQ54</f>
        <v>-6586801.51917285</v>
      </c>
      <c r="AU54" s="0" t="n">
        <f aca="false">AQ54*AH54+AG54*AR54</f>
        <v>-2784736.62763744</v>
      </c>
      <c r="AV54" s="0" t="n">
        <f aca="false">ATAN2(AT54,AU54)</f>
        <v>-2.74160790156273</v>
      </c>
      <c r="AW54" s="0" t="n">
        <f aca="false">AG54-AH54*AO54/_Rfb2+AG54*AN54/_Rfb2+AN54-AO54*AR54+AQ54*AN54</f>
        <v>-33480.2735700837</v>
      </c>
      <c r="AX54" s="0" t="n">
        <f aca="false">AH54+AH54*AN54/_Rfb2+AG54*AO54/_Rfb2+AO54+AO54*AQ54+AN54*AR54</f>
        <v>-51317.3890119351</v>
      </c>
      <c r="AY54" s="0" t="n">
        <f aca="false">ATAN2(AW54,AX54)</f>
        <v>-2.14886792571428</v>
      </c>
      <c r="BA54" s="0" t="n">
        <f aca="false">SQRT(AT54^2+AU54^2)/SQRT(AW54^2+AX54^2)</f>
        <v>116.71130756821</v>
      </c>
      <c r="BB54" s="0" t="n">
        <f aca="false">20*LOG(BA54)</f>
        <v>41.3422586935857</v>
      </c>
      <c r="BC54" s="0" t="n">
        <f aca="false">AV54-AY54</f>
        <v>-0.592739975848444</v>
      </c>
      <c r="BD54" s="0" t="n">
        <f aca="false">BC54*180/Pi-180</f>
        <v>-213.961499003609</v>
      </c>
      <c r="BF54" s="0" t="n">
        <f aca="false">20*LOG(BA54*J54*F54*C54)</f>
        <v>60.7367077589521</v>
      </c>
      <c r="BG54" s="0" t="n">
        <f aca="false">(180/Pi)*(D54+H54+BC54)</f>
        <v>-42.6235079808419</v>
      </c>
      <c r="BH54" s="0" t="n">
        <f aca="false">IF(BG54&gt;180,BG54-180,BG54+180)</f>
        <v>137.376492019158</v>
      </c>
      <c r="BI54" s="0" t="n">
        <f aca="false">IF(BH54&gt;180,BH54-360,BH54)</f>
        <v>137.376492019158</v>
      </c>
      <c r="BJ54" s="0" t="n">
        <f aca="false">SUM((BF55&lt;0)*(BF54&gt;0))*A54</f>
        <v>0</v>
      </c>
      <c r="BK54" s="0" t="n">
        <f aca="false">IF(BJ54&gt;0,BI54,0)</f>
        <v>0</v>
      </c>
      <c r="BM54" s="0" t="n">
        <f aca="false">20*LOG(J54*F54*C54)</f>
        <v>19.3944490653664</v>
      </c>
      <c r="BN54" s="0" t="n">
        <f aca="false">(H54+D54)*180/Pi</f>
        <v>-8.66200897723307</v>
      </c>
      <c r="BQ54" s="347" t="n">
        <f aca="false">20*LOG(BA54*7)</f>
        <v>58.2442194938708</v>
      </c>
      <c r="BR54" s="350"/>
      <c r="BS54" s="350"/>
      <c r="BT54" s="350" t="n">
        <v>275.423</v>
      </c>
      <c r="BU54" s="350" t="n">
        <v>25.8456</v>
      </c>
      <c r="BV54" s="350" t="n">
        <v>-266.4657</v>
      </c>
      <c r="BW54" s="349"/>
      <c r="BY54" s="350"/>
      <c r="BZ54" s="350"/>
      <c r="CA54" s="350"/>
      <c r="CC54" s="350"/>
    </row>
    <row r="55" customFormat="false" ht="12.75" hidden="false" customHeight="false" outlineLevel="0" collapsed="false">
      <c r="A55" s="0" t="n">
        <f aca="false">A54+500</f>
        <v>10500</v>
      </c>
      <c r="B55" s="0" t="n">
        <f aca="false">A55/1000</f>
        <v>10.5</v>
      </c>
      <c r="C55" s="0" t="n">
        <f aca="false">SQRT((A55/Fesr)^2+1)</f>
        <v>1.00000000217625</v>
      </c>
      <c r="D55" s="0" t="n">
        <f aca="false">ATAN(A55/Fesr)</f>
        <v>6.59734455542836E-005</v>
      </c>
      <c r="F55" s="0" t="n">
        <f aca="false">(Ro/(Ro+Rdcr))/SQRT((A55/(Q*Fo))^2+(1-(A55^2/Fo^2))^2)</f>
        <v>1.04093883995876</v>
      </c>
      <c r="G55" s="0" t="n">
        <f aca="false">-ATAN(A55*Fo/(Q*(Fo^2-A55^2)))</f>
        <v>-0.159587569612388</v>
      </c>
      <c r="H55" s="0" t="n">
        <f aca="false">IF(G55&gt;0,G55-Pi,G55)</f>
        <v>-0.159587569612388</v>
      </c>
      <c r="J55" s="0" t="n">
        <f aca="false">Vin/Vramp</f>
        <v>9</v>
      </c>
      <c r="M55" s="0" t="n">
        <f aca="false">1/(2*Pi*_Rfb1*(Cc1ea_u+Cc2ea_u)*A55)</f>
        <v>0.561393097967395</v>
      </c>
      <c r="N55" s="0" t="n">
        <f aca="false">-Pi/2</f>
        <v>-1.570796325</v>
      </c>
      <c r="O55" s="0" t="n">
        <f aca="false">SQRT(1+(A55/Fz1_u)^2)</f>
        <v>1.03237332888987</v>
      </c>
      <c r="P55" s="0" t="n">
        <f aca="false">ATAN2(Fz1_u,A55)</f>
        <v>0.251091355151959</v>
      </c>
      <c r="Q55" s="0" t="n">
        <f aca="false">SQRT(1+(A55/Fz2_u)^2)</f>
        <v>291.062837578287</v>
      </c>
      <c r="R55" s="0" t="n">
        <f aca="false">ATAN2(Fz2_u,A55)</f>
        <v>1.56736063580923</v>
      </c>
      <c r="S55" s="0" t="n">
        <f aca="false">1/SQRT(1+(A55/Fp1_u)^2)</f>
        <v>0.78928294439779</v>
      </c>
      <c r="T55" s="0" t="n">
        <f aca="false">-ATAN2(Fp1_u,A55)</f>
        <v>-0.661155994021593</v>
      </c>
      <c r="U55" s="0" t="n">
        <f aca="false">1/SQRT(1+(A55/Fp2_u)^2)</f>
        <v>0.999594107194281</v>
      </c>
      <c r="V55" s="0" t="n">
        <f aca="false">-ATAN2(Fp2_u,A55)</f>
        <v>-0.0284928154752444</v>
      </c>
      <c r="X55" s="0" t="n">
        <f aca="false">20*LOG(C55*J55*O55*Q55*F55*M55*S55*U55)</f>
        <v>61.9162946654514</v>
      </c>
      <c r="Y55" s="0" t="n">
        <f aca="false">(180/Pi)*(D55+H55+N55+P55+R55+T55+V55)</f>
        <v>-34.4642559392439</v>
      </c>
      <c r="Z55" s="0" t="n">
        <f aca="false">Y55+180</f>
        <v>145.535744060756</v>
      </c>
      <c r="AC55" s="0" t="n">
        <v>1</v>
      </c>
      <c r="AD55" s="0" t="n">
        <f aca="false">Rcea1_u*Cc1ea_u*A55*2*Pi</f>
        <v>0.2565047566872</v>
      </c>
      <c r="AE55" s="0" t="n">
        <f aca="false">-Rcea1_u*Cc1ea_u*Cc2ea_u*(A55*2*Pi)^2</f>
        <v>-2.53837539364042E-006</v>
      </c>
      <c r="AF55" s="0" t="n">
        <f aca="false">(Cc2ea_u+Cc1ea_u)*A55*2*Pi</f>
        <v>8.90641516275E-005</v>
      </c>
      <c r="AG55" s="0" t="n">
        <f aca="false">AC55*AE55/(AE55^2+AF55^2)+AD55*AF55/(AE55^2+AF55^2)</f>
        <v>2557.92225059208</v>
      </c>
      <c r="AH55" s="0" t="n">
        <f aca="false">AD55*AE55/(AE55^2+AF55^2)-AC55*AF55/(AE55^2+AF55^2)</f>
        <v>-11300.7640954049</v>
      </c>
      <c r="AJ55" s="0" t="n">
        <f aca="false">_Rfb1</f>
        <v>20000</v>
      </c>
      <c r="AK55" s="0" t="n">
        <f aca="false">_Rfb1*Rcea2_u*Cc3ea_u*A55*2*Pi</f>
        <v>15559.177422096</v>
      </c>
      <c r="AL55" s="0" t="n">
        <v>1</v>
      </c>
      <c r="AM55" s="0" t="n">
        <f aca="false">(_Rfb1+Rcea2_u)*Cc3ea_u*A55*2*Pi</f>
        <v>291.061119731105</v>
      </c>
      <c r="AN55" s="0" t="n">
        <f aca="false">AJ55*AL55/(AL55^2+AM55^2)+AK55*AM55/(AL55^2+AM55^2)</f>
        <v>53.6921834703894</v>
      </c>
      <c r="AO55" s="0" t="n">
        <f aca="false">AK55*AL55/(AL55^2+AM55^2)-AJ55*AM55/(AL55^2+AM55^2)</f>
        <v>-68.5296196034596</v>
      </c>
      <c r="AQ55" s="0" t="n">
        <f aca="false">Eadcg/(1+(Eadcg*A55/GBP)^2)</f>
        <v>100.001194669554</v>
      </c>
      <c r="AR55" s="0" t="n">
        <f aca="false">-(A55*Eadcg*Eadcg/GBP)/(1+(Eadcg*A55/GBP)^2)</f>
        <v>-553.356610703975</v>
      </c>
      <c r="AT55" s="0" t="n">
        <f aca="false">-AR55*AH55+AG55*AQ55</f>
        <v>-5997557.23726738</v>
      </c>
      <c r="AU55" s="0" t="n">
        <f aca="false">AQ55*AH55+AG55*AR55</f>
        <v>-2545533.0972512</v>
      </c>
      <c r="AV55" s="0" t="n">
        <f aca="false">ATAN2(AT55,AU55)</f>
        <v>-2.74020633025244</v>
      </c>
      <c r="AW55" s="0" t="n">
        <f aca="false">AG55-AH55*AO55/_Rfb2+AG55*AN55/_Rfb2+AN55-AO55*AR55+AQ55*AN55</f>
        <v>-30227.1145963419</v>
      </c>
      <c r="AX55" s="0" t="n">
        <f aca="false">AH55+AH55*AN55/_Rfb2+AG55*AO55/_Rfb2+AO55+AO55*AQ55+AN55*AR55</f>
        <v>-48285.1874741635</v>
      </c>
      <c r="AY55" s="0" t="n">
        <f aca="false">ATAN2(AW55,AX55)</f>
        <v>-2.13012315778831</v>
      </c>
      <c r="BA55" s="0" t="n">
        <f aca="false">SQRT(AT55^2+AU55^2)/SQRT(AW55^2+AX55^2)</f>
        <v>114.373255825892</v>
      </c>
      <c r="BB55" s="0" t="n">
        <f aca="false">20*LOG(BA55)</f>
        <v>41.1664896840533</v>
      </c>
      <c r="BC55" s="0" t="n">
        <f aca="false">AV55-AY55</f>
        <v>-0.610083172464139</v>
      </c>
      <c r="BD55" s="0" t="n">
        <f aca="false">BC55*180/Pi-180</f>
        <v>-214.955190974089</v>
      </c>
      <c r="BF55" s="0" t="n">
        <f aca="false">20*LOG(BA55*J55*F55*C55)</f>
        <v>60.599844160172</v>
      </c>
      <c r="BG55" s="0" t="n">
        <f aca="false">(180/Pi)*(D55+H55+BC55)</f>
        <v>-44.095105186083</v>
      </c>
      <c r="BH55" s="0" t="n">
        <f aca="false">IF(BG55&gt;180,BG55-180,BG55+180)</f>
        <v>135.904894813917</v>
      </c>
      <c r="BI55" s="0" t="n">
        <f aca="false">IF(BH55&gt;180,BH55-360,BH55)</f>
        <v>135.904894813917</v>
      </c>
      <c r="BJ55" s="0" t="n">
        <f aca="false">SUM((BF56&lt;0)*(BF55&gt;0))*A55</f>
        <v>0</v>
      </c>
      <c r="BK55" s="0" t="n">
        <f aca="false">IF(BJ55&gt;0,BI55,0)</f>
        <v>0</v>
      </c>
      <c r="BM55" s="0" t="n">
        <f aca="false">20*LOG(J55*F55*C55)</f>
        <v>19.4333544761186</v>
      </c>
      <c r="BN55" s="0" t="n">
        <f aca="false">(H55+D55)*180/Pi</f>
        <v>-9.13991421199375</v>
      </c>
      <c r="BQ55" s="347" t="n">
        <f aca="false">20*LOG(BA55*7)</f>
        <v>58.0684504843385</v>
      </c>
      <c r="BR55" s="351"/>
      <c r="BS55" s="351"/>
      <c r="BT55" s="351" t="n">
        <v>281.838</v>
      </c>
      <c r="BU55" s="351" t="n">
        <v>26.1068</v>
      </c>
      <c r="BV55" s="351" t="n">
        <v>-266.6757</v>
      </c>
      <c r="BW55" s="349"/>
      <c r="BY55" s="351"/>
      <c r="BZ55" s="351"/>
      <c r="CA55" s="351"/>
      <c r="CC55" s="351"/>
    </row>
    <row r="56" customFormat="false" ht="12.75" hidden="false" customHeight="false" outlineLevel="0" collapsed="false">
      <c r="A56" s="0" t="n">
        <f aca="false">A55+500</f>
        <v>11000</v>
      </c>
      <c r="B56" s="0" t="n">
        <f aca="false">A56/1000</f>
        <v>11</v>
      </c>
      <c r="C56" s="0" t="n">
        <f aca="false">SQRT((A56/Fesr)^2+1)</f>
        <v>1.00000000238844</v>
      </c>
      <c r="D56" s="0" t="n">
        <f aca="false">ATAN(A56/Fesr)</f>
        <v>6.91150381899484E-005</v>
      </c>
      <c r="F56" s="0" t="n">
        <f aca="false">(Ro/(Ro+Rdcr))/SQRT((A56/(Q*Fo))^2+(1-(A56^2/Fo^2))^2)</f>
        <v>1.0458485768749</v>
      </c>
      <c r="G56" s="0" t="n">
        <f aca="false">-ATAN(A56*Fo/(Q*(Fo^2-A56^2)))</f>
        <v>-0.168053349678688</v>
      </c>
      <c r="H56" s="0" t="n">
        <f aca="false">IF(G56&gt;0,G56-Pi,G56)</f>
        <v>-0.168053349678688</v>
      </c>
      <c r="J56" s="0" t="n">
        <f aca="false">Vin/Vramp</f>
        <v>9</v>
      </c>
      <c r="M56" s="0" t="n">
        <f aca="false">1/(2*Pi*_Rfb1*(Cc1ea_u+Cc2ea_u)*A56)</f>
        <v>0.535875229877968</v>
      </c>
      <c r="N56" s="0" t="n">
        <f aca="false">-Pi/2</f>
        <v>-1.570796325</v>
      </c>
      <c r="O56" s="0" t="n">
        <f aca="false">SQRT(1+(A56/Fz1_u)^2)</f>
        <v>1.0354757580377</v>
      </c>
      <c r="P56" s="0" t="n">
        <f aca="false">ATAN2(Fz1_u,A56)</f>
        <v>0.262517740515523</v>
      </c>
      <c r="Q56" s="0" t="n">
        <f aca="false">SQRT(1+(A56/Fz2_u)^2)</f>
        <v>304.922812815283</v>
      </c>
      <c r="R56" s="0" t="n">
        <f aca="false">ATAN2(Fz2_u,A56)</f>
        <v>1.56751680243489</v>
      </c>
      <c r="S56" s="0" t="n">
        <f aca="false">1/SQRT(1+(A56/Fp1_u)^2)</f>
        <v>0.77516296522578</v>
      </c>
      <c r="T56" s="0" t="n">
        <f aca="false">-ATAN2(Fp1_u,A56)</f>
        <v>-0.683823318817077</v>
      </c>
      <c r="U56" s="0" t="n">
        <f aca="false">1/SQRT(1+(A56/Fp2_u)^2)</f>
        <v>0.99955455678485</v>
      </c>
      <c r="V56" s="0" t="n">
        <f aca="false">-ATAN2(Fp2_u,A56)</f>
        <v>-0.029848828754964</v>
      </c>
      <c r="X56" s="0" t="n">
        <f aca="false">20*LOG(C56*J56*O56*Q56*F56*M56*S56*U56)</f>
        <v>61.8260875009069</v>
      </c>
      <c r="Y56" s="0" t="n">
        <f aca="false">(180/Pi)*(D56+H56+N56+P56+R56+T56+V56)</f>
        <v>-35.6619339452498</v>
      </c>
      <c r="Z56" s="0" t="n">
        <f aca="false">Y56+180</f>
        <v>144.33806605475</v>
      </c>
      <c r="AC56" s="0" t="n">
        <v>1</v>
      </c>
      <c r="AD56" s="0" t="n">
        <f aca="false">Rcea1_u*Cc1ea_u*A56*2*Pi</f>
        <v>0.2687192689104</v>
      </c>
      <c r="AE56" s="0" t="n">
        <f aca="false">-Rcea1_u*Cc1ea_u*Cc2ea_u*(A56*2*Pi)^2</f>
        <v>-2.78588138440354E-006</v>
      </c>
      <c r="AF56" s="0" t="n">
        <f aca="false">(Cc2ea_u+Cc1ea_u)*A56*2*Pi</f>
        <v>9.3305301705E-005</v>
      </c>
      <c r="AG56" s="0" t="n">
        <f aca="false">AC56*AE56/(AE56^2+AF56^2)+AD56*AF56/(AE56^2+AF56^2)</f>
        <v>2557.71983869276</v>
      </c>
      <c r="AH56" s="0" t="n">
        <f aca="false">AD56*AE56/(AE56^2+AF56^2)-AC56*AF56/(AE56^2+AF56^2)</f>
        <v>-10793.8722203517</v>
      </c>
      <c r="AJ56" s="0" t="n">
        <f aca="false">_Rfb1</f>
        <v>20000</v>
      </c>
      <c r="AK56" s="0" t="n">
        <f aca="false">_Rfb1*Rcea2_u*Cc3ea_u*A56*2*Pi</f>
        <v>16300.090632672</v>
      </c>
      <c r="AL56" s="0" t="n">
        <v>1</v>
      </c>
      <c r="AM56" s="0" t="n">
        <f aca="false">(_Rfb1+Rcea2_u)*Cc3ea_u*A56*2*Pi</f>
        <v>304.921173051634</v>
      </c>
      <c r="AN56" s="0" t="n">
        <f aca="false">AJ56*AL56/(AL56^2+AM56^2)+AK56*AM56/(AL56^2+AM56^2)</f>
        <v>53.6712658369417</v>
      </c>
      <c r="AO56" s="0" t="n">
        <f aca="false">AK56*AL56/(AL56^2+AM56^2)-AJ56*AM56/(AL56^2+AM56^2)</f>
        <v>-65.4147054943458</v>
      </c>
      <c r="AQ56" s="0" t="n">
        <f aca="false">Eadcg/(1+(Eadcg*A56/GBP)^2)</f>
        <v>91.3735270317252</v>
      </c>
      <c r="AR56" s="0" t="n">
        <f aca="false">-(A56*Eadcg*Eadcg/GBP)/(1+(Eadcg*A56/GBP)^2)</f>
        <v>-529.692336202911</v>
      </c>
      <c r="AT56" s="0" t="n">
        <f aca="false">-AR56*AH56+AG56*AQ56</f>
        <v>-5483723.51025342</v>
      </c>
      <c r="AU56" s="0" t="n">
        <f aca="false">AQ56*AH56+AG56*AR56</f>
        <v>-2341078.77181299</v>
      </c>
      <c r="AV56" s="0" t="n">
        <f aca="false">ATAN2(AT56,AU56)</f>
        <v>-2.73810188174892</v>
      </c>
      <c r="AW56" s="0" t="n">
        <f aca="false">AG56-AH56*AO56/_Rfb2+AG56*AN56/_Rfb2+AN56-AO56*AR56+AQ56*AN56</f>
        <v>-27390.1050709846</v>
      </c>
      <c r="AX56" s="0" t="n">
        <f aca="false">AH56+AH56*AN56/_Rfb2+AG56*AO56/_Rfb2+AO56+AO56*AQ56+AN56*AR56</f>
        <v>-45601.7024486433</v>
      </c>
      <c r="AY56" s="0" t="n">
        <f aca="false">ATAN2(AW56,AX56)</f>
        <v>-2.11168464693798</v>
      </c>
      <c r="BA56" s="0" t="n">
        <f aca="false">SQRT(AT56^2+AU56^2)/SQRT(AW56^2+AX56^2)</f>
        <v>112.087841504968</v>
      </c>
      <c r="BB56" s="0" t="n">
        <f aca="false">20*LOG(BA56)</f>
        <v>40.9911701192181</v>
      </c>
      <c r="BC56" s="0" t="n">
        <f aca="false">AV56-AY56</f>
        <v>-0.626417234810945</v>
      </c>
      <c r="BD56" s="0" t="n">
        <f aca="false">BC56*180/Pi-180</f>
        <v>-215.891063809934</v>
      </c>
      <c r="BF56" s="0" t="n">
        <f aca="false">20*LOG(BA56*J56*F56*C56)</f>
        <v>60.4653965243827</v>
      </c>
      <c r="BG56" s="0" t="n">
        <f aca="false">(180/Pi)*(D56+H56+BC56)</f>
        <v>-45.5158514905679</v>
      </c>
      <c r="BH56" s="0" t="n">
        <f aca="false">IF(BG56&gt;180,BG56-180,BG56+180)</f>
        <v>134.484148509432</v>
      </c>
      <c r="BI56" s="0" t="n">
        <f aca="false">IF(BH56&gt;180,BH56-360,BH56)</f>
        <v>134.484148509432</v>
      </c>
      <c r="BJ56" s="0" t="n">
        <f aca="false">SUM((BF57&lt;0)*(BF56&gt;0))*A56</f>
        <v>0</v>
      </c>
      <c r="BK56" s="0" t="n">
        <f aca="false">IF(BJ56&gt;0,BI56,0)</f>
        <v>0</v>
      </c>
      <c r="BM56" s="0" t="n">
        <f aca="false">20*LOG(J56*F56*C56)</f>
        <v>19.4742264051646</v>
      </c>
      <c r="BN56" s="0" t="n">
        <f aca="false">(H56+D56)*180/Pi</f>
        <v>-9.62478768063381</v>
      </c>
      <c r="BQ56" s="347" t="n">
        <f aca="false">20*LOG(BA56*7)</f>
        <v>57.8931309195033</v>
      </c>
      <c r="BR56" s="351"/>
      <c r="BS56" s="351"/>
      <c r="BT56" s="351" t="n">
        <v>288.403</v>
      </c>
      <c r="BU56" s="351" t="n">
        <v>25.7844</v>
      </c>
      <c r="BV56" s="351" t="n">
        <v>-268.0599</v>
      </c>
      <c r="BW56" s="349"/>
      <c r="BY56" s="351"/>
      <c r="BZ56" s="351"/>
      <c r="CA56" s="351"/>
      <c r="CC56" s="351"/>
    </row>
    <row r="57" customFormat="false" ht="12.75" hidden="false" customHeight="false" outlineLevel="0" collapsed="false">
      <c r="A57" s="0" t="n">
        <f aca="false">A56+500</f>
        <v>11500</v>
      </c>
      <c r="B57" s="0" t="n">
        <f aca="false">A57/1000</f>
        <v>11.5</v>
      </c>
      <c r="C57" s="0" t="n">
        <f aca="false">SQRT((A57/Fesr)^2+1)</f>
        <v>1.00000000261051</v>
      </c>
      <c r="D57" s="0" t="n">
        <f aca="false">ATAN(A57/Fesr)</f>
        <v>7.22566308242489E-005</v>
      </c>
      <c r="F57" s="0" t="n">
        <f aca="false">(Ro/(Ro+Rdcr))/SQRT((A57/(Q*Fo))^2+(1-(A57^2/Fo^2))^2)</f>
        <v>1.05102037165607</v>
      </c>
      <c r="G57" s="0" t="n">
        <f aca="false">-ATAN(A57*Fo/(Q*(Fo^2-A57^2)))</f>
        <v>-0.176648326080561</v>
      </c>
      <c r="H57" s="0" t="n">
        <f aca="false">IF(G57&gt;0,G57-Pi,G57)</f>
        <v>-0.176648326080561</v>
      </c>
      <c r="J57" s="0" t="n">
        <f aca="false">Vin/Vramp</f>
        <v>9</v>
      </c>
      <c r="M57" s="0" t="n">
        <f aca="false">1/(2*Pi*_Rfb1*(Cc1ea_u+Cc2ea_u)*A57)</f>
        <v>0.512576306839795</v>
      </c>
      <c r="N57" s="0" t="n">
        <f aca="false">-Pi/2</f>
        <v>-1.570796325</v>
      </c>
      <c r="O57" s="0" t="n">
        <f aca="false">SQRT(1+(A57/Fz1_u)^2)</f>
        <v>1.03871256340819</v>
      </c>
      <c r="P57" s="0" t="n">
        <f aca="false">ATAN2(Fz1_u,A57)</f>
        <v>0.2738743879527</v>
      </c>
      <c r="Q57" s="0" t="n">
        <f aca="false">SQRT(1+(A57/Fz2_u)^2)</f>
        <v>318.782794842099</v>
      </c>
      <c r="R57" s="0" t="n">
        <f aca="false">ATAN2(Fz2_u,A57)</f>
        <v>1.56765938949387</v>
      </c>
      <c r="S57" s="0" t="n">
        <f aca="false">1/SQRT(1+(A57/Fp1_u)^2)</f>
        <v>0.761168700307703</v>
      </c>
      <c r="T57" s="0" t="n">
        <f aca="false">-ATAN2(Fp1_u,A57)</f>
        <v>-0.705683102908176</v>
      </c>
      <c r="U57" s="0" t="n">
        <f aca="false">1/SQRT(1+(A57/Fp2_u)^2)</f>
        <v>0.999513171848298</v>
      </c>
      <c r="V57" s="0" t="n">
        <f aca="false">-ATAN2(Fp2_u,A57)</f>
        <v>-0.0312047322406477</v>
      </c>
      <c r="X57" s="0" t="n">
        <f aca="false">20*LOG(C57*J57*O57*Q57*F57*M57*S57*U57)</f>
        <v>61.7374374759809</v>
      </c>
      <c r="Y57" s="0" t="n">
        <f aca="false">(180/Pi)*(D57+H57+N57+P57+R57+T57+V57)</f>
        <v>-36.8255131318051</v>
      </c>
      <c r="Z57" s="0" t="n">
        <f aca="false">Y57+180</f>
        <v>143.174486868195</v>
      </c>
      <c r="AC57" s="0" t="n">
        <v>1</v>
      </c>
      <c r="AD57" s="0" t="n">
        <f aca="false">Rcea1_u*Cc1ea_u*A57*2*Pi</f>
        <v>0.2809337811336</v>
      </c>
      <c r="AE57" s="0" t="n">
        <f aca="false">-Rcea1_u*Cc1ea_u*Cc2ea_u*(A57*2*Pi)^2</f>
        <v>-3.04489928171379E-006</v>
      </c>
      <c r="AF57" s="0" t="n">
        <f aca="false">(Cc2ea_u+Cc1ea_u)*A57*2*Pi</f>
        <v>9.75464517825E-005</v>
      </c>
      <c r="AG57" s="0" t="n">
        <f aca="false">AC57*AE57/(AE57^2+AF57^2)+AD57*AF57/(AE57^2+AF57^2)</f>
        <v>2557.50804658751</v>
      </c>
      <c r="AH57" s="0" t="n">
        <f aca="false">AD57*AE57/(AE57^2+AF57^2)-AC57*AF57/(AE57^2+AF57^2)</f>
        <v>-10331.3584041078</v>
      </c>
      <c r="AJ57" s="0" t="n">
        <f aca="false">_Rfb1</f>
        <v>20000</v>
      </c>
      <c r="AK57" s="0" t="n">
        <f aca="false">_Rfb1*Rcea2_u*Cc3ea_u*A57*2*Pi</f>
        <v>17041.003843248</v>
      </c>
      <c r="AL57" s="0" t="n">
        <v>1</v>
      </c>
      <c r="AM57" s="0" t="n">
        <f aca="false">(_Rfb1+Rcea2_u)*Cc3ea_u*A57*2*Pi</f>
        <v>318.781226372162</v>
      </c>
      <c r="AN57" s="0" t="n">
        <f aca="false">AJ57*AL57/(AL57^2+AM57^2)+AK57*AM57/(AL57^2+AM57^2)</f>
        <v>53.6530167820825</v>
      </c>
      <c r="AO57" s="0" t="n">
        <f aca="false">AK57*AL57/(AL57^2+AM57^2)-AJ57*AM57/(AL57^2+AM57^2)</f>
        <v>-62.5706451104855</v>
      </c>
      <c r="AQ57" s="0" t="n">
        <f aca="false">Eadcg/(1+(Eadcg*A57/GBP)^2)</f>
        <v>83.8067445889604</v>
      </c>
      <c r="AR57" s="0" t="n">
        <f aca="false">-(A57*Eadcg*Eadcg/GBP)/(1+(Eadcg*A57/GBP)^2)</f>
        <v>-507.910775581394</v>
      </c>
      <c r="AT57" s="0" t="n">
        <f aca="false">-AR57*AH57+AG57*AQ57</f>
        <v>-5033071.8361952</v>
      </c>
      <c r="AU57" s="0" t="n">
        <f aca="false">AQ57*AH57+AG57*AR57</f>
        <v>-2164823.41052799</v>
      </c>
      <c r="AV57" s="0" t="n">
        <f aca="false">ATAN2(AT57,AU57)</f>
        <v>-2.73539356803755</v>
      </c>
      <c r="AW57" s="0" t="n">
        <f aca="false">AG57-AH57*AO57/_Rfb2+AG57*AN57/_Rfb2+AN57-AO57*AR57+AQ57*AN57</f>
        <v>-24901.808931573</v>
      </c>
      <c r="AX57" s="0" t="n">
        <f aca="false">AH57+AH57*AN57/_Rfb2+AG57*AO57/_Rfb2+AO57+AO57*AQ57+AN57*AR57</f>
        <v>-43210.1665522128</v>
      </c>
      <c r="AY57" s="0" t="n">
        <f aca="false">ATAN2(AW57,AX57)</f>
        <v>-2.0936033930601</v>
      </c>
      <c r="BA57" s="0" t="n">
        <f aca="false">SQRT(AT57^2+AU57^2)/SQRT(AW57^2+AX57^2)</f>
        <v>109.859058084674</v>
      </c>
      <c r="BB57" s="0" t="n">
        <f aca="false">20*LOG(BA57)</f>
        <v>40.8167174224922</v>
      </c>
      <c r="BC57" s="0" t="n">
        <f aca="false">AV57-AY57</f>
        <v>-0.641790174977448</v>
      </c>
      <c r="BD57" s="0" t="n">
        <f aca="false">BC57*180/Pi-180</f>
        <v>-216.771868401188</v>
      </c>
      <c r="BF57" s="0" t="n">
        <f aca="false">20*LOG(BA57*J57*F57*C57)</f>
        <v>60.3337903125025</v>
      </c>
      <c r="BG57" s="0" t="n">
        <f aca="false">(180/Pi)*(D57+H57+BC57)</f>
        <v>-46.8889319552276</v>
      </c>
      <c r="BH57" s="0" t="n">
        <f aca="false">IF(BG57&gt;180,BG57-180,BG57+180)</f>
        <v>133.111068044772</v>
      </c>
      <c r="BI57" s="0" t="n">
        <f aca="false">IF(BH57&gt;180,BH57-360,BH57)</f>
        <v>133.111068044772</v>
      </c>
      <c r="BJ57" s="0" t="n">
        <f aca="false">SUM((BF58&lt;0)*(BF57&gt;0))*A57</f>
        <v>0</v>
      </c>
      <c r="BK57" s="0" t="n">
        <f aca="false">IF(BJ57&gt;0,BI57,0)</f>
        <v>0</v>
      </c>
      <c r="BM57" s="0" t="n">
        <f aca="false">20*LOG(J57*F57*C57)</f>
        <v>19.5170728900103</v>
      </c>
      <c r="BN57" s="0" t="n">
        <f aca="false">(H57+D57)*180/Pi</f>
        <v>-10.1170635540392</v>
      </c>
      <c r="BQ57" s="347" t="n">
        <f aca="false">20*LOG(BA57*7)</f>
        <v>57.7186782227773</v>
      </c>
      <c r="BR57" s="351"/>
      <c r="BS57" s="351"/>
      <c r="BT57" s="351" t="n">
        <v>295.121</v>
      </c>
      <c r="BU57" s="351" t="n">
        <v>25.5811</v>
      </c>
      <c r="BV57" s="351" t="n">
        <v>-265.88</v>
      </c>
      <c r="BW57" s="349"/>
      <c r="BY57" s="351"/>
      <c r="BZ57" s="351"/>
      <c r="CA57" s="351"/>
      <c r="CC57" s="351"/>
    </row>
    <row r="58" customFormat="false" ht="12.75" hidden="false" customHeight="false" outlineLevel="0" collapsed="false">
      <c r="A58" s="0" t="n">
        <f aca="false">A57+500</f>
        <v>12000</v>
      </c>
      <c r="B58" s="0" t="n">
        <f aca="false">A58/1000</f>
        <v>12</v>
      </c>
      <c r="C58" s="0" t="n">
        <f aca="false">SQRT((A58/Fesr)^2+1)</f>
        <v>1.00000000284245</v>
      </c>
      <c r="D58" s="0" t="n">
        <f aca="false">ATAN(A58/Fesr)</f>
        <v>7.53982234571231E-005</v>
      </c>
      <c r="F58" s="0" t="n">
        <f aca="false">(Ro/(Ro+Rdcr))/SQRT((A58/(Q*Fo))^2+(1-(A58^2/Fo^2))^2)</f>
        <v>1.05645884094826</v>
      </c>
      <c r="G58" s="0" t="n">
        <f aca="false">-ATAN(A58*Fo/(Q*(Fo^2-A58^2)))</f>
        <v>-0.185380351013607</v>
      </c>
      <c r="H58" s="0" t="n">
        <f aca="false">IF(G58&gt;0,G58-Pi,G58)</f>
        <v>-0.185380351013607</v>
      </c>
      <c r="J58" s="0" t="n">
        <f aca="false">Vin/Vramp</f>
        <v>9</v>
      </c>
      <c r="M58" s="0" t="n">
        <f aca="false">1/(2*Pi*_Rfb1*(Cc1ea_u+Cc2ea_u)*A58)</f>
        <v>0.49121896072147</v>
      </c>
      <c r="N58" s="0" t="n">
        <f aca="false">-Pi/2</f>
        <v>-1.570796325</v>
      </c>
      <c r="O58" s="0" t="n">
        <f aca="false">SQRT(1+(A58/Fz1_u)^2)</f>
        <v>1.0420824928469</v>
      </c>
      <c r="P58" s="0" t="n">
        <f aca="false">ATAN2(Fz1_u,A58)</f>
        <v>0.285159031922161</v>
      </c>
      <c r="Q58" s="0" t="n">
        <f aca="false">SQRT(1+(A58/Fz2_u)^2)</f>
        <v>332.642782810016</v>
      </c>
      <c r="R58" s="0" t="n">
        <f aca="false">ATAN2(Fz2_u,A58)</f>
        <v>1.56779009441014</v>
      </c>
      <c r="S58" s="0" t="n">
        <f aca="false">1/SQRT(1+(A58/Fp1_u)^2)</f>
        <v>0.747332511647914</v>
      </c>
      <c r="T58" s="0" t="n">
        <f aca="false">-ATAN2(Fp1_u,A58)</f>
        <v>-0.726757943062939</v>
      </c>
      <c r="U58" s="0" t="n">
        <f aca="false">1/SQRT(1+(A58/Fp2_u)^2)</f>
        <v>0.999469953068963</v>
      </c>
      <c r="V58" s="0" t="n">
        <f aca="false">-ATAN2(Fp2_u,A58)</f>
        <v>-0.0325605209606663</v>
      </c>
      <c r="X58" s="0" t="n">
        <f aca="false">20*LOG(C58*J58*O58*Q58*F58*M58*S58*U58)</f>
        <v>61.6506807589663</v>
      </c>
      <c r="Y58" s="0" t="n">
        <f aca="false">(180/Pi)*(D58+H58+N58+P58+R58+T58+V58)</f>
        <v>-37.9567703618935</v>
      </c>
      <c r="Z58" s="0" t="n">
        <f aca="false">Y58+180</f>
        <v>142.043229638106</v>
      </c>
      <c r="AC58" s="0" t="n">
        <v>1</v>
      </c>
      <c r="AD58" s="0" t="n">
        <f aca="false">Rcea1_u*Cc1ea_u*A58*2*Pi</f>
        <v>0.2931482933568</v>
      </c>
      <c r="AE58" s="0" t="n">
        <f aca="false">-Rcea1_u*Cc1ea_u*Cc2ea_u*(A58*2*Pi)^2</f>
        <v>-3.31542908557116E-006</v>
      </c>
      <c r="AF58" s="0" t="n">
        <f aca="false">(Cc2ea_u+Cc1ea_u)*A58*2*Pi</f>
        <v>0.00010178760186</v>
      </c>
      <c r="AG58" s="0" t="n">
        <f aca="false">AC58*AE58/(AE58^2+AF58^2)+AD58*AF58/(AE58^2+AF58^2)</f>
        <v>2557.28687894445</v>
      </c>
      <c r="AH58" s="0" t="n">
        <f aca="false">AD58*AE58/(AE58^2+AF58^2)-AC58*AF58/(AE58^2+AF58^2)</f>
        <v>-9907.67524600566</v>
      </c>
      <c r="AJ58" s="0" t="n">
        <f aca="false">_Rfb1</f>
        <v>20000</v>
      </c>
      <c r="AK58" s="0" t="n">
        <f aca="false">_Rfb1*Rcea2_u*Cc3ea_u*A58*2*Pi</f>
        <v>17781.917053824</v>
      </c>
      <c r="AL58" s="0" t="n">
        <v>1</v>
      </c>
      <c r="AM58" s="0" t="n">
        <f aca="false">(_Rfb1+Rcea2_u)*Cc3ea_u*A58*2*Pi</f>
        <v>332.641279692691</v>
      </c>
      <c r="AN58" s="0" t="n">
        <f aca="false">AJ58*AL58/(AL58^2+AM58^2)+AK58*AM58/(AL58^2+AM58^2)</f>
        <v>53.6370009559611</v>
      </c>
      <c r="AO58" s="0" t="n">
        <f aca="false">AK58*AL58/(AL58^2+AM58^2)-AJ58*AM58/(AL58^2+AM58^2)</f>
        <v>-59.9635830449888</v>
      </c>
      <c r="AQ58" s="0" t="n">
        <f aca="false">Eadcg/(1+(Eadcg*A58/GBP)^2)</f>
        <v>77.1351657903539</v>
      </c>
      <c r="AR58" s="0" t="n">
        <f aca="false">-(A58*Eadcg*Eadcg/GBP)/(1+(Eadcg*A58/GBP)^2)</f>
        <v>-487.802788458198</v>
      </c>
      <c r="AT58" s="0" t="n">
        <f aca="false">-AR58*AH58+AG58*AQ58</f>
        <v>-4635734.86475895</v>
      </c>
      <c r="AU58" s="0" t="n">
        <f aca="false">AQ58*AH58+AG58*AR58</f>
        <v>-2011681.8431343</v>
      </c>
      <c r="AV58" s="0" t="n">
        <f aca="false">ATAN2(AT58,AU58)</f>
        <v>-2.7321649117251</v>
      </c>
      <c r="AW58" s="0" t="n">
        <f aca="false">AG58-AH58*AO58/_Rfb2+AG58*AN58/_Rfb2+AN58-AO58*AR58+AQ58*AN58</f>
        <v>-22707.8007030362</v>
      </c>
      <c r="AX58" s="0" t="n">
        <f aca="false">AH58+AH58*AN58/_Rfb2+AG58*AO58/_Rfb2+AO58+AO58*AQ58+AN58*AR58</f>
        <v>-41065.3613113119</v>
      </c>
      <c r="AY58" s="0" t="n">
        <f aca="false">ATAN2(AW58,AX58)</f>
        <v>-2.07591481667014</v>
      </c>
      <c r="BA58" s="0" t="n">
        <f aca="false">SQRT(AT58^2+AU58^2)/SQRT(AW58^2+AX58^2)</f>
        <v>107.689818249556</v>
      </c>
      <c r="BB58" s="0" t="n">
        <f aca="false">20*LOG(BA58)</f>
        <v>40.6434928798752</v>
      </c>
      <c r="BC58" s="0" t="n">
        <f aca="false">AV58-AY58</f>
        <v>-0.656250095054955</v>
      </c>
      <c r="BD58" s="0" t="n">
        <f aca="false">BC58*180/Pi-180</f>
        <v>-217.600360794673</v>
      </c>
      <c r="BF58" s="0" t="n">
        <f aca="false">20*LOG(BA58*J58*F58*C58)</f>
        <v>60.2053947302561</v>
      </c>
      <c r="BG58" s="0" t="n">
        <f aca="false">(180/Pi)*(D58+H58+BC58)</f>
        <v>-48.2175525245512</v>
      </c>
      <c r="BH58" s="0" t="n">
        <f aca="false">IF(BG58&gt;180,BG58-180,BG58+180)</f>
        <v>131.782447475449</v>
      </c>
      <c r="BI58" s="0" t="n">
        <f aca="false">IF(BH58&gt;180,BH58-360,BH58)</f>
        <v>131.782447475449</v>
      </c>
      <c r="BJ58" s="0" t="n">
        <f aca="false">SUM((BF59&lt;0)*(BF58&gt;0))*A58</f>
        <v>0</v>
      </c>
      <c r="BK58" s="0" t="n">
        <f aca="false">IF(BJ58&gt;0,BI58,0)</f>
        <v>0</v>
      </c>
      <c r="BM58" s="0" t="n">
        <f aca="false">20*LOG(J58*F58*C58)</f>
        <v>19.561901850381</v>
      </c>
      <c r="BN58" s="0" t="n">
        <f aca="false">(H58+D58)*180/Pi</f>
        <v>-10.6171917298785</v>
      </c>
      <c r="BQ58" s="347" t="n">
        <f aca="false">20*LOG(BA58*7)</f>
        <v>57.5454536801603</v>
      </c>
      <c r="BR58" s="351"/>
      <c r="BS58" s="351"/>
      <c r="BT58" s="351" t="n">
        <v>301.995</v>
      </c>
      <c r="BU58" s="351" t="n">
        <v>24.917</v>
      </c>
      <c r="BV58" s="351" t="n">
        <v>-267.1358</v>
      </c>
      <c r="BW58" s="349"/>
      <c r="BY58" s="351"/>
      <c r="BZ58" s="351"/>
      <c r="CA58" s="351"/>
      <c r="CC58" s="351"/>
    </row>
    <row r="59" customFormat="false" ht="12.75" hidden="false" customHeight="false" outlineLevel="0" collapsed="false">
      <c r="A59" s="0" t="n">
        <f aca="false">A58+500</f>
        <v>12500</v>
      </c>
      <c r="B59" s="0" t="n">
        <f aca="false">A59/1000</f>
        <v>12.5</v>
      </c>
      <c r="C59" s="0" t="n">
        <f aca="false">SQRT((A59/Fesr)^2+1)</f>
        <v>1.00000000308425</v>
      </c>
      <c r="D59" s="0" t="n">
        <f aca="false">ATAN(A59/Fesr)</f>
        <v>7.8539816088509E-005</v>
      </c>
      <c r="F59" s="0" t="n">
        <f aca="false">(Ro/(Ro+Rdcr))/SQRT((A59/(Q*Fo))^2+(1-(A59^2/Fo^2))^2)</f>
        <v>1.06216879642254</v>
      </c>
      <c r="G59" s="0" t="n">
        <f aca="false">-ATAN(A59*Fo/(Q*(Fo^2-A59^2)))</f>
        <v>-0.194257569440375</v>
      </c>
      <c r="H59" s="0" t="n">
        <f aca="false">IF(G59&gt;0,G59-Pi,G59)</f>
        <v>-0.194257569440375</v>
      </c>
      <c r="J59" s="0" t="n">
        <f aca="false">Vin/Vramp</f>
        <v>9</v>
      </c>
      <c r="M59" s="0" t="n">
        <f aca="false">1/(2*Pi*_Rfb1*(Cc1ea_u+Cc2ea_u)*A59)</f>
        <v>0.471570202292611</v>
      </c>
      <c r="N59" s="0" t="n">
        <f aca="false">-Pi/2</f>
        <v>-1.570796325</v>
      </c>
      <c r="O59" s="0" t="n">
        <f aca="false">SQRT(1+(A59/Fz1_u)^2)</f>
        <v>1.04558425917364</v>
      </c>
      <c r="P59" s="0" t="n">
        <f aca="false">ATAN2(Fz1_u,A59)</f>
        <v>0.296369508842072</v>
      </c>
      <c r="Q59" s="0" t="n">
        <f aca="false">SQRT(1+(A59/Fz2_u)^2)</f>
        <v>346.502776006107</v>
      </c>
      <c r="R59" s="0" t="n">
        <f aca="false">ATAN2(Fz2_u,A59)</f>
        <v>1.56791034302392</v>
      </c>
      <c r="S59" s="0" t="n">
        <f aca="false">1/SQRT(1+(A59/Fp1_u)^2)</f>
        <v>0.733681816474831</v>
      </c>
      <c r="T59" s="0" t="n">
        <f aca="false">-ATAN2(Fp1_u,A59)</f>
        <v>-0.747071634120241</v>
      </c>
      <c r="U59" s="0" t="n">
        <f aca="false">1/SQRT(1+(A59/Fp2_u)^2)</f>
        <v>0.999424901161344</v>
      </c>
      <c r="V59" s="0" t="n">
        <f aca="false">-ATAN2(Fp2_u,A59)</f>
        <v>-0.0339161899459197</v>
      </c>
      <c r="X59" s="0" t="n">
        <f aca="false">20*LOG(C59*J59*O59*Q59*F59*M59*S59*U59)</f>
        <v>61.5661216209368</v>
      </c>
      <c r="Y59" s="0" t="n">
        <f aca="false">(180/Pi)*(D59+H59+N59+P59+R59+T59+V59)</f>
        <v>-39.0575776361082</v>
      </c>
      <c r="Z59" s="0" t="n">
        <f aca="false">Y59+180</f>
        <v>140.942422363892</v>
      </c>
      <c r="AC59" s="0" t="n">
        <v>1</v>
      </c>
      <c r="AD59" s="0" t="n">
        <f aca="false">Rcea1_u*Cc1ea_u*A59*2*Pi</f>
        <v>0.30536280558</v>
      </c>
      <c r="AE59" s="0" t="n">
        <f aca="false">-Rcea1_u*Cc1ea_u*Cc2ea_u*(A59*2*Pi)^2</f>
        <v>-3.59747079597565E-006</v>
      </c>
      <c r="AF59" s="0" t="n">
        <f aca="false">(Cc2ea_u+Cc1ea_u)*A59*2*Pi</f>
        <v>0.0001060287519375</v>
      </c>
      <c r="AG59" s="0" t="n">
        <f aca="false">AC59*AE59/(AE59^2+AF59^2)+AD59*AF59/(AE59^2+AF59^2)</f>
        <v>2557.05634063709</v>
      </c>
      <c r="AH59" s="0" t="n">
        <f aca="false">AD59*AE59/(AE59^2+AF59^2)-AC59*AF59/(AE59^2+AF59^2)</f>
        <v>-9518.16292343035</v>
      </c>
      <c r="AJ59" s="0" t="n">
        <f aca="false">_Rfb1</f>
        <v>20000</v>
      </c>
      <c r="AK59" s="0" t="n">
        <f aca="false">_Rfb1*Rcea2_u*Cc3ea_u*A59*2*Pi</f>
        <v>18522.8302644</v>
      </c>
      <c r="AL59" s="0" t="n">
        <v>1</v>
      </c>
      <c r="AM59" s="0" t="n">
        <f aca="false">(_Rfb1+Rcea2_u)*Cc3ea_u*A59*2*Pi</f>
        <v>346.50133301322</v>
      </c>
      <c r="AN59" s="0" t="n">
        <f aca="false">AJ59*AL59/(AL59^2+AM59^2)+AK59*AM59/(AL59^2+AM59^2)</f>
        <v>53.6228682970205</v>
      </c>
      <c r="AO59" s="0" t="n">
        <f aca="false">AK59*AL59/(AL59^2+AM59^2)-AJ59*AM59/(AL59^2+AM59^2)</f>
        <v>-57.5650805099268</v>
      </c>
      <c r="AQ59" s="0" t="n">
        <f aca="false">Eadcg/(1+(Eadcg*A59/GBP)^2)</f>
        <v>71.2239862879185</v>
      </c>
      <c r="AR59" s="0" t="n">
        <f aca="false">-(A59*Eadcg*Eadcg/GBP)/(1+(Eadcg*A59/GBP)^2)</f>
        <v>-469.188009671663</v>
      </c>
      <c r="AT59" s="0" t="n">
        <f aca="false">-AR59*AH59+AG59*AQ59</f>
        <v>-4283684.17203193</v>
      </c>
      <c r="AU59" s="0" t="n">
        <f aca="false">AQ59*AH59+AG59*AR59</f>
        <v>-1877661.6806264</v>
      </c>
      <c r="AV59" s="0" t="n">
        <f aca="false">ATAN2(AT59,AU59)</f>
        <v>-2.72848686571813</v>
      </c>
      <c r="AW59" s="0" t="n">
        <f aca="false">AG59-AH59*AO59/_Rfb2+AG59*AN59/_Rfb2+AN59-AO59*AR59+AQ59*AN59</f>
        <v>-20763.790609627</v>
      </c>
      <c r="AX59" s="0" t="n">
        <f aca="false">AH59+AH59*AN59/_Rfb2+AG59*AO59/_Rfb2+AO59+AO59*AQ59+AN59*AR59</f>
        <v>-39130.8641159524</v>
      </c>
      <c r="AY59" s="0" t="n">
        <f aca="false">ATAN2(AW59,AX59)</f>
        <v>-2.05864223647256</v>
      </c>
      <c r="BA59" s="0" t="n">
        <f aca="false">SQRT(AT59^2+AU59^2)/SQRT(AW59^2+AX59^2)</f>
        <v>105.582109581636</v>
      </c>
      <c r="BB59" s="0" t="n">
        <f aca="false">20*LOG(BA59)</f>
        <v>40.4718067033103</v>
      </c>
      <c r="BC59" s="0" t="n">
        <f aca="false">AV59-AY59</f>
        <v>-0.669844629245569</v>
      </c>
      <c r="BD59" s="0" t="n">
        <f aca="false">BC59*180/Pi-180</f>
        <v>-218.379270229131</v>
      </c>
      <c r="BF59" s="0" t="n">
        <f aca="false">20*LOG(BA59*J59*F59*C59)</f>
        <v>60.0805276969155</v>
      </c>
      <c r="BG59" s="0" t="n">
        <f aca="false">(180/Pi)*(D59+H59+BC59)</f>
        <v>-49.5049091092615</v>
      </c>
      <c r="BH59" s="0" t="n">
        <f aca="false">IF(BG59&gt;180,BG59-180,BG59+180)</f>
        <v>130.495090890738</v>
      </c>
      <c r="BI59" s="0" t="n">
        <f aca="false">IF(BH59&gt;180,BH59-360,BH59)</f>
        <v>130.495090890738</v>
      </c>
      <c r="BJ59" s="0" t="n">
        <f aca="false">SUM((BF60&lt;0)*(BF59&gt;0))*A59</f>
        <v>0</v>
      </c>
      <c r="BK59" s="0" t="n">
        <f aca="false">IF(BJ59&gt;0,BI59,0)</f>
        <v>0</v>
      </c>
      <c r="BM59" s="0" t="n">
        <f aca="false">20*LOG(J59*F59*C59)</f>
        <v>19.6087209936052</v>
      </c>
      <c r="BN59" s="0" t="n">
        <f aca="false">(H59+D59)*180/Pi</f>
        <v>-11.1256388801303</v>
      </c>
      <c r="BQ59" s="347" t="n">
        <f aca="false">20*LOG(BA59*7)</f>
        <v>57.3737675035954</v>
      </c>
      <c r="BR59" s="351"/>
      <c r="BS59" s="351"/>
      <c r="BT59" s="351" t="n">
        <v>309.03</v>
      </c>
      <c r="BU59" s="351" t="n">
        <v>24.8252</v>
      </c>
      <c r="BV59" s="351" t="n">
        <v>-265.0361</v>
      </c>
      <c r="BW59" s="349"/>
      <c r="BY59" s="351"/>
      <c r="BZ59" s="351"/>
      <c r="CA59" s="351"/>
      <c r="CC59" s="351"/>
    </row>
    <row r="60" customFormat="false" ht="12.75" hidden="false" customHeight="false" outlineLevel="0" collapsed="false">
      <c r="A60" s="0" t="n">
        <f aca="false">A59+500</f>
        <v>13000</v>
      </c>
      <c r="B60" s="0" t="n">
        <f aca="false">A60/1000</f>
        <v>13</v>
      </c>
      <c r="C60" s="0" t="n">
        <f aca="false">SQRT((A60/Fesr)^2+1)</f>
        <v>1.00000000333593</v>
      </c>
      <c r="D60" s="0" t="n">
        <f aca="false">ATAN(A60/Fesr)</f>
        <v>8.16814087183446E-005</v>
      </c>
      <c r="F60" s="0" t="n">
        <f aca="false">(Ro/(Ro+Rdcr))/SQRT((A60/(Q*Fo))^2+(1-(A60^2/Fo^2))^2)</f>
        <v>1.06815523806128</v>
      </c>
      <c r="G60" s="0" t="n">
        <f aca="false">-ATAN(A60*Fo/(Q*(Fo^2-A60^2)))</f>
        <v>-0.20328843814565</v>
      </c>
      <c r="H60" s="0" t="n">
        <f aca="false">IF(G60&gt;0,G60-Pi,G60)</f>
        <v>-0.20328843814565</v>
      </c>
      <c r="J60" s="0" t="n">
        <f aca="false">Vin/Vramp</f>
        <v>9</v>
      </c>
      <c r="M60" s="0" t="n">
        <f aca="false">1/(2*Pi*_Rfb1*(Cc1ea_u+Cc2ea_u)*A60)</f>
        <v>0.453432886819819</v>
      </c>
      <c r="N60" s="0" t="n">
        <f aca="false">-Pi/2</f>
        <v>-1.570796325</v>
      </c>
      <c r="O60" s="0" t="n">
        <f aca="false">SQRT(1+(A60/Fz1_u)^2)</f>
        <v>1.0492165423701</v>
      </c>
      <c r="P60" s="0" t="n">
        <f aca="false">ATAN2(Fz1_u,A60)</f>
        <v>0.307503758014235</v>
      </c>
      <c r="Q60" s="0" t="n">
        <f aca="false">SQRT(1+(A60/Fz2_u)^2)</f>
        <v>360.362773827127</v>
      </c>
      <c r="R60" s="0" t="n">
        <f aca="false">ATAN2(Fz2_u,A60)</f>
        <v>1.56802134181849</v>
      </c>
      <c r="S60" s="0" t="n">
        <f aca="false">1/SQRT(1+(A60/Fp1_u)^2)</f>
        <v>0.720239523351665</v>
      </c>
      <c r="T60" s="0" t="n">
        <f aca="false">-ATAN2(Fp1_u,A60)</f>
        <v>-0.766648798623921</v>
      </c>
      <c r="U60" s="0" t="n">
        <f aca="false">1/SQRT(1+(A60/Fp2_u)^2)</f>
        <v>0.999378016870071</v>
      </c>
      <c r="V60" s="0" t="n">
        <f aca="false">-ATAN2(Fp2_u,A60)</f>
        <v>-0.0352717342299457</v>
      </c>
      <c r="X60" s="0" t="n">
        <f aca="false">20*LOG(C60*J60*O60*Q60*F60*M60*S60*U60)</f>
        <v>61.4840338667918</v>
      </c>
      <c r="Y60" s="0" t="n">
        <f aca="false">(180/Pi)*(D60+H60+N60+P60+R60+T60+V60)</f>
        <v>-40.1298789187237</v>
      </c>
      <c r="Z60" s="0" t="n">
        <f aca="false">Y60+180</f>
        <v>139.870121081276</v>
      </c>
      <c r="AC60" s="0" t="n">
        <v>1</v>
      </c>
      <c r="AD60" s="0" t="n">
        <f aca="false">Rcea1_u*Cc1ea_u*A60*2*Pi</f>
        <v>0.3175773178032</v>
      </c>
      <c r="AE60" s="0" t="n">
        <f aca="false">-Rcea1_u*Cc1ea_u*Cc2ea_u*(A60*2*Pi)^2</f>
        <v>-3.89102441292727E-006</v>
      </c>
      <c r="AF60" s="0" t="n">
        <f aca="false">(Cc2ea_u+Cc1ea_u)*A60*2*Pi</f>
        <v>0.000110269902015</v>
      </c>
      <c r="AG60" s="0" t="n">
        <f aca="false">AC60*AE60/(AE60^2+AF60^2)+AD60*AF60/(AE60^2+AF60^2)</f>
        <v>2556.81643674408</v>
      </c>
      <c r="AH60" s="0" t="n">
        <f aca="false">AD60*AE60/(AE60^2+AF60^2)-AC60*AF60/(AE60^2+AF60^2)</f>
        <v>-9158.87850374041</v>
      </c>
      <c r="AJ60" s="0" t="n">
        <f aca="false">_Rfb1</f>
        <v>20000</v>
      </c>
      <c r="AK60" s="0" t="n">
        <f aca="false">_Rfb1*Rcea2_u*Cc3ea_u*A60*2*Pi</f>
        <v>19263.743474976</v>
      </c>
      <c r="AL60" s="0" t="n">
        <v>1</v>
      </c>
      <c r="AM60" s="0" t="n">
        <f aca="false">(_Rfb1+Rcea2_u)*Cc3ea_u*A60*2*Pi</f>
        <v>360.361386333749</v>
      </c>
      <c r="AN60" s="0" t="n">
        <f aca="false">AJ60*AL60/(AL60^2+AM60^2)+AK60*AM60/(AL60^2+AM60^2)</f>
        <v>53.6103347399602</v>
      </c>
      <c r="AO60" s="0" t="n">
        <f aca="false">AK60*AL60/(AL60^2+AM60^2)-AJ60*AM60/(AL60^2+AM60^2)</f>
        <v>-55.3510737323746</v>
      </c>
      <c r="AQ60" s="0" t="n">
        <f aca="false">Eadcg/(1+(Eadcg*A60/GBP)^2)</f>
        <v>65.9626740133203</v>
      </c>
      <c r="AR60" s="0" t="n">
        <f aca="false">-(A60*Eadcg*Eadcg/GBP)/(1+(Eadcg*A60/GBP)^2)</f>
        <v>-451.910279665258</v>
      </c>
      <c r="AT60" s="0" t="n">
        <f aca="false">-AR60*AH60+AG60*AQ60</f>
        <v>-3970336.8969166</v>
      </c>
      <c r="AU60" s="0" t="n">
        <f aca="false">AQ60*AH60+AG60*AR60</f>
        <v>-1759595.74805158</v>
      </c>
      <c r="AV60" s="0" t="n">
        <f aca="false">ATAN2(AT60,AU60)</f>
        <v>-2.72442009745659</v>
      </c>
      <c r="AW60" s="0" t="n">
        <f aca="false">AG60-AH60*AO60/_Rfb2+AG60*AN60/_Rfb2+AN60-AO60*AR60+AQ60*AN60</f>
        <v>-19033.4582929344</v>
      </c>
      <c r="AX60" s="0" t="n">
        <f aca="false">AH60+AH60*AN60/_Rfb2+AG60*AO60/_Rfb2+AO60+AO60*AQ60+AN60*AR60</f>
        <v>-37377.0356605445</v>
      </c>
      <c r="AY60" s="0" t="n">
        <f aca="false">ATAN2(AW60,AX60)</f>
        <v>-2.04179958836457</v>
      </c>
      <c r="BA60" s="0" t="n">
        <f aca="false">SQRT(AT60^2+AU60^2)/SQRT(AW60^2+AX60^2)</f>
        <v>103.53713623075</v>
      </c>
      <c r="BB60" s="0" t="n">
        <f aca="false">20*LOG(BA60)</f>
        <v>40.3019229702313</v>
      </c>
      <c r="BC60" s="0" t="n">
        <f aca="false">AV60-AY60</f>
        <v>-0.682620509092022</v>
      </c>
      <c r="BD60" s="0" t="n">
        <f aca="false">BC60*180/Pi-180</f>
        <v>-219.111274224736</v>
      </c>
      <c r="BF60" s="0" t="n">
        <f aca="false">20*LOG(BA60*J60*F60*C60)</f>
        <v>59.9594606788113</v>
      </c>
      <c r="BG60" s="0" t="n">
        <f aca="false">(180/Pi)*(D60+H60+BC60)</f>
        <v>-50.7541637676074</v>
      </c>
      <c r="BH60" s="0" t="n">
        <f aca="false">IF(BG60&gt;180,BG60-180,BG60+180)</f>
        <v>129.245836232393</v>
      </c>
      <c r="BI60" s="0" t="n">
        <f aca="false">IF(BH60&gt;180,BH60-360,BH60)</f>
        <v>129.245836232393</v>
      </c>
      <c r="BJ60" s="0" t="n">
        <f aca="false">SUM((BF61&lt;0)*(BF60&gt;0))*A60</f>
        <v>0</v>
      </c>
      <c r="BK60" s="0" t="n">
        <f aca="false">IF(BJ60&gt;0,BI60,0)</f>
        <v>0</v>
      </c>
      <c r="BM60" s="0" t="n">
        <f aca="false">20*LOG(J60*F60*C60)</f>
        <v>19.6575377085801</v>
      </c>
      <c r="BN60" s="0" t="n">
        <f aca="false">(H60+D60)*180/Pi</f>
        <v>-11.6428895428718</v>
      </c>
      <c r="BQ60" s="347" t="n">
        <f aca="false">20*LOG(BA60*7)</f>
        <v>57.2038837705164</v>
      </c>
      <c r="BR60" s="351"/>
      <c r="BS60" s="351"/>
      <c r="BT60" s="351" t="n">
        <v>316.228</v>
      </c>
      <c r="BU60" s="351" t="n">
        <v>24.722</v>
      </c>
      <c r="BV60" s="351" t="n">
        <v>-265.2184</v>
      </c>
      <c r="BW60" s="349"/>
      <c r="BY60" s="351"/>
      <c r="BZ60" s="351"/>
      <c r="CA60" s="351"/>
      <c r="CC60" s="351"/>
    </row>
    <row r="61" customFormat="false" ht="12.75" hidden="false" customHeight="false" outlineLevel="0" collapsed="false">
      <c r="A61" s="0" t="n">
        <f aca="false">A60+500</f>
        <v>13500</v>
      </c>
      <c r="B61" s="0" t="n">
        <f aca="false">A61/1000</f>
        <v>13.5</v>
      </c>
      <c r="C61" s="0" t="n">
        <f aca="false">SQRT((A61/Fesr)^2+1)</f>
        <v>1.00000000359747</v>
      </c>
      <c r="D61" s="0" t="n">
        <f aca="false">ATAN(A61/Fesr)</f>
        <v>8.48230013465678E-005</v>
      </c>
      <c r="F61" s="0" t="n">
        <f aca="false">(Ro/(Ro+Rdcr))/SQRT((A61/(Q*Fo))^2+(1-(A61^2/Fo^2))^2)</f>
        <v>1.07442334565288</v>
      </c>
      <c r="G61" s="0" t="n">
        <f aca="false">-ATAN(A61*Fo/(Q*(Fo^2-A61^2)))</f>
        <v>-0.212481745585887</v>
      </c>
      <c r="H61" s="0" t="n">
        <f aca="false">IF(G61&gt;0,G61-Pi,G61)</f>
        <v>-0.212481745585887</v>
      </c>
      <c r="J61" s="0" t="n">
        <f aca="false">Vin/Vramp</f>
        <v>9</v>
      </c>
      <c r="M61" s="0" t="n">
        <f aca="false">1/(2*Pi*_Rfb1*(Cc1ea_u+Cc2ea_u)*A61)</f>
        <v>0.436639076196862</v>
      </c>
      <c r="N61" s="0" t="n">
        <f aca="false">-Pi/2</f>
        <v>-1.570796325</v>
      </c>
      <c r="O61" s="0" t="n">
        <f aca="false">SQRT(1+(A61/Fz1_u)^2)</f>
        <v>1.05297799177009</v>
      </c>
      <c r="P61" s="0" t="n">
        <f aca="false">ATAN2(Fz1_u,A61)</f>
        <v>0.318559822240436</v>
      </c>
      <c r="Q61" s="0" t="n">
        <f aca="false">SQRT(1+(A61/Fz2_u)^2)</f>
        <v>374.222775759199</v>
      </c>
      <c r="R61" s="0" t="n">
        <f aca="false">ATAN2(Fz2_u,A61)</f>
        <v>1.56812411854117</v>
      </c>
      <c r="S61" s="0" t="n">
        <f aca="false">1/SQRT(1+(A61/Fp1_u)^2)</f>
        <v>0.707024466630505</v>
      </c>
      <c r="T61" s="0" t="n">
        <f aca="false">-ATAN2(Fp1_u,A61)</f>
        <v>-0.78551456698435</v>
      </c>
      <c r="U61" s="0" t="n">
        <f aca="false">1/SQRT(1+(A61/Fp2_u)^2)</f>
        <v>0.999329300969873</v>
      </c>
      <c r="V61" s="0" t="n">
        <f aca="false">-ATAN2(Fp2_u,A61)</f>
        <v>-0.0366271488490292</v>
      </c>
      <c r="X61" s="0" t="n">
        <f aca="false">20*LOG(C61*J61*O61*Q61*F61*M61*S61*U61)</f>
        <v>61.4046624193818</v>
      </c>
      <c r="Y61" s="0" t="n">
        <f aca="false">(180/Pi)*(D61+H61+N61+P61+R61+T61+V61)</f>
        <v>-41.1756705868716</v>
      </c>
      <c r="Z61" s="0" t="n">
        <f aca="false">Y61+180</f>
        <v>138.824329413128</v>
      </c>
      <c r="AC61" s="0" t="n">
        <v>1</v>
      </c>
      <c r="AD61" s="0" t="n">
        <f aca="false">Rcea1_u*Cc1ea_u*A61*2*Pi</f>
        <v>0.3297918300264</v>
      </c>
      <c r="AE61" s="0" t="n">
        <f aca="false">-Rcea1_u*Cc1ea_u*Cc2ea_u*(A61*2*Pi)^2</f>
        <v>-4.196089936426E-006</v>
      </c>
      <c r="AF61" s="0" t="n">
        <f aca="false">(Cc2ea_u+Cc1ea_u)*A61*2*Pi</f>
        <v>0.0001145110520925</v>
      </c>
      <c r="AG61" s="0" t="n">
        <f aca="false">AC61*AE61/(AE61^2+AF61^2)+AD61*AF61/(AE61^2+AF61^2)</f>
        <v>2556.56717254895</v>
      </c>
      <c r="AH61" s="0" t="n">
        <f aca="false">AD61*AE61/(AE61^2+AF61^2)-AC61*AF61/(AE61^2+AF61^2)</f>
        <v>-8826.46318687284</v>
      </c>
      <c r="AJ61" s="0" t="n">
        <f aca="false">_Rfb1</f>
        <v>20000</v>
      </c>
      <c r="AK61" s="0" t="n">
        <f aca="false">_Rfb1*Rcea2_u*Cc3ea_u*A61*2*Pi</f>
        <v>20004.656685552</v>
      </c>
      <c r="AL61" s="0" t="n">
        <v>1</v>
      </c>
      <c r="AM61" s="0" t="n">
        <f aca="false">(_Rfb1+Rcea2_u)*Cc3ea_u*A61*2*Pi</f>
        <v>374.221439654278</v>
      </c>
      <c r="AN61" s="0" t="n">
        <f aca="false">AJ61*AL61/(AL61^2+AM61^2)+AK61*AM61/(AL61^2+AM61^2)</f>
        <v>53.5991678293134</v>
      </c>
      <c r="AO61" s="0" t="n">
        <f aca="false">AK61*AL61/(AL61^2+AM61^2)-AJ61*AM61/(AL61^2+AM61^2)</f>
        <v>-53.3010638048907</v>
      </c>
      <c r="AQ61" s="0" t="n">
        <f aca="false">Eadcg/(1+(Eadcg*A61/GBP)^2)</f>
        <v>61.2599435464047</v>
      </c>
      <c r="AR61" s="0" t="n">
        <f aca="false">-(A61*Eadcg*Eadcg/GBP)/(1+(Eadcg*A61/GBP)^2)</f>
        <v>-435.833868360896</v>
      </c>
      <c r="AT61" s="0" t="n">
        <f aca="false">-AR61*AH61+AG61*AQ61</f>
        <v>-3690256.43401689</v>
      </c>
      <c r="AU61" s="0" t="n">
        <f aca="false">AQ61*AH61+AG61*AR61</f>
        <v>-1654947.19707874</v>
      </c>
      <c r="AV61" s="0" t="n">
        <f aca="false">ATAN2(AT61,AU61)</f>
        <v>-2.72001679223431</v>
      </c>
      <c r="AW61" s="0" t="n">
        <f aca="false">AG61-AH61*AO61/_Rfb2+AG61*AN61/_Rfb2+AN61-AO61*AR61+AQ61*AN61</f>
        <v>-17486.8039921462</v>
      </c>
      <c r="AX61" s="0" t="n">
        <f aca="false">AH61+AH61*AN61/_Rfb2+AG61*AO61/_Rfb2+AO61+AO61*AQ61+AN61*AR61</f>
        <v>-35779.5285405583</v>
      </c>
      <c r="AY61" s="0" t="n">
        <f aca="false">ATAN2(AW61,AX61)</f>
        <v>-2.02539355948062</v>
      </c>
      <c r="BA61" s="0" t="n">
        <f aca="false">SQRT(AT61^2+AU61^2)/SQRT(AW61^2+AX61^2)</f>
        <v>101.555445868496</v>
      </c>
      <c r="BB61" s="0" t="n">
        <f aca="false">20*LOG(BA61)</f>
        <v>40.1340643445205</v>
      </c>
      <c r="BC61" s="0" t="n">
        <f aca="false">AV61-AY61</f>
        <v>-0.694623232753688</v>
      </c>
      <c r="BD61" s="0" t="n">
        <f aca="false">BC61*180/Pi-180</f>
        <v>-219.798979633997</v>
      </c>
      <c r="BF61" s="0" t="n">
        <f aca="false">20*LOG(BA61*J61*F61*C61)</f>
        <v>59.8424232915364</v>
      </c>
      <c r="BG61" s="0" t="n">
        <f aca="false">(180/Pi)*(D61+H61+BC61)</f>
        <v>-51.9684268935634</v>
      </c>
      <c r="BH61" s="0" t="n">
        <f aca="false">IF(BG61&gt;180,BG61-180,BG61+180)</f>
        <v>128.031573106437</v>
      </c>
      <c r="BI61" s="0" t="n">
        <f aca="false">IF(BH61&gt;180,BH61-360,BH61)</f>
        <v>128.031573106437</v>
      </c>
      <c r="BJ61" s="0" t="n">
        <f aca="false">SUM((BF62&lt;0)*(BF61&gt;0))*A61</f>
        <v>0</v>
      </c>
      <c r="BK61" s="0" t="n">
        <f aca="false">IF(BJ61&gt;0,BI61,0)</f>
        <v>0</v>
      </c>
      <c r="BM61" s="0" t="n">
        <f aca="false">20*LOG(J61*F61*C61)</f>
        <v>19.7083589470159</v>
      </c>
      <c r="BN61" s="0" t="n">
        <f aca="false">(H61+D61)*180/Pi</f>
        <v>-12.1694472595667</v>
      </c>
      <c r="BQ61" s="347" t="n">
        <f aca="false">20*LOG(BA61*7)</f>
        <v>57.0360251448056</v>
      </c>
      <c r="BR61" s="351"/>
      <c r="BS61" s="351"/>
      <c r="BT61" s="351" t="n">
        <v>323.594</v>
      </c>
      <c r="BU61" s="351" t="n">
        <v>24.5962</v>
      </c>
      <c r="BV61" s="351" t="n">
        <v>-266.9949</v>
      </c>
      <c r="BW61" s="349"/>
      <c r="BY61" s="351"/>
      <c r="BZ61" s="351"/>
      <c r="CA61" s="351"/>
      <c r="CC61" s="351"/>
    </row>
    <row r="62" customFormat="false" ht="12.75" hidden="false" customHeight="false" outlineLevel="0" collapsed="false">
      <c r="A62" s="0" t="n">
        <f aca="false">A61+500</f>
        <v>14000</v>
      </c>
      <c r="B62" s="0" t="n">
        <f aca="false">A62/1000</f>
        <v>14</v>
      </c>
      <c r="C62" s="0" t="n">
        <f aca="false">SQRT((A62/Fesr)^2+1)</f>
        <v>1.00000000386888</v>
      </c>
      <c r="D62" s="0" t="n">
        <f aca="false">ATAN(A62/Fesr)</f>
        <v>8.79645939731167E-005</v>
      </c>
      <c r="F62" s="0" t="n">
        <f aca="false">(Ro/(Ro+Rdcr))/SQRT((A62/(Q*Fo))^2+(1-(A62^2/Fo^2))^2)</f>
        <v>1.08097846818551</v>
      </c>
      <c r="G62" s="0" t="n">
        <f aca="false">-ATAN(A62*Fo/(Q*(Fo^2-A62^2)))</f>
        <v>-0.221846632548399</v>
      </c>
      <c r="H62" s="0" t="n">
        <f aca="false">IF(G62&gt;0,G62-Pi,G62)</f>
        <v>-0.221846632548399</v>
      </c>
      <c r="J62" s="0" t="n">
        <f aca="false">Vin/Vramp</f>
        <v>9</v>
      </c>
      <c r="M62" s="0" t="n">
        <f aca="false">1/(2*Pi*_Rfb1*(Cc1ea_u+Cc2ea_u)*A62)</f>
        <v>0.421044823475546</v>
      </c>
      <c r="N62" s="0" t="n">
        <f aca="false">-Pi/2</f>
        <v>-1.570796325</v>
      </c>
      <c r="O62" s="0" t="n">
        <f aca="false">SQRT(1+(A62/Fz1_u)^2)</f>
        <v>1.05686722824532</v>
      </c>
      <c r="P62" s="0" t="n">
        <f aca="false">ATAN2(Fz1_u,A62)</f>
        <v>0.329535848140629</v>
      </c>
      <c r="Q62" s="0" t="n">
        <f aca="false">SQRT(1+(A62/Fz2_u)^2)</f>
        <v>388.082781361857</v>
      </c>
      <c r="R62" s="0" t="n">
        <f aca="false">ATAN2(Fz2_u,A62)</f>
        <v>1.56821955411996</v>
      </c>
      <c r="S62" s="0" t="n">
        <f aca="false">1/SQRT(1+(A62/Fp1_u)^2)</f>
        <v>0.694051829165972</v>
      </c>
      <c r="T62" s="0" t="n">
        <f aca="false">-ATAN2(Fp1_u,A62)</f>
        <v>-0.803694304629484</v>
      </c>
      <c r="U62" s="0" t="n">
        <f aca="false">1/SQRT(1+(A62/Fp2_u)^2)</f>
        <v>0.999278754265533</v>
      </c>
      <c r="V62" s="0" t="n">
        <f aca="false">-ATAN2(Fp2_u,A62)</f>
        <v>-0.0379824288423099</v>
      </c>
      <c r="X62" s="0" t="n">
        <f aca="false">20*LOG(C62*J62*O62*Q62*F62*M62*S62*U62)</f>
        <v>61.328224988577</v>
      </c>
      <c r="Y62" s="0" t="n">
        <f aca="false">(180/Pi)*(D62+H62+N62+P62+R62+T62+V62)</f>
        <v>-42.1969851342165</v>
      </c>
      <c r="Z62" s="0" t="n">
        <f aca="false">Y62+180</f>
        <v>137.803014865784</v>
      </c>
      <c r="AC62" s="0" t="n">
        <v>1</v>
      </c>
      <c r="AD62" s="0" t="n">
        <f aca="false">Rcea1_u*Cc1ea_u*A62*2*Pi</f>
        <v>0.3420063422496</v>
      </c>
      <c r="AE62" s="0" t="n">
        <f aca="false">-Rcea1_u*Cc1ea_u*Cc2ea_u*(A62*2*Pi)^2</f>
        <v>-4.51266736647186E-006</v>
      </c>
      <c r="AF62" s="0" t="n">
        <f aca="false">(Cc2ea_u+Cc1ea_u)*A62*2*Pi</f>
        <v>0.00011875220217</v>
      </c>
      <c r="AG62" s="0" t="n">
        <f aca="false">AC62*AE62/(AE62^2+AF62^2)+AD62*AF62/(AE62^2+AF62^2)</f>
        <v>2556.30855353978</v>
      </c>
      <c r="AH62" s="0" t="n">
        <f aca="false">AD62*AE62/(AE62^2+AF62^2)-AC62*AF62/(AE62^2+AF62^2)</f>
        <v>-8518.03799596175</v>
      </c>
      <c r="AJ62" s="0" t="n">
        <f aca="false">_Rfb1</f>
        <v>20000</v>
      </c>
      <c r="AK62" s="0" t="n">
        <f aca="false">_Rfb1*Rcea2_u*Cc3ea_u*A62*2*Pi</f>
        <v>20745.569896128</v>
      </c>
      <c r="AL62" s="0" t="n">
        <v>1</v>
      </c>
      <c r="AM62" s="0" t="n">
        <f aca="false">(_Rfb1+Rcea2_u)*Cc3ea_u*A62*2*Pi</f>
        <v>388.081492974806</v>
      </c>
      <c r="AN62" s="0" t="n">
        <f aca="false">AJ62*AL62/(AL62^2+AM62^2)+AK62*AM62/(AL62^2+AM62^2)</f>
        <v>53.589175863144</v>
      </c>
      <c r="AO62" s="0" t="n">
        <f aca="false">AK62*AL62/(AL62^2+AM62^2)-AJ62*AM62/(AL62^2+AM62^2)</f>
        <v>-51.3974801303698</v>
      </c>
      <c r="AQ62" s="0" t="n">
        <f aca="false">Eadcg/(1+(Eadcg*A62/GBP)^2)</f>
        <v>57.0398956729124</v>
      </c>
      <c r="AR62" s="0" t="n">
        <f aca="false">-(A62*Eadcg*Eadcg/GBP)/(1+(Eadcg*A62/GBP)^2)</f>
        <v>-420.840350274748</v>
      </c>
      <c r="AT62" s="0" t="n">
        <f aca="false">-AR62*AH62+AG62*AQ62</f>
        <v>-3438922.52067247</v>
      </c>
      <c r="AU62" s="0" t="n">
        <f aca="false">AQ62*AH62+AG62*AR62</f>
        <v>-1561665.78570958</v>
      </c>
      <c r="AV62" s="0" t="n">
        <f aca="false">ATAN2(AT62,AU62)</f>
        <v>-2.71532208897841</v>
      </c>
      <c r="AW62" s="0" t="n">
        <f aca="false">AG62-AH62*AO62/_Rfb2+AG62*AN62/_Rfb2+AN62-AO62*AR62+AQ62*AN62</f>
        <v>-16098.8816604752</v>
      </c>
      <c r="AX62" s="0" t="n">
        <f aca="false">AH62+AH62*AN62/_Rfb2+AG62*AO62/_Rfb2+AO62+AO62*AQ62+AN62*AR62</f>
        <v>-34318.1680261775</v>
      </c>
      <c r="AY62" s="0" t="n">
        <f aca="false">ATAN2(AW62,AX62)</f>
        <v>-2.00942526784354</v>
      </c>
      <c r="BA62" s="0" t="n">
        <f aca="false">SQRT(AT62^2+AU62^2)/SQRT(AW62^2+AX62^2)</f>
        <v>99.6370420070497</v>
      </c>
      <c r="BB62" s="0" t="n">
        <f aca="false">20*LOG(BA62)</f>
        <v>39.968416517176</v>
      </c>
      <c r="BC62" s="0" t="n">
        <f aca="false">AV62-AY62</f>
        <v>-0.705896821134871</v>
      </c>
      <c r="BD62" s="0" t="n">
        <f aca="false">BC62*180/Pi-180</f>
        <v>-220.444908668944</v>
      </c>
      <c r="BF62" s="0" t="n">
        <f aca="false">20*LOG(BA62*J62*F62*C62)</f>
        <v>59.7296076076927</v>
      </c>
      <c r="BG62" s="0" t="n">
        <f aca="false">(180/Pi)*(D62+H62+BC62)</f>
        <v>-53.1507444276945</v>
      </c>
      <c r="BH62" s="0" t="n">
        <f aca="false">IF(BG62&gt;180,BG62-180,BG62+180)</f>
        <v>126.849255572306</v>
      </c>
      <c r="BI62" s="0" t="n">
        <f aca="false">IF(BH62&gt;180,BH62-360,BH62)</f>
        <v>126.849255572306</v>
      </c>
      <c r="BJ62" s="0" t="n">
        <f aca="false">SUM((BF63&lt;0)*(BF62&gt;0))*A62</f>
        <v>0</v>
      </c>
      <c r="BK62" s="0" t="n">
        <f aca="false">IF(BJ62&gt;0,BI62,0)</f>
        <v>0</v>
      </c>
      <c r="BM62" s="0" t="n">
        <f aca="false">20*LOG(J62*F62*C62)</f>
        <v>19.7611910905166</v>
      </c>
      <c r="BN62" s="0" t="n">
        <f aca="false">(H62+D62)*180/Pi</f>
        <v>-12.7058357587501</v>
      </c>
      <c r="BQ62" s="347" t="n">
        <f aca="false">20*LOG(BA62*7)</f>
        <v>56.8703773174612</v>
      </c>
      <c r="BR62" s="351"/>
      <c r="BS62" s="351"/>
      <c r="BT62" s="351" t="n">
        <v>331.131</v>
      </c>
      <c r="BU62" s="351" t="n">
        <v>24.3868</v>
      </c>
      <c r="BV62" s="351" t="n">
        <v>-265.0934</v>
      </c>
      <c r="BW62" s="349"/>
      <c r="BY62" s="351"/>
      <c r="BZ62" s="351"/>
      <c r="CA62" s="351"/>
      <c r="CC62" s="351"/>
    </row>
    <row r="63" customFormat="false" ht="12.75" hidden="false" customHeight="false" outlineLevel="0" collapsed="false">
      <c r="A63" s="0" t="n">
        <f aca="false">A62+500</f>
        <v>14500</v>
      </c>
      <c r="B63" s="0" t="n">
        <f aca="false">A63/1000</f>
        <v>14.5</v>
      </c>
      <c r="C63" s="0" t="n">
        <f aca="false">SQRT((A63/Fesr)^2+1)</f>
        <v>1.00000000415017</v>
      </c>
      <c r="D63" s="0" t="n">
        <f aca="false">ATAN(A63/Fesr)</f>
        <v>9.11061865979293E-005</v>
      </c>
      <c r="F63" s="0" t="n">
        <f aca="false">(Ro/(Ro+Rdcr))/SQRT((A63/(Q*Fo))^2+(1-(A63^2/Fo^2))^2)</f>
        <v>1.0878261107853</v>
      </c>
      <c r="G63" s="0" t="n">
        <f aca="false">-ATAN(A63*Fo/(Q*(Fo^2-A63^2)))</f>
        <v>-0.231392613628257</v>
      </c>
      <c r="H63" s="0" t="n">
        <f aca="false">IF(G63&gt;0,G63-Pi,G63)</f>
        <v>-0.231392613628257</v>
      </c>
      <c r="J63" s="0" t="n">
        <f aca="false">Vin/Vramp</f>
        <v>9</v>
      </c>
      <c r="M63" s="0" t="n">
        <f aca="false">1/(2*Pi*_Rfb1*(Cc1ea_u+Cc2ea_u)*A63)</f>
        <v>0.406526036459148</v>
      </c>
      <c r="N63" s="0" t="n">
        <f aca="false">-Pi/2</f>
        <v>-1.570796325</v>
      </c>
      <c r="O63" s="0" t="n">
        <f aca="false">SQRT(1+(A63/Fz1_u)^2)</f>
        <v>1.06088284638005</v>
      </c>
      <c r="P63" s="0" t="n">
        <f aca="false">ATAN2(Fz1_u,A63)</f>
        <v>0.340430086183859</v>
      </c>
      <c r="Q63" s="0" t="n">
        <f aca="false">SQRT(1+(A63/Fz2_u)^2)</f>
        <v>401.942790255386</v>
      </c>
      <c r="R63" s="0" t="n">
        <f aca="false">ATAN2(Fz2_u,A63)</f>
        <v>1.56830840797693</v>
      </c>
      <c r="S63" s="0" t="n">
        <f aca="false">1/SQRT(1+(A63/Fp1_u)^2)</f>
        <v>0.681333546005392</v>
      </c>
      <c r="T63" s="0" t="n">
        <f aca="false">-ATAN2(Fp1_u,A63)</f>
        <v>-0.82121338212989</v>
      </c>
      <c r="U63" s="0" t="n">
        <f aca="false">1/SQRT(1+(A63/Fp2_u)^2)</f>
        <v>0.999226377591865</v>
      </c>
      <c r="V63" s="0" t="n">
        <f aca="false">-ATAN2(Fp2_u,A63)</f>
        <v>-0.0393375692518916</v>
      </c>
      <c r="X63" s="0" t="n">
        <f aca="false">20*LOG(C63*J63*O63*Q63*F63*M63*S63*U63)</f>
        <v>61.2549137694268</v>
      </c>
      <c r="Y63" s="0" t="n">
        <f aca="false">(180/Pi)*(D63+H63+N63+P63+R63+T63+V63)</f>
        <v>-43.195877778514</v>
      </c>
      <c r="Z63" s="0" t="n">
        <f aca="false">Y63+180</f>
        <v>136.804122221486</v>
      </c>
      <c r="AC63" s="0" t="n">
        <v>1</v>
      </c>
      <c r="AD63" s="0" t="n">
        <f aca="false">Rcea1_u*Cc1ea_u*A63*2*Pi</f>
        <v>0.3542208544728</v>
      </c>
      <c r="AE63" s="0" t="n">
        <f aca="false">-Rcea1_u*Cc1ea_u*Cc2ea_u*(A63*2*Pi)^2</f>
        <v>-4.84075670306484E-006</v>
      </c>
      <c r="AF63" s="0" t="n">
        <f aca="false">(Cc2ea_u+Cc1ea_u)*A63*2*Pi</f>
        <v>0.0001229933522475</v>
      </c>
      <c r="AG63" s="0" t="n">
        <f aca="false">AC63*AE63/(AE63^2+AF63^2)+AD63*AF63/(AE63^2+AF63^2)</f>
        <v>2556.04058540892</v>
      </c>
      <c r="AH63" s="0" t="n">
        <f aca="false">AD63*AE63/(AE63^2+AF63^2)-AC63*AF63/(AE63^2+AF63^2)</f>
        <v>-8231.12104920859</v>
      </c>
      <c r="AJ63" s="0" t="n">
        <f aca="false">_Rfb1</f>
        <v>20000</v>
      </c>
      <c r="AK63" s="0" t="n">
        <f aca="false">_Rfb1*Rcea2_u*Cc3ea_u*A63*2*Pi</f>
        <v>21486.483106704</v>
      </c>
      <c r="AL63" s="0" t="n">
        <v>1</v>
      </c>
      <c r="AM63" s="0" t="n">
        <f aca="false">(_Rfb1+Rcea2_u)*Cc3ea_u*A63*2*Pi</f>
        <v>401.941546295335</v>
      </c>
      <c r="AN63" s="0" t="n">
        <f aca="false">AJ63*AL63/(AL63^2+AM63^2)+AK63*AM63/(AL63^2+AM63^2)</f>
        <v>53.5801996105211</v>
      </c>
      <c r="AO63" s="0" t="n">
        <f aca="false">AK63*AL63/(AL63^2+AM63^2)-AJ63*AM63/(AL63^2+AM63^2)</f>
        <v>-49.6251755615565</v>
      </c>
      <c r="AQ63" s="0" t="n">
        <f aca="false">Eadcg/(1+(Eadcg*A63/GBP)^2)</f>
        <v>53.239025389261</v>
      </c>
      <c r="AR63" s="0" t="n">
        <f aca="false">-(A63*Eadcg*Eadcg/GBP)/(1+(Eadcg*A63/GBP)^2)</f>
        <v>-406.826012512038</v>
      </c>
      <c r="AT63" s="0" t="n">
        <f aca="false">-AR63*AH63+AG63*AQ63</f>
        <v>-3212553.04533087</v>
      </c>
      <c r="AU63" s="0" t="n">
        <f aca="false">AQ63*AH63+AG63*AR63</f>
        <v>-1478080.66170174</v>
      </c>
      <c r="AV63" s="0" t="n">
        <f aca="false">ATAN2(AT63,AU63)</f>
        <v>-2.71037523253767</v>
      </c>
      <c r="AW63" s="0" t="n">
        <f aca="false">AG63-AH63*AO63/_Rfb2+AG63*AN63/_Rfb2+AN63-AO63*AR63+AQ63*AN63</f>
        <v>-14848.8168495327</v>
      </c>
      <c r="AX63" s="0" t="n">
        <f aca="false">AH63+AH63*AN63/_Rfb2+AG63*AO63/_Rfb2+AO63+AO63*AQ63+AN63*AR63</f>
        <v>-32976.1022458185</v>
      </c>
      <c r="AY63" s="0" t="n">
        <f aca="false">ATAN2(AW63,AX63)</f>
        <v>-1.99389158688005</v>
      </c>
      <c r="BA63" s="0" t="n">
        <f aca="false">SQRT(AT63^2+AU63^2)/SQRT(AW63^2+AX63^2)</f>
        <v>97.7814822892197</v>
      </c>
      <c r="BB63" s="0" t="n">
        <f aca="false">20*LOG(BA63)</f>
        <v>39.805132330708</v>
      </c>
      <c r="BC63" s="0" t="n">
        <f aca="false">AV63-AY63</f>
        <v>-0.716483645657621</v>
      </c>
      <c r="BD63" s="0" t="n">
        <f aca="false">BC63*180/Pi-180</f>
        <v>-221.051489033237</v>
      </c>
      <c r="BF63" s="0" t="n">
        <f aca="false">20*LOG(BA63*J63*F63*C63)</f>
        <v>59.6211721326025</v>
      </c>
      <c r="BG63" s="0" t="n">
        <f aca="false">(180/Pi)*(D63+H63+BC63)</f>
        <v>-54.3040892198008</v>
      </c>
      <c r="BH63" s="0" t="n">
        <f aca="false">IF(BG63&gt;180,BG63-180,BG63+180)</f>
        <v>125.695910780199</v>
      </c>
      <c r="BI63" s="0" t="n">
        <f aca="false">IF(BH63&gt;180,BH63-360,BH63)</f>
        <v>125.695910780199</v>
      </c>
      <c r="BJ63" s="0" t="n">
        <f aca="false">SUM((BF64&lt;0)*(BF63&gt;0))*A63</f>
        <v>0</v>
      </c>
      <c r="BK63" s="0" t="n">
        <f aca="false">IF(BJ63&gt;0,BI63,0)</f>
        <v>0</v>
      </c>
      <c r="BM63" s="0" t="n">
        <f aca="false">20*LOG(J63*F63*C63)</f>
        <v>19.8160398018946</v>
      </c>
      <c r="BN63" s="0" t="n">
        <f aca="false">(H63+D63)*180/Pi</f>
        <v>-13.2526001865642</v>
      </c>
      <c r="BQ63" s="347" t="n">
        <f aca="false">20*LOG(BA63*7)</f>
        <v>56.7070931309931</v>
      </c>
      <c r="BR63" s="351"/>
      <c r="BS63" s="351"/>
      <c r="BT63" s="351" t="n">
        <v>338.844</v>
      </c>
      <c r="BU63" s="351" t="n">
        <v>24.1369</v>
      </c>
      <c r="BV63" s="351" t="n">
        <v>-266.4201</v>
      </c>
      <c r="BW63" s="349"/>
      <c r="BY63" s="351"/>
      <c r="BZ63" s="351"/>
      <c r="CA63" s="351"/>
      <c r="CC63" s="351"/>
    </row>
    <row r="64" customFormat="false" ht="12.75" hidden="false" customHeight="false" outlineLevel="0" collapsed="false">
      <c r="A64" s="0" t="n">
        <f aca="false">A63+500</f>
        <v>15000</v>
      </c>
      <c r="B64" s="0" t="n">
        <f aca="false">A64/1000</f>
        <v>15</v>
      </c>
      <c r="C64" s="0" t="n">
        <f aca="false">SQRT((A64/Fesr)^2+1)</f>
        <v>1.00000000444132</v>
      </c>
      <c r="D64" s="0" t="n">
        <f aca="false">ATAN(A64/Fesr)</f>
        <v>9.42477792209435E-005</v>
      </c>
      <c r="F64" s="0" t="n">
        <f aca="false">(Ro/(Ro+Rdcr))/SQRT((A64/(Q*Fo))^2+(1-(A64^2/Fo^2))^2)</f>
        <v>1.09497191879533</v>
      </c>
      <c r="G64" s="0" t="n">
        <f aca="false">-ATAN(A64*Fo/(Q*(Fo^2-A64^2)))</f>
        <v>-0.241129599521174</v>
      </c>
      <c r="H64" s="0" t="n">
        <f aca="false">IF(G64&gt;0,G64-Pi,G64)</f>
        <v>-0.241129599521174</v>
      </c>
      <c r="J64" s="0" t="n">
        <f aca="false">Vin/Vramp</f>
        <v>9</v>
      </c>
      <c r="M64" s="0" t="n">
        <f aca="false">1/(2*Pi*_Rfb1*(Cc1ea_u+Cc2ea_u)*A64)</f>
        <v>0.392975168577176</v>
      </c>
      <c r="N64" s="0" t="n">
        <f aca="false">-Pi/2</f>
        <v>-1.570796325</v>
      </c>
      <c r="O64" s="0" t="n">
        <f aca="false">SQRT(1+(A64/Fz1_u)^2)</f>
        <v>1.06502341662784</v>
      </c>
      <c r="P64" s="0" t="n">
        <f aca="false">ATAN2(Fz1_u,A64)</f>
        <v>0.351240890443838</v>
      </c>
      <c r="Q64" s="0" t="n">
        <f aca="false">SQRT(1+(A64/Fz2_u)^2)</f>
        <v>415.802802110702</v>
      </c>
      <c r="R64" s="0" t="n">
        <f aca="false">ATAN2(Fz2_u,A64)</f>
        <v>1.5683913382789</v>
      </c>
      <c r="S64" s="0" t="n">
        <f aca="false">1/SQRT(1+(A64/Fp1_u)^2)</f>
        <v>0.668878684109826</v>
      </c>
      <c r="T64" s="0" t="n">
        <f aca="false">-ATAN2(Fp1_u,A64)</f>
        <v>-0.838096984067079</v>
      </c>
      <c r="U64" s="0" t="n">
        <f aca="false">1/SQRT(1+(A64/Fp2_u)^2)</f>
        <v>0.999172171813662</v>
      </c>
      <c r="V64" s="0" t="n">
        <f aca="false">-ATAN2(Fp2_u,A64)</f>
        <v>-0.0406925651229496</v>
      </c>
      <c r="X64" s="0" t="n">
        <f aca="false">20*LOG(C64*J64*O64*Q64*F64*M64*S64*U64)</f>
        <v>61.1848971245378</v>
      </c>
      <c r="Y64" s="0" t="n">
        <f aca="false">(180/Pi)*(D64+H64+N64+P64+R64+T64+V64)</f>
        <v>-44.17441564159</v>
      </c>
      <c r="Z64" s="0" t="n">
        <f aca="false">Y64+180</f>
        <v>135.82558435841</v>
      </c>
      <c r="AC64" s="0" t="n">
        <v>1</v>
      </c>
      <c r="AD64" s="0" t="n">
        <f aca="false">Rcea1_u*Cc1ea_u*A64*2*Pi</f>
        <v>0.366435366696</v>
      </c>
      <c r="AE64" s="0" t="n">
        <f aca="false">-Rcea1_u*Cc1ea_u*Cc2ea_u*(A64*2*Pi)^2</f>
        <v>-5.18035794620494E-006</v>
      </c>
      <c r="AF64" s="0" t="n">
        <f aca="false">(Cc2ea_u+Cc1ea_u)*A64*2*Pi</f>
        <v>0.000127234502325</v>
      </c>
      <c r="AG64" s="0" t="n">
        <f aca="false">AC64*AE64/(AE64^2+AF64^2)+AD64*AF64/(AE64^2+AF64^2)</f>
        <v>2555.76327405269</v>
      </c>
      <c r="AH64" s="0" t="n">
        <f aca="false">AD64*AE64/(AE64^2+AF64^2)-AC64*AF64/(AE64^2+AF64^2)</f>
        <v>-7963.5613773786</v>
      </c>
      <c r="AJ64" s="0" t="n">
        <f aca="false">_Rfb1</f>
        <v>20000</v>
      </c>
      <c r="AK64" s="0" t="n">
        <f aca="false">_Rfb1*Rcea2_u*Cc3ea_u*A64*2*Pi</f>
        <v>22227.39631728</v>
      </c>
      <c r="AL64" s="0" t="n">
        <v>1</v>
      </c>
      <c r="AM64" s="0" t="n">
        <f aca="false">(_Rfb1+Rcea2_u)*Cc3ea_u*A64*2*Pi</f>
        <v>415.801599615864</v>
      </c>
      <c r="AN64" s="0" t="n">
        <f aca="false">AJ64*AL64/(AL64^2+AM64^2)+AK64*AM64/(AL64^2+AM64^2)</f>
        <v>53.5721059283251</v>
      </c>
      <c r="AO64" s="0" t="n">
        <f aca="false">AK64*AL64/(AL64^2+AM64^2)-AJ64*AM64/(AL64^2+AM64^2)</f>
        <v>-47.9710225080882</v>
      </c>
      <c r="AQ64" s="0" t="n">
        <f aca="false">Eadcg/(1+(Eadcg*A64/GBP)^2)</f>
        <v>49.8038834270963</v>
      </c>
      <c r="AR64" s="0" t="n">
        <f aca="false">-(A64*Eadcg*Eadcg/GBP)/(1+(Eadcg*A64/GBP)^2)</f>
        <v>-393.699698491196</v>
      </c>
      <c r="AT64" s="0" t="n">
        <f aca="false">-AR64*AH64+AG64*AQ64</f>
        <v>-3007964.77702191</v>
      </c>
      <c r="AU64" s="0" t="n">
        <f aca="false">AQ64*AH64+AG64*AR64</f>
        <v>-1402819.5129129</v>
      </c>
      <c r="AV64" s="0" t="n">
        <f aca="false">ATAN2(AT64,AU64)</f>
        <v>-2.70521050541039</v>
      </c>
      <c r="AW64" s="0" t="n">
        <f aca="false">AG64-AH64*AO64/_Rfb2+AG64*AN64/_Rfb2+AN64-AO64*AR64+AQ64*AN64</f>
        <v>-13719.0389517244</v>
      </c>
      <c r="AX64" s="0" t="n">
        <f aca="false">AH64+AH64*AN64/_Rfb2+AG64*AO64/_Rfb2+AO64+AO64*AQ64+AN64*AR64</f>
        <v>-31739.1498633274</v>
      </c>
      <c r="AY64" s="0" t="n">
        <f aca="false">ATAN2(AW64,AX64)</f>
        <v>-1.97878619096677</v>
      </c>
      <c r="BA64" s="0" t="n">
        <f aca="false">SQRT(AT64^2+AU64^2)/SQRT(AW64^2+AX64^2)</f>
        <v>95.9879636864774</v>
      </c>
      <c r="BB64" s="0" t="n">
        <f aca="false">20*LOG(BA64)</f>
        <v>39.6443355707355</v>
      </c>
      <c r="BC64" s="0" t="n">
        <f aca="false">AV64-AY64</f>
        <v>-0.726424314443616</v>
      </c>
      <c r="BD64" s="0" t="n">
        <f aca="false">BC64*180/Pi-180</f>
        <v>-221.621047400862</v>
      </c>
      <c r="BF64" s="0" t="n">
        <f aca="false">20*LOG(BA64*J64*F64*C64)</f>
        <v>59.5172454296835</v>
      </c>
      <c r="BG64" s="0" t="n">
        <f aca="false">(180/Pi)*(D64+H64+BC64)</f>
        <v>-55.4313557849082</v>
      </c>
      <c r="BH64" s="0" t="n">
        <f aca="false">IF(BG64&gt;180,BG64-180,BG64+180)</f>
        <v>124.568644215092</v>
      </c>
      <c r="BI64" s="0" t="n">
        <f aca="false">IF(BH64&gt;180,BH64-360,BH64)</f>
        <v>124.568644215092</v>
      </c>
      <c r="BJ64" s="0" t="n">
        <f aca="false">SUM((BF65&lt;0)*(BF64&gt;0))*A64</f>
        <v>0</v>
      </c>
      <c r="BK64" s="0" t="n">
        <f aca="false">IF(BJ64&gt;0,BI64,0)</f>
        <v>0</v>
      </c>
      <c r="BM64" s="0" t="n">
        <f aca="false">20*LOG(J64*F64*C64)</f>
        <v>19.8729098589479</v>
      </c>
      <c r="BN64" s="0" t="n">
        <f aca="false">(H64+D64)*180/Pi</f>
        <v>-13.8103083840458</v>
      </c>
      <c r="BQ64" s="347" t="n">
        <f aca="false">20*LOG(BA64*7)</f>
        <v>56.5462963710207</v>
      </c>
      <c r="BR64" s="351"/>
      <c r="BS64" s="351"/>
      <c r="BT64" s="351" t="n">
        <v>346.737</v>
      </c>
      <c r="BU64" s="351" t="n">
        <v>24.0404</v>
      </c>
      <c r="BV64" s="351" t="n">
        <v>-265.8794</v>
      </c>
      <c r="BW64" s="349"/>
      <c r="BY64" s="351"/>
      <c r="BZ64" s="351"/>
      <c r="CA64" s="351"/>
      <c r="CC64" s="351"/>
    </row>
    <row r="65" customFormat="false" ht="12.75" hidden="false" customHeight="false" outlineLevel="0" collapsed="false">
      <c r="A65" s="0" t="n">
        <f aca="false">A64+500</f>
        <v>15500</v>
      </c>
      <c r="B65" s="0" t="n">
        <f aca="false">A65/1000</f>
        <v>15.5</v>
      </c>
      <c r="C65" s="0" t="n">
        <f aca="false">SQRT((A65/Fesr)^2+1)</f>
        <v>1.00000000474234</v>
      </c>
      <c r="D65" s="0" t="n">
        <f aca="false">ATAN(A65/Fesr)</f>
        <v>9.73893718420973E-005</v>
      </c>
      <c r="F65" s="0" t="n">
        <f aca="false">(Ro/(Ro+Rdcr))/SQRT((A65/(Q*Fo))^2+(1-(A65^2/Fo^2))^2)</f>
        <v>1.10242165853492</v>
      </c>
      <c r="G65" s="0" t="n">
        <f aca="false">-ATAN(A65*Fo/(Q*(Fo^2-A65^2)))</f>
        <v>-0.251067920118592</v>
      </c>
      <c r="H65" s="0" t="n">
        <f aca="false">IF(G65&gt;0,G65-Pi,G65)</f>
        <v>-0.251067920118592</v>
      </c>
      <c r="J65" s="0" t="n">
        <f aca="false">Vin/Vramp</f>
        <v>9</v>
      </c>
      <c r="M65" s="0" t="n">
        <f aca="false">1/(2*Pi*_Rfb1*(Cc1ea_u+Cc2ea_u)*A65)</f>
        <v>0.380298550235977</v>
      </c>
      <c r="N65" s="0" t="n">
        <f aca="false">-Pi/2</f>
        <v>-1.570796325</v>
      </c>
      <c r="O65" s="0" t="n">
        <f aca="false">SQRT(1+(A65/Fz1_u)^2)</f>
        <v>1.06928748744457</v>
      </c>
      <c r="P65" s="0" t="n">
        <f aca="false">ATAN2(Fz1_u,A65)</f>
        <v>0.361966718092034</v>
      </c>
      <c r="Q65" s="0" t="n">
        <f aca="false">SQRT(1+(A65/Fz2_u)^2)</f>
        <v>429.662816641181</v>
      </c>
      <c r="R65" s="0" t="n">
        <f aca="false">ATAN2(Fz2_u,A65)</f>
        <v>1.56846891826878</v>
      </c>
      <c r="S65" s="0" t="n">
        <f aca="false">1/SQRT(1+(A65/Fp1_u)^2)</f>
        <v>0.656693795057989</v>
      </c>
      <c r="T65" s="0" t="n">
        <f aca="false">-ATAN2(Fp1_u,A65)</f>
        <v>-0.854369952397161</v>
      </c>
      <c r="U65" s="0" t="n">
        <f aca="false">1/SQRT(1+(A65/Fp2_u)^2)</f>
        <v>0.999116137825668</v>
      </c>
      <c r="V65" s="0" t="n">
        <f aca="false">-ATAN2(Fp2_u,A65)</f>
        <v>-0.0420474115038392</v>
      </c>
      <c r="X65" s="0" t="n">
        <f aca="false">20*LOG(C65*J65*O65*Q65*F65*M65*S65*U65)</f>
        <v>61.1183212153642</v>
      </c>
      <c r="Y65" s="0" t="n">
        <f aca="false">(180/Pi)*(D65+H65+N65+P65+R65+T65+V65)</f>
        <v>-45.1346691913251</v>
      </c>
      <c r="Z65" s="0" t="n">
        <f aca="false">Y65+180</f>
        <v>134.865330808675</v>
      </c>
      <c r="AC65" s="0" t="n">
        <v>1</v>
      </c>
      <c r="AD65" s="0" t="n">
        <f aca="false">Rcea1_u*Cc1ea_u*A65*2*Pi</f>
        <v>0.3786498789192</v>
      </c>
      <c r="AE65" s="0" t="n">
        <f aca="false">-Rcea1_u*Cc1ea_u*Cc2ea_u*(A65*2*Pi)^2</f>
        <v>-5.53147109589216E-006</v>
      </c>
      <c r="AF65" s="0" t="n">
        <f aca="false">(Cc2ea_u+Cc1ea_u)*A65*2*Pi</f>
        <v>0.0001314756524025</v>
      </c>
      <c r="AG65" s="0" t="n">
        <f aca="false">AC65*AE65/(AE65^2+AF65^2)+AD65*AF65/(AE65^2+AF65^2)</f>
        <v>2555.47662557102</v>
      </c>
      <c r="AH65" s="0" t="n">
        <f aca="false">AD65*AE65/(AE65^2+AF65^2)-AC65*AF65/(AE65^2+AF65^2)</f>
        <v>-7713.48555081435</v>
      </c>
      <c r="AJ65" s="0" t="n">
        <f aca="false">_Rfb1</f>
        <v>20000</v>
      </c>
      <c r="AK65" s="0" t="n">
        <f aca="false">_Rfb1*Rcea2_u*Cc3ea_u*A65*2*Pi</f>
        <v>22968.309527856</v>
      </c>
      <c r="AL65" s="0" t="n">
        <v>1</v>
      </c>
      <c r="AM65" s="0" t="n">
        <f aca="false">(_Rfb1+Rcea2_u)*Cc3ea_u*A65*2*Pi</f>
        <v>429.661652936393</v>
      </c>
      <c r="AN65" s="0" t="n">
        <f aca="false">AJ65*AL65/(AL65^2+AM65^2)+AK65*AM65/(AL65^2+AM65^2)</f>
        <v>53.5647827954434</v>
      </c>
      <c r="AO65" s="0" t="n">
        <f aca="false">AK65*AL65/(AL65^2+AM65^2)-AJ65*AM65/(AL65^2+AM65^2)</f>
        <v>-46.4235872130703</v>
      </c>
      <c r="AQ65" s="0" t="n">
        <f aca="false">Eadcg/(1+(Eadcg*A65/GBP)^2)</f>
        <v>46.6892340403394</v>
      </c>
      <c r="AR65" s="0" t="n">
        <f aca="false">-(A65*Eadcg*Eadcg/GBP)/(1+(Eadcg*A65/GBP)^2)</f>
        <v>-381.381008258513</v>
      </c>
      <c r="AT65" s="0" t="n">
        <f aca="false">-AR65*AH65+AG65*AQ65</f>
        <v>-2822463.65030114</v>
      </c>
      <c r="AU65" s="0" t="n">
        <f aca="false">AQ65*AH65+AG65*AR65</f>
        <v>-1334746.98419008</v>
      </c>
      <c r="AV65" s="0" t="n">
        <f aca="false">ATAN2(AT65,AU65)</f>
        <v>-2.69985798647153</v>
      </c>
      <c r="AW65" s="0" t="n">
        <f aca="false">AG65-AH65*AO65/_Rfb2+AG65*AN65/_Rfb2+AN65-AO65*AR65+AQ65*AN65</f>
        <v>-12694.6762631337</v>
      </c>
      <c r="AX65" s="0" t="n">
        <f aca="false">AH65+AH65*AN65/_Rfb2+AG65*AO65/_Rfb2+AO65+AO65*AQ65+AN65*AR65</f>
        <v>-30595.2942426405</v>
      </c>
      <c r="AY65" s="0" t="n">
        <f aca="false">ATAN2(AW65,AX65)</f>
        <v>-1.96410038092572</v>
      </c>
      <c r="BA65" s="0" t="n">
        <f aca="false">SQRT(AT65^2+AU65^2)/SQRT(AW65^2+AX65^2)</f>
        <v>94.2553957259188</v>
      </c>
      <c r="BB65" s="0" t="n">
        <f aca="false">20*LOG(BA65)</f>
        <v>39.486124422526</v>
      </c>
      <c r="BC65" s="0" t="n">
        <f aca="false">AV65-AY65</f>
        <v>-0.735757605545813</v>
      </c>
      <c r="BD65" s="0" t="n">
        <f aca="false">BC65*180/Pi-180</f>
        <v>-222.155805590596</v>
      </c>
      <c r="BF65" s="0" t="n">
        <f aca="false">20*LOG(BA65*J65*F65*C65)</f>
        <v>59.4179293912678</v>
      </c>
      <c r="BG65" s="0" t="n">
        <f aca="false">(180/Pi)*(D65+H65+BC65)</f>
        <v>-56.5353578009744</v>
      </c>
      <c r="BH65" s="0" t="n">
        <f aca="false">IF(BG65&gt;180,BG65-180,BG65+180)</f>
        <v>123.464642199026</v>
      </c>
      <c r="BI65" s="0" t="n">
        <f aca="false">IF(BH65&gt;180,BH65-360,BH65)</f>
        <v>123.464642199026</v>
      </c>
      <c r="BJ65" s="0" t="n">
        <f aca="false">SUM((BF66&lt;0)*(BF65&gt;0))*A65</f>
        <v>0</v>
      </c>
      <c r="BK65" s="0" t="n">
        <f aca="false">IF(BJ65&gt;0,BI65,0)</f>
        <v>0</v>
      </c>
      <c r="BM65" s="0" t="n">
        <f aca="false">20*LOG(J65*F65*C65)</f>
        <v>19.9318049687418</v>
      </c>
      <c r="BN65" s="0" t="n">
        <f aca="false">(H65+D65)*180/Pi</f>
        <v>-14.3795522103781</v>
      </c>
      <c r="BQ65" s="347" t="n">
        <f aca="false">20*LOG(BA65*7)</f>
        <v>56.3880852228111</v>
      </c>
      <c r="BR65" s="351"/>
      <c r="BS65" s="351"/>
      <c r="BT65" s="351" t="n">
        <v>354.813</v>
      </c>
      <c r="BU65" s="351" t="n">
        <v>23.629</v>
      </c>
      <c r="BV65" s="351" t="n">
        <v>-265.9549</v>
      </c>
      <c r="BW65" s="349"/>
      <c r="BY65" s="351"/>
      <c r="BZ65" s="351"/>
      <c r="CA65" s="351"/>
      <c r="CC65" s="351"/>
    </row>
    <row r="66" customFormat="false" ht="12.75" hidden="false" customHeight="false" outlineLevel="0" collapsed="false">
      <c r="A66" s="0" t="n">
        <f aca="false">A65+500</f>
        <v>16000</v>
      </c>
      <c r="B66" s="0" t="n">
        <f aca="false">A66/1000</f>
        <v>16</v>
      </c>
      <c r="C66" s="0" t="n">
        <f aca="false">SQRT((A66/Fesr)^2+1)</f>
        <v>1.00000000505324</v>
      </c>
      <c r="D66" s="0" t="n">
        <f aca="false">ATAN(A66/Fesr)</f>
        <v>0.000100530964461329</v>
      </c>
      <c r="F66" s="0" t="n">
        <f aca="false">(Ro/(Ro+Rdcr))/SQRT((A66/(Q*Fo))^2+(1-(A66^2/Fo^2))^2)</f>
        <v>1.11018119421562</v>
      </c>
      <c r="G66" s="0" t="n">
        <f aca="false">-ATAN(A66*Fo/(Q*(Fo^2-A66^2)))</f>
        <v>-0.261218348376289</v>
      </c>
      <c r="H66" s="0" t="n">
        <f aca="false">IF(G66&gt;0,G66-Pi,G66)</f>
        <v>-0.261218348376289</v>
      </c>
      <c r="J66" s="0" t="n">
        <f aca="false">Vin/Vramp</f>
        <v>9</v>
      </c>
      <c r="M66" s="0" t="n">
        <f aca="false">1/(2*Pi*_Rfb1*(Cc1ea_u+Cc2ea_u)*A66)</f>
        <v>0.368414220541103</v>
      </c>
      <c r="N66" s="0" t="n">
        <f aca="false">-Pi/2</f>
        <v>-1.570796325</v>
      </c>
      <c r="O66" s="0" t="n">
        <f aca="false">SQRT(1+(A66/Fz1_u)^2)</f>
        <v>1.07367358739196</v>
      </c>
      <c r="P66" s="0" t="n">
        <f aca="false">ATAN2(Fz1_u,A66)</f>
        <v>0.372606128641935</v>
      </c>
      <c r="Q66" s="0" t="n">
        <f aca="false">SQRT(1+(A66/Fz2_u)^2)</f>
        <v>443.522833596029</v>
      </c>
      <c r="R66" s="0" t="n">
        <f aca="false">ATAN2(Fz2_u,A66)</f>
        <v>1.56854164953476</v>
      </c>
      <c r="S66" s="0" t="n">
        <f aca="false">1/SQRT(1+(A66/Fp1_u)^2)</f>
        <v>0.64478323918433</v>
      </c>
      <c r="T66" s="0" t="n">
        <f aca="false">-ATAN2(Fp1_u,A66)</f>
        <v>-0.870056660187163</v>
      </c>
      <c r="U66" s="0" t="n">
        <f aca="false">1/SQRT(1+(A66/Fp2_u)^2)</f>
        <v>0.999058276552527</v>
      </c>
      <c r="V66" s="0" t="n">
        <f aca="false">-ATAN2(Fp2_u,A66)</f>
        <v>-0.0434021034462035</v>
      </c>
      <c r="X66" s="0" t="n">
        <f aca="false">20*LOG(C66*J66*O66*Q66*F66*M66*S66*U66)</f>
        <v>61.0553115552332</v>
      </c>
      <c r="Y66" s="0" t="n">
        <f aca="false">(180/Pi)*(D66+H66+N66+P66+R66+T66+V66)</f>
        <v>-46.0787056578868</v>
      </c>
      <c r="Z66" s="0" t="n">
        <f aca="false">Y66+180</f>
        <v>133.921294342113</v>
      </c>
      <c r="AC66" s="0" t="n">
        <v>1</v>
      </c>
      <c r="AD66" s="0" t="n">
        <f aca="false">Rcea1_u*Cc1ea_u*A66*2*Pi</f>
        <v>0.3908643911424</v>
      </c>
      <c r="AE66" s="0" t="n">
        <f aca="false">-Rcea1_u*Cc1ea_u*Cc2ea_u*(A66*2*Pi)^2</f>
        <v>-5.89409615212651E-006</v>
      </c>
      <c r="AF66" s="0" t="n">
        <f aca="false">(Cc2ea_u+Cc1ea_u)*A66*2*Pi</f>
        <v>0.00013571680248</v>
      </c>
      <c r="AG66" s="0" t="n">
        <f aca="false">AC66*AE66/(AE66^2+AF66^2)+AD66*AF66/(AE66^2+AF66^2)</f>
        <v>2555.18064626715</v>
      </c>
      <c r="AH66" s="0" t="n">
        <f aca="false">AD66*AE66/(AE66^2+AF66^2)-AC66*AF66/(AE66^2+AF66^2)</f>
        <v>-7479.25431388451</v>
      </c>
      <c r="AJ66" s="0" t="n">
        <f aca="false">_Rfb1</f>
        <v>20000</v>
      </c>
      <c r="AK66" s="0" t="n">
        <f aca="false">_Rfb1*Rcea2_u*Cc3ea_u*A66*2*Pi</f>
        <v>23709.222738432</v>
      </c>
      <c r="AL66" s="0" t="n">
        <v>1</v>
      </c>
      <c r="AM66" s="0" t="n">
        <f aca="false">(_Rfb1+Rcea2_u)*Cc3ea_u*A66*2*Pi</f>
        <v>443.521706256922</v>
      </c>
      <c r="AN66" s="0" t="n">
        <f aca="false">AJ66*AL66/(AL66^2+AM66^2)+AK66*AM66/(AL66^2+AM66^2)</f>
        <v>53.5581354157493</v>
      </c>
      <c r="AO66" s="0" t="n">
        <f aca="false">AK66*AL66/(AL66^2+AM66^2)-AJ66*AM66/(AL66^2+AM66^2)</f>
        <v>-44.9728651003831</v>
      </c>
      <c r="AQ66" s="0" t="n">
        <f aca="false">Eadcg/(1+(Eadcg*A66/GBP)^2)</f>
        <v>43.8565928803301</v>
      </c>
      <c r="AR66" s="0" t="n">
        <f aca="false">-(A66*Eadcg*Eadcg/GBP)/(1+(Eadcg*A66/GBP)^2)</f>
        <v>-369.798791166944</v>
      </c>
      <c r="AT66" s="0" t="n">
        <f aca="false">-AR66*AH66+AG66*AQ66</f>
        <v>-2653757.6867656</v>
      </c>
      <c r="AU66" s="0" t="n">
        <f aca="false">AQ66*AH66+AG66*AR66</f>
        <v>-1272917.32569525</v>
      </c>
      <c r="AV66" s="0" t="n">
        <f aca="false">ATAN2(AT66,AU66)</f>
        <v>-2.69434417295982</v>
      </c>
      <c r="AW66" s="0" t="n">
        <f aca="false">AG66-AH66*AO66/_Rfb2+AG66*AN66/_Rfb2+AN66-AO66*AR66+AQ66*AN66</f>
        <v>-11763.0757803051</v>
      </c>
      <c r="AX66" s="0" t="n">
        <f aca="false">AH66+AH66*AN66/_Rfb2+AG66*AO66/_Rfb2+AO66+AO66*AQ66+AN66*AR66</f>
        <v>-29534.2874676926</v>
      </c>
      <c r="AY66" s="0" t="n">
        <f aca="false">ATAN2(AW66,AX66)</f>
        <v>-1.94982373536057</v>
      </c>
      <c r="BA66" s="0" t="n">
        <f aca="false">SQRT(AT66^2+AU66^2)/SQRT(AW66^2+AX66^2)</f>
        <v>92.5824629454363</v>
      </c>
      <c r="BB66" s="0" t="n">
        <f aca="false">20*LOG(BA66)</f>
        <v>39.3305746003086</v>
      </c>
      <c r="BC66" s="0" t="n">
        <f aca="false">AV66-AY66</f>
        <v>-0.744520437599246</v>
      </c>
      <c r="BD66" s="0" t="n">
        <f aca="false">BC66*180/Pi-180</f>
        <v>-222.657878884414</v>
      </c>
      <c r="BF66" s="0" t="n">
        <f aca="false">20*LOG(BA66*J66*F66*C66)</f>
        <v>59.3233021605392</v>
      </c>
      <c r="BG66" s="0" t="n">
        <f aca="false">(180/Pi)*(D66+H66+BC66)</f>
        <v>-57.6188277948744</v>
      </c>
      <c r="BH66" s="0" t="n">
        <f aca="false">IF(BG66&gt;180,BG66-180,BG66+180)</f>
        <v>122.381172205126</v>
      </c>
      <c r="BI66" s="0" t="n">
        <f aca="false">IF(BH66&gt;180,BH66-360,BH66)</f>
        <v>122.381172205126</v>
      </c>
      <c r="BJ66" s="0" t="n">
        <f aca="false">SUM((BF67&lt;0)*(BF66&gt;0))*A66</f>
        <v>0</v>
      </c>
      <c r="BK66" s="0" t="n">
        <f aca="false">IF(BJ66&gt;0,BI66,0)</f>
        <v>0</v>
      </c>
      <c r="BM66" s="0" t="n">
        <f aca="false">20*LOG(J66*F66*C66)</f>
        <v>19.9927275602306</v>
      </c>
      <c r="BN66" s="0" t="n">
        <f aca="false">(H66+D66)*180/Pi</f>
        <v>-14.9609489104607</v>
      </c>
      <c r="BQ66" s="347" t="n">
        <f aca="false">20*LOG(BA66*7)</f>
        <v>56.2325354005937</v>
      </c>
      <c r="BR66" s="351"/>
      <c r="BS66" s="351"/>
      <c r="BT66" s="351" t="n">
        <v>363.078</v>
      </c>
      <c r="BU66" s="351" t="n">
        <v>23.6126</v>
      </c>
      <c r="BV66" s="351" t="n">
        <v>-265.3916</v>
      </c>
      <c r="BW66" s="349"/>
      <c r="BY66" s="351"/>
      <c r="BZ66" s="351"/>
      <c r="CA66" s="351"/>
      <c r="CC66" s="351"/>
    </row>
    <row r="67" customFormat="false" ht="12.75" hidden="false" customHeight="false" outlineLevel="0" collapsed="false">
      <c r="A67" s="0" t="n">
        <f aca="false">A66+500</f>
        <v>16500</v>
      </c>
      <c r="B67" s="0" t="n">
        <f aca="false">A67/1000</f>
        <v>16.5</v>
      </c>
      <c r="C67" s="0" t="n">
        <f aca="false">SQRT((A67/Fesr)^2+1)</f>
        <v>1.000000005374</v>
      </c>
      <c r="D67" s="0" t="n">
        <f aca="false">ATAN(A67/Fesr)</f>
        <v>0.000103672557078576</v>
      </c>
      <c r="F67" s="0" t="n">
        <f aca="false">(Ro/(Ro+Rdcr))/SQRT((A67/(Q*Fo))^2+(1-(A67^2/Fo^2))^2)</f>
        <v>1.11825646041911</v>
      </c>
      <c r="G67" s="0" t="n">
        <f aca="false">-ATAN(A67*Fo/(Q*(Fo^2-A67^2)))</f>
        <v>-0.271592124909553</v>
      </c>
      <c r="H67" s="0" t="n">
        <f aca="false">IF(G67&gt;0,G67-Pi,G67)</f>
        <v>-0.271592124909553</v>
      </c>
      <c r="J67" s="0" t="n">
        <f aca="false">Vin/Vramp</f>
        <v>9</v>
      </c>
      <c r="M67" s="0" t="n">
        <f aca="false">1/(2*Pi*_Rfb1*(Cc1ea_u+Cc2ea_u)*A67)</f>
        <v>0.357250153251978</v>
      </c>
      <c r="N67" s="0" t="n">
        <f aca="false">-Pi/2</f>
        <v>-1.570796325</v>
      </c>
      <c r="O67" s="0" t="n">
        <f aca="false">SQRT(1+(A67/Fz1_u)^2)</f>
        <v>1.0781802272062</v>
      </c>
      <c r="P67" s="0" t="n">
        <f aca="false">ATAN2(Fz1_u,A67)</f>
        <v>0.383157782958739</v>
      </c>
      <c r="Q67" s="0" t="n">
        <f aca="false">SQRT(1+(A67/Fz2_u)^2)</f>
        <v>457.38285275485</v>
      </c>
      <c r="R67" s="0" t="n">
        <f aca="false">ATAN2(Fz2_u,A67)</f>
        <v>1.56860997286696</v>
      </c>
      <c r="S67" s="0" t="n">
        <f aca="false">1/SQRT(1+(A67/Fp1_u)^2)</f>
        <v>0.633149480753685</v>
      </c>
      <c r="T67" s="0" t="n">
        <f aca="false">-ATAN2(Fp1_u,A67)</f>
        <v>-0.885180911824074</v>
      </c>
      <c r="U67" s="0" t="n">
        <f aca="false">1/SQRT(1+(A67/Fp2_u)^2)</f>
        <v>0.99899858894875</v>
      </c>
      <c r="V67" s="0" t="n">
        <f aca="false">-ATAN2(Fp2_u,A67)</f>
        <v>-0.044756636005081</v>
      </c>
      <c r="X67" s="0" t="n">
        <f aca="false">20*LOG(C67*J67*O67*Q67*F67*M67*S67*U67)</f>
        <v>60.9959744636991</v>
      </c>
      <c r="Y67" s="0" t="n">
        <f aca="false">(180/Pi)*(D67+H67+N67+P67+R67+T67+V67)</f>
        <v>-47.0085841600333</v>
      </c>
      <c r="Z67" s="0" t="n">
        <f aca="false">Y67+180</f>
        <v>132.991415839967</v>
      </c>
      <c r="AC67" s="0" t="n">
        <v>1</v>
      </c>
      <c r="AD67" s="0" t="n">
        <f aca="false">Rcea1_u*Cc1ea_u*A67*2*Pi</f>
        <v>0.4030789033656</v>
      </c>
      <c r="AE67" s="0" t="n">
        <f aca="false">-Rcea1_u*Cc1ea_u*Cc2ea_u*(A67*2*Pi)^2</f>
        <v>-6.26823311490798E-006</v>
      </c>
      <c r="AF67" s="0" t="n">
        <f aca="false">(Cc2ea_u+Cc1ea_u)*A67*2*Pi</f>
        <v>0.0001399579525575</v>
      </c>
      <c r="AG67" s="0" t="n">
        <f aca="false">AC67*AE67/(AE67^2+AF67^2)+AD67*AF67/(AE67^2+AF67^2)</f>
        <v>2554.87534264728</v>
      </c>
      <c r="AH67" s="0" t="n">
        <f aca="false">AD67*AE67/(AE67^2+AF67^2)-AC67*AF67/(AE67^2+AF67^2)</f>
        <v>-7259.42710407847</v>
      </c>
      <c r="AJ67" s="0" t="n">
        <f aca="false">_Rfb1</f>
        <v>20000</v>
      </c>
      <c r="AK67" s="0" t="n">
        <f aca="false">_Rfb1*Rcea2_u*Cc3ea_u*A67*2*Pi</f>
        <v>24450.135949008</v>
      </c>
      <c r="AL67" s="0" t="n">
        <v>1</v>
      </c>
      <c r="AM67" s="0" t="n">
        <f aca="false">(_Rfb1+Rcea2_u)*Cc3ea_u*A67*2*Pi</f>
        <v>457.38175957745</v>
      </c>
      <c r="AN67" s="0" t="n">
        <f aca="false">AJ67*AL67/(AL67^2+AM67^2)+AK67*AM67/(AL67^2+AM67^2)</f>
        <v>53.552083134831</v>
      </c>
      <c r="AO67" s="0" t="n">
        <f aca="false">AK67*AL67/(AL67^2+AM67^2)-AJ67*AM67/(AL67^2+AM67^2)</f>
        <v>-43.6100642388813</v>
      </c>
      <c r="AQ67" s="0" t="n">
        <f aca="false">Eadcg/(1+(Eadcg*A67/GBP)^2)</f>
        <v>41.2730583477533</v>
      </c>
      <c r="AR67" s="0" t="n">
        <f aca="false">-(A67*Eadcg*Eadcg/GBP)/(1+(Eadcg*A67/GBP)^2)</f>
        <v>-358.889878862889</v>
      </c>
      <c r="AT67" s="0" t="n">
        <f aca="false">-AR67*AH67+AG67*AQ67</f>
        <v>-2499887.39490837</v>
      </c>
      <c r="AU67" s="0" t="n">
        <f aca="false">AQ67*AH67+AG67*AR67</f>
        <v>-1216537.66067036</v>
      </c>
      <c r="AV67" s="0" t="n">
        <f aca="false">ATAN2(AT67,AU67)</f>
        <v>-2.6886924936023</v>
      </c>
      <c r="AW67" s="0" t="n">
        <f aca="false">AG67-AH67*AO67/_Rfb2+AG67*AN67/_Rfb2+AN67-AO67*AR67+AQ67*AN67</f>
        <v>-10913.4193277642</v>
      </c>
      <c r="AX67" s="0" t="n">
        <f aca="false">AH67+AH67*AN67/_Rfb2+AG67*AO67/_Rfb2+AO67+AO67*AQ67+AN67*AR67</f>
        <v>-28547.3375980346</v>
      </c>
      <c r="AY67" s="0" t="n">
        <f aca="false">ATAN2(AW67,AX67)</f>
        <v>-1.93594462378792</v>
      </c>
      <c r="BA67" s="0" t="n">
        <f aca="false">SQRT(AT67^2+AU67^2)/SQRT(AW67^2+AX67^2)</f>
        <v>90.9676777809341</v>
      </c>
      <c r="BB67" s="0" t="n">
        <f aca="false">20*LOG(BA67)</f>
        <v>39.1777421640189</v>
      </c>
      <c r="BC67" s="0" t="n">
        <f aca="false">AV67-AY67</f>
        <v>-0.752747869814374</v>
      </c>
      <c r="BD67" s="0" t="n">
        <f aca="false">BC67*180/Pi-180</f>
        <v>-223.129276027109</v>
      </c>
      <c r="BF67" s="0" t="n">
        <f aca="false">20*LOG(BA67*J67*F67*C67)</f>
        <v>59.2334207168604</v>
      </c>
      <c r="BG67" s="0" t="n">
        <f aca="false">(180/Pi)*(D67+H67+BC67)</f>
        <v>-58.6844185512189</v>
      </c>
      <c r="BH67" s="0" t="n">
        <f aca="false">IF(BG67&gt;180,BG67-180,BG67+180)</f>
        <v>121.315581448781</v>
      </c>
      <c r="BI67" s="0" t="n">
        <f aca="false">IF(BH67&gt;180,BH67-360,BH67)</f>
        <v>121.315581448781</v>
      </c>
      <c r="BJ67" s="0" t="n">
        <f aca="false">SUM((BF68&lt;0)*(BF67&gt;0))*A67</f>
        <v>0</v>
      </c>
      <c r="BK67" s="0" t="n">
        <f aca="false">IF(BJ67&gt;0,BI67,0)</f>
        <v>0</v>
      </c>
      <c r="BM67" s="0" t="n">
        <f aca="false">20*LOG(J67*F67*C67)</f>
        <v>20.0556785528415</v>
      </c>
      <c r="BN67" s="0" t="n">
        <f aca="false">(H67+D67)*180/Pi</f>
        <v>-15.5551425241097</v>
      </c>
      <c r="BQ67" s="347" t="n">
        <f aca="false">20*LOG(BA67*7)</f>
        <v>56.0797029643041</v>
      </c>
      <c r="BR67" s="351"/>
      <c r="BS67" s="351"/>
      <c r="BT67" s="351" t="n">
        <v>371.535</v>
      </c>
      <c r="BU67" s="351" t="n">
        <v>23.316</v>
      </c>
      <c r="BV67" s="351" t="n">
        <v>-265.2439</v>
      </c>
      <c r="BW67" s="349"/>
      <c r="BY67" s="351"/>
      <c r="BZ67" s="351"/>
      <c r="CA67" s="351"/>
      <c r="CC67" s="351"/>
    </row>
    <row r="68" customFormat="false" ht="12.75" hidden="false" customHeight="false" outlineLevel="0" collapsed="false">
      <c r="A68" s="0" t="n">
        <f aca="false">A67+500</f>
        <v>17000</v>
      </c>
      <c r="B68" s="0" t="n">
        <f aca="false">A68/1000</f>
        <v>17</v>
      </c>
      <c r="C68" s="0" t="n">
        <f aca="false">SQRT((A68/Fesr)^2+1)</f>
        <v>1.00000000570463</v>
      </c>
      <c r="D68" s="0" t="n">
        <f aca="false">ATAN(A68/Fesr)</f>
        <v>0.000106814149693776</v>
      </c>
      <c r="F68" s="0" t="n">
        <f aca="false">(Ro/(Ro+Rdcr))/SQRT((A68/(Q*Fo))^2+(1-(A68^2/Fo^2))^2)</f>
        <v>1.12665342946298</v>
      </c>
      <c r="G68" s="0" t="n">
        <f aca="false">-ATAN(A68*Fo/(Q*(Fo^2-A68^2)))</f>
        <v>-0.282200983245635</v>
      </c>
      <c r="H68" s="0" t="n">
        <f aca="false">IF(G68&gt;0,G68-Pi,G68)</f>
        <v>-0.282200983245635</v>
      </c>
      <c r="J68" s="0" t="n">
        <f aca="false">Vin/Vramp</f>
        <v>9</v>
      </c>
      <c r="M68" s="0" t="n">
        <f aca="false">1/(2*Pi*_Rfb1*(Cc1ea_u+Cc2ea_u)*A68)</f>
        <v>0.346742795803391</v>
      </c>
      <c r="N68" s="0" t="n">
        <f aca="false">-Pi/2</f>
        <v>-1.570796325</v>
      </c>
      <c r="O68" s="0" t="n">
        <f aca="false">SQRT(1+(A68/Fz1_u)^2)</f>
        <v>1.08280590182701</v>
      </c>
      <c r="P68" s="0" t="n">
        <f aca="false">ATAN2(Fz1_u,A68)</f>
        <v>0.39362044204925</v>
      </c>
      <c r="Q68" s="0" t="n">
        <f aca="false">SQRT(1+(A68/Fz2_u)^2)</f>
        <v>471.242873923176</v>
      </c>
      <c r="R68" s="0" t="n">
        <f aca="false">ATAN2(Fz2_u,A68)</f>
        <v>1.56867427719828</v>
      </c>
      <c r="S68" s="0" t="n">
        <f aca="false">1/SQRT(1+(A68/Fp1_u)^2)</f>
        <v>0.621793354630606</v>
      </c>
      <c r="T68" s="0" t="n">
        <f aca="false">-ATAN2(Fp1_u,A68)</f>
        <v>-0.899765866080578</v>
      </c>
      <c r="U68" s="0" t="n">
        <f aca="false">1/SQRT(1+(A68/Fp2_u)^2)</f>
        <v>0.998937075998665</v>
      </c>
      <c r="V68" s="0" t="n">
        <f aca="false">-ATAN2(Fp2_u,A68)</f>
        <v>-0.046111004239013</v>
      </c>
      <c r="X68" s="0" t="n">
        <f aca="false">20*LOG(C68*J68*O68*Q68*F68*M68*S68*U68)</f>
        <v>60.9403984073329</v>
      </c>
      <c r="Y68" s="0" t="n">
        <f aca="false">(180/Pi)*(D68+H68+N68+P68+R68+T68+V68)</f>
        <v>-47.9263523010344</v>
      </c>
      <c r="Z68" s="0" t="n">
        <f aca="false">Y68+180</f>
        <v>132.073647698966</v>
      </c>
      <c r="AC68" s="0" t="n">
        <v>1</v>
      </c>
      <c r="AD68" s="0" t="n">
        <f aca="false">Rcea1_u*Cc1ea_u*A68*2*Pi</f>
        <v>0.4152934155888</v>
      </c>
      <c r="AE68" s="0" t="n">
        <f aca="false">-Rcea1_u*Cc1ea_u*Cc2ea_u*(A68*2*Pi)^2</f>
        <v>-6.65388198423657E-006</v>
      </c>
      <c r="AF68" s="0" t="n">
        <f aca="false">(Cc2ea_u+Cc1ea_u)*A68*2*Pi</f>
        <v>0.000144199102635</v>
      </c>
      <c r="AG68" s="0" t="n">
        <f aca="false">AC68*AE68/(AE68^2+AF68^2)+AD68*AF68/(AE68^2+AF68^2)</f>
        <v>2554.56072142019</v>
      </c>
      <c r="AH68" s="0" t="n">
        <f aca="false">AD68*AE68/(AE68^2+AF68^2)-AC68*AF68/(AE68^2+AF68^2)</f>
        <v>-7052.73283243755</v>
      </c>
      <c r="AJ68" s="0" t="n">
        <f aca="false">_Rfb1</f>
        <v>20000</v>
      </c>
      <c r="AK68" s="0" t="n">
        <f aca="false">_Rfb1*Rcea2_u*Cc3ea_u*A68*2*Pi</f>
        <v>25191.049159584</v>
      </c>
      <c r="AL68" s="0" t="n">
        <v>1</v>
      </c>
      <c r="AM68" s="0" t="n">
        <f aca="false">(_Rfb1+Rcea2_u)*Cc3ea_u*A68*2*Pi</f>
        <v>471.241812897979</v>
      </c>
      <c r="AN68" s="0" t="n">
        <f aca="false">AJ68*AL68/(AL68^2+AM68^2)+AK68*AM68/(AL68^2+AM68^2)</f>
        <v>53.5465569819127</v>
      </c>
      <c r="AO68" s="0" t="n">
        <f aca="false">AK68*AL68/(AL68^2+AM68^2)-AJ68*AM68/(AL68^2+AM68^2)</f>
        <v>-42.3274270174671</v>
      </c>
      <c r="AQ68" s="0" t="n">
        <f aca="false">Eadcg/(1+(Eadcg*A68/GBP)^2)</f>
        <v>38.9103712887434</v>
      </c>
      <c r="AR68" s="0" t="n">
        <f aca="false">-(A68*Eadcg*Eadcg/GBP)/(1+(Eadcg*A68/GBP)^2)</f>
        <v>-348.598016375852</v>
      </c>
      <c r="AT68" s="0" t="n">
        <f aca="false">-AR68*AH68+AG68*AQ68</f>
        <v>-2359169.76926647</v>
      </c>
      <c r="AU68" s="0" t="n">
        <f aca="false">AQ68*AH68+AG68*AR68</f>
        <v>-1164939.2533092</v>
      </c>
      <c r="AV68" s="0" t="n">
        <f aca="false">ATAN2(AT68,AU68)</f>
        <v>-2.68292373447713</v>
      </c>
      <c r="AW68" s="0" t="n">
        <f aca="false">AG68-AH68*AO68/_Rfb2+AG68*AN68/_Rfb2+AN68-AO68*AR68+AQ68*AN68</f>
        <v>-10136.4146511329</v>
      </c>
      <c r="AX68" s="0" t="n">
        <f aca="false">AH68+AH68*AN68/_Rfb2+AG68*AO68/_Rfb2+AO68+AO68*AQ68+AN68*AR68</f>
        <v>-27626.8596023977</v>
      </c>
      <c r="AY68" s="0" t="n">
        <f aca="false">ATAN2(AW68,AX68)</f>
        <v>-1.9224506098707</v>
      </c>
      <c r="BA68" s="0" t="n">
        <f aca="false">SQRT(AT68^2+AU68^2)/SQRT(AW68^2+AX68^2)</f>
        <v>89.4094250450288</v>
      </c>
      <c r="BB68" s="0" t="n">
        <f aca="false">20*LOG(BA68)</f>
        <v>39.0276660424276</v>
      </c>
      <c r="BC68" s="0" t="n">
        <f aca="false">AV68-AY68</f>
        <v>-0.760473124606429</v>
      </c>
      <c r="BD68" s="0" t="n">
        <f aca="false">BC68*180/Pi-180</f>
        <v>-223.571900522863</v>
      </c>
      <c r="BF68" s="0" t="n">
        <f aca="false">20*LOG(BA68*J68*F68*C68)</f>
        <v>59.1483231408299</v>
      </c>
      <c r="BG68" s="0" t="n">
        <f aca="false">(180/Pi)*(D68+H68+BC68)</f>
        <v>-59.7347058557788</v>
      </c>
      <c r="BH68" s="0" t="n">
        <f aca="false">IF(BG68&gt;180,BG68-180,BG68+180)</f>
        <v>120.265294144221</v>
      </c>
      <c r="BI68" s="0" t="n">
        <f aca="false">IF(BH68&gt;180,BH68-360,BH68)</f>
        <v>120.265294144221</v>
      </c>
      <c r="BJ68" s="0" t="n">
        <f aca="false">SUM((BF69&lt;0)*(BF68&gt;0))*A68</f>
        <v>0</v>
      </c>
      <c r="BK68" s="0" t="n">
        <f aca="false">IF(BJ68&gt;0,BI68,0)</f>
        <v>0</v>
      </c>
      <c r="BM68" s="0" t="n">
        <f aca="false">20*LOG(J68*F68*C68)</f>
        <v>20.1206570984022</v>
      </c>
      <c r="BN68" s="0" t="n">
        <f aca="false">(H68+D68)*180/Pi</f>
        <v>-16.1628053329159</v>
      </c>
      <c r="BQ68" s="347" t="n">
        <f aca="false">20*LOG(BA68*7)</f>
        <v>55.9296268427128</v>
      </c>
      <c r="BR68" s="351"/>
      <c r="BS68" s="351"/>
      <c r="BT68" s="351" t="n">
        <v>380.189</v>
      </c>
      <c r="BU68" s="351" t="n">
        <v>23.2133</v>
      </c>
      <c r="BV68" s="351" t="n">
        <v>-265.4987</v>
      </c>
      <c r="BW68" s="349"/>
      <c r="BY68" s="351"/>
      <c r="BZ68" s="351"/>
      <c r="CA68" s="351"/>
      <c r="CC68" s="351"/>
    </row>
    <row r="69" customFormat="false" ht="12.75" hidden="false" customHeight="false" outlineLevel="0" collapsed="false">
      <c r="A69" s="0" t="n">
        <f aca="false">A68+500</f>
        <v>17500</v>
      </c>
      <c r="B69" s="0" t="n">
        <f aca="false">A69/1000</f>
        <v>17.5</v>
      </c>
      <c r="C69" s="0" t="n">
        <f aca="false">SQRT((A69/Fesr)^2+1)</f>
        <v>1.00000000604513</v>
      </c>
      <c r="D69" s="0" t="n">
        <f aca="false">ATAN(A69/Fesr)</f>
        <v>0.000109955742306869</v>
      </c>
      <c r="F69" s="0" t="n">
        <f aca="false">(Ro/(Ro+Rdcr))/SQRT((A69/(Q*Fo))^2+(1-(A69^2/Fo^2))^2)</f>
        <v>1.13537807289165</v>
      </c>
      <c r="G69" s="0" t="n">
        <f aca="false">-ATAN(A69*Fo/(Q*(Fo^2-A69^2)))</f>
        <v>-0.293057175637181</v>
      </c>
      <c r="H69" s="0" t="n">
        <f aca="false">IF(G69&gt;0,G69-Pi,G69)</f>
        <v>-0.293057175637181</v>
      </c>
      <c r="J69" s="0" t="n">
        <f aca="false">Vin/Vramp</f>
        <v>9</v>
      </c>
      <c r="M69" s="0" t="n">
        <f aca="false">1/(2*Pi*_Rfb1*(Cc1ea_u+Cc2ea_u)*A69)</f>
        <v>0.336835858780437</v>
      </c>
      <c r="N69" s="0" t="n">
        <f aca="false">-Pi/2</f>
        <v>-1.570796325</v>
      </c>
      <c r="O69" s="0" t="n">
        <f aca="false">SQRT(1+(A69/Fz1_u)^2)</f>
        <v>1.08754909238255</v>
      </c>
      <c r="P69" s="0" t="n">
        <f aca="false">ATAN2(Fz1_u,A69)</f>
        <v>0.403992965647087</v>
      </c>
      <c r="Q69" s="0" t="n">
        <f aca="false">SQRT(1+(A69/Fz2_u)^2)</f>
        <v>485.102896928764</v>
      </c>
      <c r="R69" s="0" t="n">
        <f aca="false">ATAN2(Fz2_u,A69)</f>
        <v>1.56873490701247</v>
      </c>
      <c r="S69" s="0" t="n">
        <f aca="false">1/SQRT(1+(A69/Fp1_u)^2)</f>
        <v>0.61071430551289</v>
      </c>
      <c r="T69" s="0" t="n">
        <f aca="false">-ATAN2(Fp1_u,A69)</f>
        <v>-0.913833978738784</v>
      </c>
      <c r="U69" s="0" t="n">
        <f aca="false">1/SQRT(1+(A69/Fp2_u)^2)</f>
        <v>0.998873738716373</v>
      </c>
      <c r="V69" s="0" t="n">
        <f aca="false">-ATAN2(Fp2_u,A69)</f>
        <v>-0.0474652032101514</v>
      </c>
      <c r="X69" s="0" t="n">
        <f aca="false">20*LOG(C69*J69*O69*Q69*F69*M69*S69*U69)</f>
        <v>60.8886552164464</v>
      </c>
      <c r="Y69" s="0" t="n">
        <f aca="false">(180/Pi)*(D69+H69+N69+P69+R69+T69+V69)</f>
        <v>-48.834044016867</v>
      </c>
      <c r="Z69" s="0" t="n">
        <f aca="false">Y69+180</f>
        <v>131.165955983133</v>
      </c>
      <c r="AC69" s="0" t="n">
        <v>1</v>
      </c>
      <c r="AD69" s="0" t="n">
        <f aca="false">Rcea1_u*Cc1ea_u*A69*2*Pi</f>
        <v>0.427507927812</v>
      </c>
      <c r="AE69" s="0" t="n">
        <f aca="false">-Rcea1_u*Cc1ea_u*Cc2ea_u*(A69*2*Pi)^2</f>
        <v>-7.05104276011228E-006</v>
      </c>
      <c r="AF69" s="0" t="n">
        <f aca="false">(Cc2ea_u+Cc1ea_u)*A69*2*Pi</f>
        <v>0.0001484402527125</v>
      </c>
      <c r="AG69" s="0" t="n">
        <f aca="false">AC69*AE69/(AE69^2+AF69^2)+AD69*AF69/(AE69^2+AF69^2)</f>
        <v>2554.2367894969</v>
      </c>
      <c r="AH69" s="0" t="n">
        <f aca="false">AD69*AE69/(AE69^2+AF69^2)-AC69*AF69/(AE69^2+AF69^2)</f>
        <v>-6858.04567305529</v>
      </c>
      <c r="AJ69" s="0" t="n">
        <f aca="false">_Rfb1</f>
        <v>20000</v>
      </c>
      <c r="AK69" s="0" t="n">
        <f aca="false">_Rfb1*Rcea2_u*Cc3ea_u*A69*2*Pi</f>
        <v>25931.96237016</v>
      </c>
      <c r="AL69" s="0" t="n">
        <v>1</v>
      </c>
      <c r="AM69" s="0" t="n">
        <f aca="false">(_Rfb1+Rcea2_u)*Cc3ea_u*A69*2*Pi</f>
        <v>485.101866218508</v>
      </c>
      <c r="AN69" s="0" t="n">
        <f aca="false">AJ69*AL69/(AL69^2+AM69^2)+AK69*AM69/(AL69^2+AM69^2)</f>
        <v>53.5414976961765</v>
      </c>
      <c r="AO69" s="0" t="n">
        <f aca="false">AK69*AL69/(AL69^2+AM69^2)-AJ69*AM69/(AL69^2+AM69^2)</f>
        <v>-41.1180823891516</v>
      </c>
      <c r="AQ69" s="0" t="n">
        <f aca="false">Eadcg/(1+(Eadcg*A69/GBP)^2)</f>
        <v>36.7441536508729</v>
      </c>
      <c r="AR69" s="0" t="n">
        <f aca="false">-(A69*Eadcg*Eadcg/GBP)/(1+(Eadcg*A69/GBP)^2)</f>
        <v>-338.872957045175</v>
      </c>
      <c r="AT69" s="0" t="n">
        <f aca="false">-AR69*AH69+AG69*AQ69</f>
        <v>-2230152.94772513</v>
      </c>
      <c r="AU69" s="0" t="n">
        <f aca="false">AQ69*AH69+AG69*AR69</f>
        <v>-1117554.85780584</v>
      </c>
      <c r="AV69" s="0" t="n">
        <f aca="false">ATAN2(AT69,AU69)</f>
        <v>-2.67705639447723</v>
      </c>
      <c r="AW69" s="0" t="n">
        <f aca="false">AG69-AH69*AO69/_Rfb2+AG69*AN69/_Rfb2+AN69-AO69*AR69+AQ69*AN69</f>
        <v>-9424.04527272453</v>
      </c>
      <c r="AX69" s="0" t="n">
        <f aca="false">AH69+AH69*AN69/_Rfb2+AG69*AO69/_Rfb2+AO69+AO69*AQ69+AN69*AR69</f>
        <v>-26766.2754514217</v>
      </c>
      <c r="AY69" s="0" t="n">
        <f aca="false">ATAN2(AW69,AX69)</f>
        <v>-1.90932876713423</v>
      </c>
      <c r="BA69" s="0" t="n">
        <f aca="false">SQRT(AT69^2+AU69^2)/SQRT(AW69^2+AX69^2)</f>
        <v>87.905999081968</v>
      </c>
      <c r="BB69" s="0" t="n">
        <f aca="false">20*LOG(BA69)</f>
        <v>38.8803702840221</v>
      </c>
      <c r="BC69" s="0" t="n">
        <f aca="false">AV69-AY69</f>
        <v>-0.767727627343</v>
      </c>
      <c r="BD69" s="0" t="n">
        <f aca="false">BC69*180/Pi-180</f>
        <v>-223.987552912609</v>
      </c>
      <c r="BF69" s="0" t="n">
        <f aca="false">20*LOG(BA69*J69*F69*C69)</f>
        <v>59.0680305775671</v>
      </c>
      <c r="BG69" s="0" t="n">
        <f aca="false">(180/Pi)*(D69+H69+BC69)</f>
        <v>-60.7721922518558</v>
      </c>
      <c r="BH69" s="0" t="n">
        <f aca="false">IF(BG69&gt;180,BG69-180,BG69+180)</f>
        <v>119.227807748144</v>
      </c>
      <c r="BI69" s="0" t="n">
        <f aca="false">IF(BH69&gt;180,BH69-360,BH69)</f>
        <v>119.227807748144</v>
      </c>
      <c r="BJ69" s="0" t="n">
        <f aca="false">SUM((BF70&lt;0)*(BF69&gt;0))*A69</f>
        <v>0</v>
      </c>
      <c r="BK69" s="0" t="n">
        <f aca="false">IF(BJ69&gt;0,BI69,0)</f>
        <v>0</v>
      </c>
      <c r="BM69" s="0" t="n">
        <f aca="false">20*LOG(J69*F69*C69)</f>
        <v>20.1876602935451</v>
      </c>
      <c r="BN69" s="0" t="n">
        <f aca="false">(H69+D69)*180/Pi</f>
        <v>-16.7846393392464</v>
      </c>
      <c r="BQ69" s="347" t="n">
        <f aca="false">20*LOG(BA69*7)</f>
        <v>55.7823310843072</v>
      </c>
      <c r="BR69" s="351"/>
      <c r="BS69" s="351"/>
      <c r="BT69" s="351" t="n">
        <v>389.045</v>
      </c>
      <c r="BU69" s="351" t="n">
        <v>22.9552</v>
      </c>
      <c r="BV69" s="351" t="n">
        <v>-266.0672</v>
      </c>
      <c r="BW69" s="349"/>
      <c r="BY69" s="351"/>
      <c r="BZ69" s="351"/>
      <c r="CA69" s="351"/>
      <c r="CC69" s="351"/>
    </row>
    <row r="70" customFormat="false" ht="12.75" hidden="false" customHeight="false" outlineLevel="0" collapsed="false">
      <c r="A70" s="0" t="n">
        <f aca="false">A69+500</f>
        <v>18000</v>
      </c>
      <c r="B70" s="0" t="n">
        <f aca="false">A70/1000</f>
        <v>18</v>
      </c>
      <c r="C70" s="0" t="n">
        <f aca="false">SQRT((A70/Fesr)^2+1)</f>
        <v>1.0000000063955</v>
      </c>
      <c r="D70" s="0" t="n">
        <f aca="false">ATAN(A70/Fesr)</f>
        <v>0.00011309733491779</v>
      </c>
      <c r="F70" s="0" t="n">
        <f aca="false">(Ro/(Ro+Rdcr))/SQRT((A70/(Q*Fo))^2+(1-(A70^2/Fo^2))^2)</f>
        <v>1.14443631623189</v>
      </c>
      <c r="G70" s="0" t="n">
        <f aca="false">-ATAN(A70*Fo/(Q*(Fo^2-A70^2)))</f>
        <v>-0.304173499307697</v>
      </c>
      <c r="H70" s="0" t="n">
        <f aca="false">IF(G70&gt;0,G70-Pi,G70)</f>
        <v>-0.304173499307697</v>
      </c>
      <c r="J70" s="0" t="n">
        <f aca="false">Vin/Vramp</f>
        <v>9</v>
      </c>
      <c r="M70" s="0" t="n">
        <f aca="false">1/(2*Pi*_Rfb1*(Cc1ea_u+Cc2ea_u)*A70)</f>
        <v>0.327479307147647</v>
      </c>
      <c r="N70" s="0" t="n">
        <f aca="false">-Pi/2</f>
        <v>-1.570796325</v>
      </c>
      <c r="O70" s="0" t="n">
        <f aca="false">SQRT(1+(A70/Fz1_u)^2)</f>
        <v>1.09240826812621</v>
      </c>
      <c r="P70" s="0" t="n">
        <f aca="false">ATAN2(Fz1_u,A70)</f>
        <v>0.414274310608585</v>
      </c>
      <c r="Q70" s="0" t="n">
        <f aca="false">SQRT(1+(A70/Fz2_u)^2)</f>
        <v>498.962921618511</v>
      </c>
      <c r="R70" s="0" t="n">
        <f aca="false">ATAN2(Fz2_u,A70)</f>
        <v>1.56879216851757</v>
      </c>
      <c r="S70" s="0" t="n">
        <f aca="false">1/SQRT(1+(A70/Fp1_u)^2)</f>
        <v>0.599910601213064</v>
      </c>
      <c r="T70" s="0" t="n">
        <f aca="false">-ATAN2(Fp1_u,A70)</f>
        <v>-0.927406961803011</v>
      </c>
      <c r="U70" s="0" t="n">
        <f aca="false">1/SQRT(1+(A70/Fp2_u)^2)</f>
        <v>0.998808578145705</v>
      </c>
      <c r="V70" s="0" t="n">
        <f aca="false">-ATAN2(Fp2_u,A70)</f>
        <v>-0.048819227984365</v>
      </c>
      <c r="X70" s="0" t="n">
        <f aca="false">20*LOG(C70*J70*O70*Q70*F70*M70*S70*U70)</f>
        <v>60.8408011706668</v>
      </c>
      <c r="Y70" s="0" t="n">
        <f aca="false">(180/Pi)*(D70+H70+N70+P70+R70+T70+V70)</f>
        <v>-49.7336784812381</v>
      </c>
      <c r="Z70" s="0" t="n">
        <f aca="false">Y70+180</f>
        <v>130.266321518762</v>
      </c>
      <c r="AC70" s="0" t="n">
        <v>1</v>
      </c>
      <c r="AD70" s="0" t="n">
        <f aca="false">Rcea1_u*Cc1ea_u*A70*2*Pi</f>
        <v>0.4397224400352</v>
      </c>
      <c r="AE70" s="0" t="n">
        <f aca="false">-Rcea1_u*Cc1ea_u*Cc2ea_u*(A70*2*Pi)^2</f>
        <v>-7.45971544253511E-006</v>
      </c>
      <c r="AF70" s="0" t="n">
        <f aca="false">(Cc2ea_u+Cc1ea_u)*A70*2*Pi</f>
        <v>0.00015268140279</v>
      </c>
      <c r="AG70" s="0" t="n">
        <f aca="false">AC70*AE70/(AE70^2+AF70^2)+AD70*AF70/(AE70^2+AF70^2)</f>
        <v>2553.90355399026</v>
      </c>
      <c r="AH70" s="0" t="n">
        <f aca="false">AD70*AE70/(AE70^2+AF70^2)-AC70*AF70/(AE70^2+AF70^2)</f>
        <v>-6674.36488766129</v>
      </c>
      <c r="AJ70" s="0" t="n">
        <f aca="false">_Rfb1</f>
        <v>20000</v>
      </c>
      <c r="AK70" s="0" t="n">
        <f aca="false">_Rfb1*Rcea2_u*Cc3ea_u*A70*2*Pi</f>
        <v>26672.875580736</v>
      </c>
      <c r="AL70" s="0" t="n">
        <v>1</v>
      </c>
      <c r="AM70" s="0" t="n">
        <f aca="false">(_Rfb1+Rcea2_u)*Cc3ea_u*A70*2*Pi</f>
        <v>498.961919539037</v>
      </c>
      <c r="AN70" s="0" t="n">
        <f aca="false">AJ70*AL70/(AL70^2+AM70^2)+AK70*AM70/(AL70^2+AM70^2)</f>
        <v>53.5368541313832</v>
      </c>
      <c r="AO70" s="0" t="n">
        <f aca="false">AK70*AL70/(AL70^2+AM70^2)-AJ70*AM70/(AL70^2+AM70^2)</f>
        <v>-39.9759227403487</v>
      </c>
      <c r="AQ70" s="0" t="n">
        <f aca="false">Eadcg/(1+(Eadcg*A70/GBP)^2)</f>
        <v>34.7532883622997</v>
      </c>
      <c r="AR70" s="0" t="n">
        <f aca="false">-(A70*Eadcg*Eadcg/GBP)/(1+(Eadcg*A70/GBP)^2)</f>
        <v>-329.669693404775</v>
      </c>
      <c r="AT70" s="0" t="n">
        <f aca="false">-AR70*AH70+AG70*AQ70</f>
        <v>-2111579.27952557</v>
      </c>
      <c r="AU70" s="0" t="n">
        <f aca="false">AQ70*AH70+AG70*AR70</f>
        <v>-1073900.72920544</v>
      </c>
      <c r="AV70" s="0" t="n">
        <f aca="false">ATAN2(AT70,AU70)</f>
        <v>-2.67110698363091</v>
      </c>
      <c r="AW70" s="0" t="n">
        <f aca="false">AG70-AH70*AO70/_Rfb2+AG70*AN70/_Rfb2+AN70-AO70*AR70+AQ70*AN70</f>
        <v>-8769.36672549827</v>
      </c>
      <c r="AX70" s="0" t="n">
        <f aca="false">AH70+AH70*AN70/_Rfb2+AG70*AO70/_Rfb2+AO70+AO70*AQ70+AN70*AR70</f>
        <v>-25959.8524860522</v>
      </c>
      <c r="AY70" s="0" t="n">
        <f aca="false">ATAN2(AW70,AX70)</f>
        <v>-1.89656592492086</v>
      </c>
      <c r="BA70" s="0" t="n">
        <f aca="false">SQRT(AT70^2+AU70^2)/SQRT(AW70^2+AX70^2)</f>
        <v>86.4556345920414</v>
      </c>
      <c r="BB70" s="0" t="n">
        <f aca="false">20*LOG(BA70)</f>
        <v>38.7358660580375</v>
      </c>
      <c r="BC70" s="0" t="n">
        <f aca="false">AV70-AY70</f>
        <v>-0.774541058710055</v>
      </c>
      <c r="BD70" s="0" t="n">
        <f aca="false">BC70*180/Pi-180</f>
        <v>-224.37793377439</v>
      </c>
      <c r="BF70" s="0" t="n">
        <f aca="false">20*LOG(BA70*J70*F70*C70)</f>
        <v>58.9925489174905</v>
      </c>
      <c r="BG70" s="0" t="n">
        <f aca="false">(180/Pi)*(D70+H70+BC70)</f>
        <v>-61.7993115443882</v>
      </c>
      <c r="BH70" s="0" t="n">
        <f aca="false">IF(BG70&gt;180,BG70-180,BG70+180)</f>
        <v>118.200688455612</v>
      </c>
      <c r="BI70" s="0" t="n">
        <f aca="false">IF(BH70&gt;180,BH70-360,BH70)</f>
        <v>118.200688455612</v>
      </c>
      <c r="BJ70" s="0" t="n">
        <f aca="false">SUM((BF71&lt;0)*(BF70&gt;0))*A70</f>
        <v>0</v>
      </c>
      <c r="BK70" s="0" t="n">
        <f aca="false">IF(BJ70&gt;0,BI70,0)</f>
        <v>0</v>
      </c>
      <c r="BM70" s="0" t="n">
        <f aca="false">20*LOG(J70*F70*C70)</f>
        <v>20.256682859453</v>
      </c>
      <c r="BN70" s="0" t="n">
        <f aca="false">(H70+D70)*180/Pi</f>
        <v>-17.4213777699984</v>
      </c>
      <c r="BQ70" s="347" t="n">
        <f aca="false">20*LOG(BA70*7)</f>
        <v>55.6378268583227</v>
      </c>
      <c r="BR70" s="351"/>
      <c r="BS70" s="351"/>
      <c r="BT70" s="351" t="n">
        <v>398.107</v>
      </c>
      <c r="BU70" s="351" t="n">
        <v>22.7385</v>
      </c>
      <c r="BV70" s="351" t="n">
        <v>-265.2319</v>
      </c>
      <c r="BW70" s="349"/>
      <c r="BY70" s="351"/>
      <c r="BZ70" s="351"/>
      <c r="CA70" s="351"/>
      <c r="CC70" s="351"/>
    </row>
    <row r="71" customFormat="false" ht="12.75" hidden="false" customHeight="false" outlineLevel="0" collapsed="false">
      <c r="A71" s="0" t="n">
        <f aca="false">A70+500</f>
        <v>18500</v>
      </c>
      <c r="B71" s="0" t="n">
        <f aca="false">A71/1000</f>
        <v>18.5</v>
      </c>
      <c r="C71" s="0" t="n">
        <f aca="false">SQRT((A71/Fesr)^2+1)</f>
        <v>1.00000000675574</v>
      </c>
      <c r="D71" s="0" t="n">
        <f aca="false">ATAN(A71/Fesr)</f>
        <v>0.00011623892752648</v>
      </c>
      <c r="F71" s="0" t="n">
        <f aca="false">(Ro/(Ro+Rdcr))/SQRT((A71/(Q*Fo))^2+(1-(A71^2/Fo^2))^2)</f>
        <v>1.15383398604437</v>
      </c>
      <c r="G71" s="0" t="n">
        <f aca="false">-ATAN(A71*Fo/(Q*(Fo^2-A71^2)))</f>
        <v>-0.315563322960956</v>
      </c>
      <c r="H71" s="0" t="n">
        <f aca="false">IF(G71&gt;0,G71-Pi,G71)</f>
        <v>-0.315563322960956</v>
      </c>
      <c r="J71" s="0" t="n">
        <f aca="false">Vin/Vramp</f>
        <v>9</v>
      </c>
      <c r="M71" s="0" t="n">
        <f aca="false">1/(2*Pi*_Rfb1*(Cc1ea_u+Cc2ea_u)*A71)</f>
        <v>0.318628515062575</v>
      </c>
      <c r="N71" s="0" t="n">
        <f aca="false">-Pi/2</f>
        <v>-1.570796325</v>
      </c>
      <c r="O71" s="0" t="n">
        <f aca="false">SQRT(1+(A71/Fz1_u)^2)</f>
        <v>1.09738188832175</v>
      </c>
      <c r="P71" s="0" t="n">
        <f aca="false">ATAN2(Fz1_u,A71)</f>
        <v>0.424463529134818</v>
      </c>
      <c r="Q71" s="0" t="n">
        <f aca="false">SQRT(1+(A71/Fz2_u)^2)</f>
        <v>512.822947855863</v>
      </c>
      <c r="R71" s="0" t="n">
        <f aca="false">ATAN2(Fz2_u,A71)</f>
        <v>1.56884633481828</v>
      </c>
      <c r="S71" s="0" t="n">
        <f aca="false">1/SQRT(1+(A71/Fp1_u)^2)</f>
        <v>0.589379521729981</v>
      </c>
      <c r="T71" s="0" t="n">
        <f aca="false">-ATAN2(Fp1_u,A71)</f>
        <v>-0.940505756660041</v>
      </c>
      <c r="U71" s="0" t="n">
        <f aca="false">1/SQRT(1+(A71/Fp2_u)^2)</f>
        <v>0.998741595360169</v>
      </c>
      <c r="V71" s="0" t="n">
        <f aca="false">-ATAN2(Fp2_u,A71)</f>
        <v>-0.0501730736313472</v>
      </c>
      <c r="X71" s="0" t="n">
        <f aca="false">20*LOG(C71*J71*O71*Q71*F71*M71*S71*U71)</f>
        <v>60.7968779488592</v>
      </c>
      <c r="Y71" s="0" t="n">
        <f aca="false">(180/Pi)*(D71+H71+N71+P71+R71+T71+V71)</f>
        <v>-50.6272598921792</v>
      </c>
      <c r="Z71" s="0" t="n">
        <f aca="false">Y71+180</f>
        <v>129.372740107821</v>
      </c>
      <c r="AC71" s="0" t="n">
        <v>1</v>
      </c>
      <c r="AD71" s="0" t="n">
        <f aca="false">Rcea1_u*Cc1ea_u*A71*2*Pi</f>
        <v>0.4519369522584</v>
      </c>
      <c r="AE71" s="0" t="n">
        <f aca="false">-Rcea1_u*Cc1ea_u*Cc2ea_u*(A71*2*Pi)^2</f>
        <v>-7.87990003150507E-006</v>
      </c>
      <c r="AF71" s="0" t="n">
        <f aca="false">(Cc2ea_u+Cc1ea_u)*A71*2*Pi</f>
        <v>0.0001569225528675</v>
      </c>
      <c r="AG71" s="0" t="n">
        <f aca="false">AC71*AE71/(AE71^2+AF71^2)+AD71*AF71/(AE71^2+AF71^2)</f>
        <v>2553.56102221459</v>
      </c>
      <c r="AH71" s="0" t="n">
        <f aca="false">AD71*AE71/(AE71^2+AF71^2)-AC71*AF71/(AE71^2+AF71^2)</f>
        <v>-6500.79792189434</v>
      </c>
      <c r="AJ71" s="0" t="n">
        <f aca="false">_Rfb1</f>
        <v>20000</v>
      </c>
      <c r="AK71" s="0" t="n">
        <f aca="false">_Rfb1*Rcea2_u*Cc3ea_u*A71*2*Pi</f>
        <v>27413.788791312</v>
      </c>
      <c r="AL71" s="0" t="n">
        <v>1</v>
      </c>
      <c r="AM71" s="0" t="n">
        <f aca="false">(_Rfb1+Rcea2_u)*Cc3ea_u*A71*2*Pi</f>
        <v>512.821972859566</v>
      </c>
      <c r="AN71" s="0" t="n">
        <f aca="false">AJ71*AL71/(AL71^2+AM71^2)+AK71*AM71/(AL71^2+AM71^2)</f>
        <v>53.532581958138</v>
      </c>
      <c r="AO71" s="0" t="n">
        <f aca="false">AK71*AL71/(AL71^2+AM71^2)-AJ71*AM71/(AL71^2+AM71^2)</f>
        <v>-38.8955007267291</v>
      </c>
      <c r="AQ71" s="0" t="n">
        <f aca="false">Eadcg/(1+(Eadcg*A71/GBP)^2)</f>
        <v>32.9194113835382</v>
      </c>
      <c r="AR71" s="0" t="n">
        <f aca="false">-(A71*Eadcg*Eadcg/GBP)/(1+(Eadcg*A71/GBP)^2)</f>
        <v>-320.947801283806</v>
      </c>
      <c r="AT71" s="0" t="n">
        <f aca="false">-AR71*AH71+AG71*AQ71</f>
        <v>-2002355.07383907</v>
      </c>
      <c r="AU71" s="0" t="n">
        <f aca="false">AQ71*AH71+AG71*AR71</f>
        <v>-1033562.23663589</v>
      </c>
      <c r="AV71" s="0" t="n">
        <f aca="false">ATAN2(AT71,AU71)</f>
        <v>-2.66509027477022</v>
      </c>
      <c r="AW71" s="0" t="n">
        <f aca="false">AG71-AH71*AO71/_Rfb2+AG71*AN71/_Rfb2+AN71-AO71*AR71+AQ71*AN71</f>
        <v>-8166.33963001555</v>
      </c>
      <c r="AX71" s="0" t="n">
        <f aca="false">AH71+AH71*AN71/_Rfb2+AG71*AO71/_Rfb2+AO71+AO71*AQ71+AN71*AR71</f>
        <v>-25202.5718279866</v>
      </c>
      <c r="AY71" s="0" t="n">
        <f aca="false">ATAN2(AW71,AX71)</f>
        <v>-1.88414885871155</v>
      </c>
      <c r="BA71" s="0" t="n">
        <f aca="false">SQRT(AT71^2+AU71^2)/SQRT(AW71^2+AX71^2)</f>
        <v>85.0565320201549</v>
      </c>
      <c r="BB71" s="0" t="n">
        <f aca="false">20*LOG(BA71)</f>
        <v>38.5941534280788</v>
      </c>
      <c r="BC71" s="0" t="n">
        <f aca="false">AV71-AY71</f>
        <v>-0.780941416058671</v>
      </c>
      <c r="BD71" s="0" t="n">
        <f aca="false">BC71*180/Pi-180</f>
        <v>-224.74464723826</v>
      </c>
      <c r="BF71" s="0" t="n">
        <f aca="false">20*LOG(BA71*J71*F71*C71)</f>
        <v>58.9218702136132</v>
      </c>
      <c r="BG71" s="0" t="n">
        <f aca="false">(180/Pi)*(D71+H71+BC71)</f>
        <v>-62.8184338337366</v>
      </c>
      <c r="BH71" s="0" t="n">
        <f aca="false">IF(BG71&gt;180,BG71-180,BG71+180)</f>
        <v>117.181566166263</v>
      </c>
      <c r="BI71" s="0" t="n">
        <f aca="false">IF(BH71&gt;180,BH71-360,BH71)</f>
        <v>117.181566166263</v>
      </c>
      <c r="BJ71" s="0" t="n">
        <f aca="false">SUM((BF72&lt;0)*(BF71&gt;0))*A71</f>
        <v>0</v>
      </c>
      <c r="BK71" s="0" t="n">
        <f aca="false">IF(BJ71&gt;0,BI71,0)</f>
        <v>0</v>
      </c>
      <c r="BM71" s="0" t="n">
        <f aca="false">20*LOG(J71*F71*C71)</f>
        <v>20.3277167855344</v>
      </c>
      <c r="BN71" s="0" t="n">
        <f aca="false">(H71+D71)*180/Pi</f>
        <v>-18.0737865954764</v>
      </c>
      <c r="BQ71" s="347" t="n">
        <f aca="false">20*LOG(BA71*7)</f>
        <v>55.4961142283639</v>
      </c>
      <c r="BR71" s="351"/>
      <c r="BS71" s="351"/>
      <c r="BT71" s="351" t="n">
        <v>407.38</v>
      </c>
      <c r="BU71" s="351" t="n">
        <v>22.7593</v>
      </c>
      <c r="BV71" s="351" t="n">
        <v>-265.7319</v>
      </c>
      <c r="BW71" s="349"/>
      <c r="BY71" s="351"/>
      <c r="BZ71" s="351"/>
      <c r="CA71" s="351"/>
      <c r="CC71" s="351"/>
    </row>
    <row r="72" customFormat="false" ht="12.75" hidden="false" customHeight="false" outlineLevel="0" collapsed="false">
      <c r="A72" s="0" t="n">
        <f aca="false">A71+500</f>
        <v>19000</v>
      </c>
      <c r="B72" s="0" t="n">
        <f aca="false">A72/1000</f>
        <v>19</v>
      </c>
      <c r="C72" s="0" t="n">
        <f aca="false">SQRT((A72/Fesr)^2+1)</f>
        <v>1.00000000712585</v>
      </c>
      <c r="D72" s="0" t="n">
        <f aca="false">ATAN(A72/Fesr)</f>
        <v>0.000119380520132875</v>
      </c>
      <c r="F72" s="0" t="n">
        <f aca="false">(Ro/(Ro+Rdcr))/SQRT((A72/(Q*Fo))^2+(1-(A72^2/Fo^2))^2)</f>
        <v>1.1635767481845</v>
      </c>
      <c r="G72" s="0" t="n">
        <f aca="false">-ATAN(A72*Fo/(Q*(Fo^2-A72^2)))</f>
        <v>-0.327240613339419</v>
      </c>
      <c r="H72" s="0" t="n">
        <f aca="false">IF(G72&gt;0,G72-Pi,G72)</f>
        <v>-0.327240613339419</v>
      </c>
      <c r="J72" s="0" t="n">
        <f aca="false">Vin/Vramp</f>
        <v>9</v>
      </c>
      <c r="M72" s="0" t="n">
        <f aca="false">1/(2*Pi*_Rfb1*(Cc1ea_u+Cc2ea_u)*A72)</f>
        <v>0.310243554139876</v>
      </c>
      <c r="N72" s="0" t="n">
        <f aca="false">-Pi/2</f>
        <v>-1.570796325</v>
      </c>
      <c r="O72" s="0" t="n">
        <f aca="false">SQRT(1+(A72/Fz1_u)^2)</f>
        <v>1.10246840407352</v>
      </c>
      <c r="P72" s="0" t="n">
        <f aca="false">ATAN2(Fz1_u,A72)</f>
        <v>0.434559766835218</v>
      </c>
      <c r="Q72" s="0" t="n">
        <f aca="false">SQRT(1+(A72/Fz2_u)^2)</f>
        <v>526.682975518641</v>
      </c>
      <c r="R72" s="0" t="n">
        <f aca="false">ATAN2(Fz2_u,A72)</f>
        <v>1.56889765027162</v>
      </c>
      <c r="S72" s="0" t="n">
        <f aca="false">1/SQRT(1+(A72/Fp1_u)^2)</f>
        <v>0.579117525991108</v>
      </c>
      <c r="T72" s="0" t="n">
        <f aca="false">-ATAN2(Fp1_u,A72)</f>
        <v>-0.953150518859659</v>
      </c>
      <c r="U72" s="0" t="n">
        <f aca="false">1/SQRT(1+(A72/Fp2_u)^2)</f>
        <v>0.998672791462907</v>
      </c>
      <c r="V72" s="0" t="n">
        <f aca="false">-ATAN2(Fp2_u,A72)</f>
        <v>-0.0515267352247221</v>
      </c>
      <c r="X72" s="0" t="n">
        <f aca="false">20*LOG(C72*J72*O72*Q72*F72*M72*S72*U72)</f>
        <v>60.7569134407772</v>
      </c>
      <c r="Y72" s="0" t="n">
        <f aca="false">(180/Pi)*(D72+H72+N72+P72+R72+T72+V72)</f>
        <v>-51.5167779831132</v>
      </c>
      <c r="Z72" s="0" t="n">
        <f aca="false">Y72+180</f>
        <v>128.483222016887</v>
      </c>
      <c r="AC72" s="0" t="n">
        <v>1</v>
      </c>
      <c r="AD72" s="0" t="n">
        <f aca="false">Rcea1_u*Cc1ea_u*A72*2*Pi</f>
        <v>0.4641514644816</v>
      </c>
      <c r="AE72" s="0" t="n">
        <f aca="false">-Rcea1_u*Cc1ea_u*Cc2ea_u*(A72*2*Pi)^2</f>
        <v>-8.31159652702215E-006</v>
      </c>
      <c r="AF72" s="0" t="n">
        <f aca="false">(Cc2ea_u+Cc1ea_u)*A72*2*Pi</f>
        <v>0.000161163702945</v>
      </c>
      <c r="AG72" s="0" t="n">
        <f aca="false">AC72*AE72/(AE72^2+AF72^2)+AD72*AF72/(AE72^2+AF72^2)</f>
        <v>2553.20920168528</v>
      </c>
      <c r="AH72" s="0" t="n">
        <f aca="false">AD72*AE72/(AE72^2+AF72^2)-AC72*AF72/(AE72^2+AF72^2)</f>
        <v>-6336.54617058531</v>
      </c>
      <c r="AJ72" s="0" t="n">
        <f aca="false">_Rfb1</f>
        <v>20000</v>
      </c>
      <c r="AK72" s="0" t="n">
        <f aca="false">_Rfb1*Rcea2_u*Cc3ea_u*A72*2*Pi</f>
        <v>28154.702001888</v>
      </c>
      <c r="AL72" s="0" t="n">
        <v>1</v>
      </c>
      <c r="AM72" s="0" t="n">
        <f aca="false">(_Rfb1+Rcea2_u)*Cc3ea_u*A72*2*Pi</f>
        <v>526.682026180094</v>
      </c>
      <c r="AN72" s="0" t="n">
        <f aca="false">AJ72*AL72/(AL72^2+AM72^2)+AK72*AM72/(AL72^2+AM72^2)</f>
        <v>53.528642601989</v>
      </c>
      <c r="AO72" s="0" t="n">
        <f aca="false">AK72*AL72/(AL72^2+AM72^2)-AJ72*AM72/(AL72^2+AM72^2)</f>
        <v>-37.8719423977029</v>
      </c>
      <c r="AQ72" s="0" t="n">
        <f aca="false">Eadcg/(1+(Eadcg*A72/GBP)^2)</f>
        <v>31.2264934102569</v>
      </c>
      <c r="AR72" s="0" t="n">
        <f aca="false">-(A72*Eadcg*Eadcg/GBP)/(1+(Eadcg*A72/GBP)^2)</f>
        <v>-312.670878516902</v>
      </c>
      <c r="AT72" s="0" t="n">
        <f aca="false">-AR72*AH72+AG72*AQ72</f>
        <v>-1901525.68760839</v>
      </c>
      <c r="AU72" s="0" t="n">
        <f aca="false">AQ72*AH72+AG72*AR72</f>
        <v>-996182.281367947</v>
      </c>
      <c r="AV72" s="0" t="n">
        <f aca="false">ATAN2(AT72,AU72)</f>
        <v>-2.65901951690165</v>
      </c>
      <c r="AW72" s="0" t="n">
        <f aca="false">AG72-AH72*AO72/_Rfb2+AG72*AN72/_Rfb2+AN72-AO72*AR72+AQ72*AN72</f>
        <v>-7609.69222080047</v>
      </c>
      <c r="AX72" s="0" t="n">
        <f aca="false">AH72+AH72*AN72/_Rfb2+AG72*AO72/_Rfb2+AO72+AO72*AQ72+AN72*AR72</f>
        <v>-24490.02054908</v>
      </c>
      <c r="AY72" s="0" t="n">
        <f aca="false">ATAN2(AW72,AX72)</f>
        <v>-1.87206443608389</v>
      </c>
      <c r="BA72" s="0" t="n">
        <f aca="false">SQRT(AT72^2+AU72^2)/SQRT(AW72^2+AX72^2)</f>
        <v>83.7068783040177</v>
      </c>
      <c r="BB72" s="0" t="n">
        <f aca="false">20*LOG(BA72)</f>
        <v>38.4552229201388</v>
      </c>
      <c r="BC72" s="0" t="n">
        <f aca="false">AV72-AY72</f>
        <v>-0.786955080817755</v>
      </c>
      <c r="BD72" s="0" t="n">
        <f aca="false">BC72*180/Pi-180</f>
        <v>-225.089204848756</v>
      </c>
      <c r="BF72" s="0" t="n">
        <f aca="false">20*LOG(BA72*J72*F72*C72)</f>
        <v>58.8559738534637</v>
      </c>
      <c r="BG72" s="0" t="n">
        <f aca="false">(180/Pi)*(D72+H72+BC72)</f>
        <v>-63.831870899834</v>
      </c>
      <c r="BH72" s="0" t="n">
        <f aca="false">IF(BG72&gt;180,BG72-180,BG72+180)</f>
        <v>116.168129100166</v>
      </c>
      <c r="BI72" s="0" t="n">
        <f aca="false">IF(BH72&gt;180,BH72-360,BH72)</f>
        <v>116.168129100166</v>
      </c>
      <c r="BJ72" s="0" t="n">
        <f aca="false">SUM((BF73&lt;0)*(BF72&gt;0))*A72</f>
        <v>0</v>
      </c>
      <c r="BK72" s="0" t="n">
        <f aca="false">IF(BJ72&gt;0,BI72,0)</f>
        <v>0</v>
      </c>
      <c r="BM72" s="0" t="n">
        <f aca="false">20*LOG(J72*F72*C72)</f>
        <v>20.400750933325</v>
      </c>
      <c r="BN72" s="0" t="n">
        <f aca="false">(H72+D72)*180/Pi</f>
        <v>-18.7426660510781</v>
      </c>
      <c r="BQ72" s="347" t="n">
        <f aca="false">20*LOG(BA72*7)</f>
        <v>55.3571837204239</v>
      </c>
      <c r="BR72" s="351"/>
      <c r="BS72" s="351"/>
      <c r="BT72" s="351" t="n">
        <v>416.869</v>
      </c>
      <c r="BU72" s="351" t="n">
        <v>22.4206</v>
      </c>
      <c r="BV72" s="351" t="n">
        <v>-265.2494</v>
      </c>
      <c r="BW72" s="349"/>
      <c r="BY72" s="351"/>
      <c r="BZ72" s="351"/>
      <c r="CA72" s="351"/>
      <c r="CC72" s="351"/>
    </row>
    <row r="73" customFormat="false" ht="12.75" hidden="false" customHeight="false" outlineLevel="0" collapsed="false">
      <c r="A73" s="0" t="n">
        <f aca="false">A72+500</f>
        <v>19500</v>
      </c>
      <c r="B73" s="0" t="n">
        <f aca="false">A73/1000</f>
        <v>19.5</v>
      </c>
      <c r="C73" s="0" t="n">
        <f aca="false">SQRT((A73/Fesr)^2+1)</f>
        <v>1.00000000750583</v>
      </c>
      <c r="D73" s="0" t="n">
        <f aca="false">ATAN(A73/Fesr)</f>
        <v>0.000122522112736913</v>
      </c>
      <c r="F73" s="0" t="n">
        <f aca="false">(Ro/(Ro+Rdcr))/SQRT((A73/(Q*Fo))^2+(1-(A73^2/Fo^2))^2)</f>
        <v>1.17367003605753</v>
      </c>
      <c r="G73" s="0" t="n">
        <f aca="false">-ATAN(A73*Fo/(Q*(Fo^2-A73^2)))</f>
        <v>-0.33921996156111</v>
      </c>
      <c r="H73" s="0" t="n">
        <f aca="false">IF(G73&gt;0,G73-Pi,G73)</f>
        <v>-0.33921996156111</v>
      </c>
      <c r="J73" s="0" t="n">
        <f aca="false">Vin/Vramp</f>
        <v>9</v>
      </c>
      <c r="M73" s="0" t="n">
        <f aca="false">1/(2*Pi*_Rfb1*(Cc1ea_u+Cc2ea_u)*A73)</f>
        <v>0.302288591213212</v>
      </c>
      <c r="N73" s="0" t="n">
        <f aca="false">-Pi/2</f>
        <v>-1.570796325</v>
      </c>
      <c r="O73" s="0" t="n">
        <f aca="false">SQRT(1+(A73/Fz1_u)^2)</f>
        <v>1.1076662600991</v>
      </c>
      <c r="P73" s="0" t="n">
        <f aca="false">ATAN2(Fz1_u,A73)</f>
        <v>0.44456226064812</v>
      </c>
      <c r="Q73" s="0" t="n">
        <f aca="false">SQRT(1+(A73/Fz2_u)^2)</f>
        <v>540.543004497198</v>
      </c>
      <c r="R73" s="0" t="n">
        <f aca="false">ATAN2(Fz2_u,A73)</f>
        <v>1.56894633417249</v>
      </c>
      <c r="S73" s="0" t="n">
        <f aca="false">1/SQRT(1+(A73/Fp1_u)^2)</f>
        <v>0.569120398193998</v>
      </c>
      <c r="T73" s="0" t="n">
        <f aca="false">-ATAN2(Fp1_u,A73)</f>
        <v>-0.965360612483232</v>
      </c>
      <c r="U73" s="0" t="n">
        <f aca="false">1/SQRT(1+(A73/Fp2_u)^2)</f>
        <v>0.998602167586639</v>
      </c>
      <c r="V73" s="0" t="n">
        <f aca="false">-ATAN2(Fp2_u,A73)</f>
        <v>-0.0528802078421516</v>
      </c>
      <c r="X73" s="0" t="n">
        <f aca="false">20*LOG(C73*J73*O73*Q73*F73*M73*S73*U73)</f>
        <v>60.7209224191307</v>
      </c>
      <c r="Y73" s="0" t="n">
        <f aca="false">(180/Pi)*(D73+H73+N73+P73+R73+T73+V73)</f>
        <v>-52.4042091171706</v>
      </c>
      <c r="Z73" s="0" t="n">
        <f aca="false">Y73+180</f>
        <v>127.595790882829</v>
      </c>
      <c r="AC73" s="0" t="n">
        <v>1</v>
      </c>
      <c r="AD73" s="0" t="n">
        <f aca="false">Rcea1_u*Cc1ea_u*A73*2*Pi</f>
        <v>0.4763659767048</v>
      </c>
      <c r="AE73" s="0" t="n">
        <f aca="false">-Rcea1_u*Cc1ea_u*Cc2ea_u*(A73*2*Pi)^2</f>
        <v>-8.75480492908635E-006</v>
      </c>
      <c r="AF73" s="0" t="n">
        <f aca="false">(Cc2ea_u+Cc1ea_u)*A73*2*Pi</f>
        <v>0.0001654048530225</v>
      </c>
      <c r="AG73" s="0" t="n">
        <f aca="false">AC73*AE73/(AE73^2+AF73^2)+AD73*AF73/(AE73^2+AF73^2)</f>
        <v>2552.84810011836</v>
      </c>
      <c r="AH73" s="0" t="n">
        <f aca="false">AD73*AE73/(AE73^2+AF73^2)-AC73*AF73/(AE73^2+AF73^2)</f>
        <v>-6180.89293299668</v>
      </c>
      <c r="AJ73" s="0" t="n">
        <f aca="false">_Rfb1</f>
        <v>20000</v>
      </c>
      <c r="AK73" s="0" t="n">
        <f aca="false">_Rfb1*Rcea2_u*Cc3ea_u*A73*2*Pi</f>
        <v>28895.615212464</v>
      </c>
      <c r="AL73" s="0" t="n">
        <v>1</v>
      </c>
      <c r="AM73" s="0" t="n">
        <f aca="false">(_Rfb1+Rcea2_u)*Cc3ea_u*A73*2*Pi</f>
        <v>540.542079500623</v>
      </c>
      <c r="AN73" s="0" t="n">
        <f aca="false">AJ73*AL73/(AL73^2+AM73^2)+AK73*AM73/(AL73^2+AM73^2)</f>
        <v>53.5250023696197</v>
      </c>
      <c r="AO73" s="0" t="n">
        <f aca="false">AK73*AL73/(AL73^2+AM73^2)-AJ73*AM73/(AL73^2+AM73^2)</f>
        <v>-36.9008736860187</v>
      </c>
      <c r="AQ73" s="0" t="n">
        <f aca="false">Eadcg/(1+(Eadcg*A73/GBP)^2)</f>
        <v>29.6604936499048</v>
      </c>
      <c r="AR73" s="0" t="n">
        <f aca="false">-(A73*Eadcg*Eadcg/GBP)/(1+(Eadcg*A73/GBP)^2)</f>
        <v>-304.806062993246</v>
      </c>
      <c r="AT73" s="0" t="n">
        <f aca="false">-AR73*AH73+AG73*AQ73</f>
        <v>-1808254.90582676</v>
      </c>
      <c r="AU73" s="0" t="n">
        <f aca="false">AQ73*AH73+AG73*AR73</f>
        <v>-961451.914406755</v>
      </c>
      <c r="AV73" s="0" t="n">
        <f aca="false">ATAN2(AT73,AU73)</f>
        <v>-2.6529066169726</v>
      </c>
      <c r="AW73" s="0" t="n">
        <f aca="false">AG73-AH73*AO73/_Rfb2+AG73*AN73/_Rfb2+AN73-AO73*AR73+AQ73*AN73</f>
        <v>-7094.80655081387</v>
      </c>
      <c r="AX73" s="0" t="n">
        <f aca="false">AH73+AH73*AN73/_Rfb2+AG73*AO73/_Rfb2+AO73+AO73*AQ73+AN73*AR73</f>
        <v>-23818.3027656859</v>
      </c>
      <c r="AY73" s="0" t="n">
        <f aca="false">ATAN2(AW73,AX73)</f>
        <v>-1.86029972731328</v>
      </c>
      <c r="BA73" s="0" t="n">
        <f aca="false">SQRT(AT73^2+AU73^2)/SQRT(AW73^2+AX73^2)</f>
        <v>82.4048636818087</v>
      </c>
      <c r="BB73" s="0" t="n">
        <f aca="false">20*LOG(BA73)</f>
        <v>38.3190569057469</v>
      </c>
      <c r="BC73" s="0" t="n">
        <f aca="false">AV73-AY73</f>
        <v>-0.792606889659327</v>
      </c>
      <c r="BD73" s="0" t="n">
        <f aca="false">BC73*180/Pi-180</f>
        <v>-225.413029642363</v>
      </c>
      <c r="BF73" s="0" t="n">
        <f aca="false">20*LOG(BA73*J73*F73*C73)</f>
        <v>58.7948275023665</v>
      </c>
      <c r="BG73" s="0" t="n">
        <f aca="false">(180/Pi)*(D73+H73+BC73)</f>
        <v>-64.8418817886482</v>
      </c>
      <c r="BH73" s="0" t="n">
        <f aca="false">IF(BG73&gt;180,BG73-180,BG73+180)</f>
        <v>115.158118211352</v>
      </c>
      <c r="BI73" s="0" t="n">
        <f aca="false">IF(BH73&gt;180,BH73-360,BH73)</f>
        <v>115.158118211352</v>
      </c>
      <c r="BJ73" s="0" t="n">
        <f aca="false">SUM((BF74&lt;0)*(BF73&gt;0))*A73</f>
        <v>0</v>
      </c>
      <c r="BK73" s="0" t="n">
        <f aca="false">IF(BJ73&gt;0,BI73,0)</f>
        <v>0</v>
      </c>
      <c r="BM73" s="0" t="n">
        <f aca="false">20*LOG(J73*F73*C73)</f>
        <v>20.4757705966196</v>
      </c>
      <c r="BN73" s="0" t="n">
        <f aca="false">(H73+D73)*180/Pi</f>
        <v>-19.4288521462855</v>
      </c>
      <c r="BQ73" s="347" t="n">
        <f aca="false">20*LOG(BA73*7)</f>
        <v>55.2210177060321</v>
      </c>
      <c r="BR73" s="351"/>
      <c r="BS73" s="351"/>
      <c r="BT73" s="351" t="n">
        <v>426.58</v>
      </c>
      <c r="BU73" s="351" t="n">
        <v>22.3737</v>
      </c>
      <c r="BV73" s="351" t="n">
        <v>-265.1406</v>
      </c>
      <c r="BW73" s="349"/>
      <c r="BY73" s="351"/>
      <c r="BZ73" s="351"/>
      <c r="CA73" s="351"/>
      <c r="CC73" s="351"/>
    </row>
    <row r="74" customFormat="false" ht="12.75" hidden="false" customHeight="false" outlineLevel="0" collapsed="false">
      <c r="A74" s="0" t="n">
        <f aca="false">A73+500</f>
        <v>20000</v>
      </c>
      <c r="B74" s="0" t="n">
        <f aca="false">A74/1000</f>
        <v>20</v>
      </c>
      <c r="C74" s="0" t="n">
        <f aca="false">SQRT((A74/Fesr)^2+1)</f>
        <v>1.00000000789568</v>
      </c>
      <c r="D74" s="0" t="n">
        <f aca="false">ATAN(A74/Fesr)</f>
        <v>0.000125663705338533</v>
      </c>
      <c r="F74" s="0" t="n">
        <f aca="false">(Ro/(Ro+Rdcr))/SQRT((A74/(Q*Fo))^2+(1-(A74^2/Fo^2))^2)</f>
        <v>1.18411896751524</v>
      </c>
      <c r="G74" s="0" t="n">
        <f aca="false">-ATAN(A74*Fo/(Q*(Fo^2-A74^2)))</f>
        <v>-0.351516608898387</v>
      </c>
      <c r="H74" s="0" t="n">
        <f aca="false">IF(G74&gt;0,G74-Pi,G74)</f>
        <v>-0.351516608898387</v>
      </c>
      <c r="J74" s="0" t="n">
        <f aca="false">Vin/Vramp</f>
        <v>9</v>
      </c>
      <c r="M74" s="0" t="n">
        <f aca="false">1/(2*Pi*_Rfb1*(Cc1ea_u+Cc2ea_u)*A74)</f>
        <v>0.294731376432882</v>
      </c>
      <c r="N74" s="0" t="n">
        <f aca="false">-Pi/2</f>
        <v>-1.570796325</v>
      </c>
      <c r="O74" s="0" t="n">
        <f aca="false">SQRT(1+(A74/Fz1_u)^2)</f>
        <v>1.11297389644193</v>
      </c>
      <c r="P74" s="0" t="n">
        <f aca="false">ATAN2(Fz1_u,A74)</f>
        <v>0.454470336633364</v>
      </c>
      <c r="Q74" s="0" t="n">
        <f aca="false">SQRT(1+(A74/Fz2_u)^2)</f>
        <v>554.403034692851</v>
      </c>
      <c r="R74" s="0" t="n">
        <f aca="false">ATAN2(Fz2_u,A74)</f>
        <v>1.56899258388645</v>
      </c>
      <c r="S74" s="0" t="n">
        <f aca="false">1/SQRT(1+(A74/Fp1_u)^2)</f>
        <v>0.559383375657513</v>
      </c>
      <c r="T74" s="0" t="n">
        <f aca="false">-ATAN2(Fp1_u,A74)</f>
        <v>-0.977154612339537</v>
      </c>
      <c r="U74" s="0" t="n">
        <f aca="false">1/SQRT(1+(A74/Fp2_u)^2)</f>
        <v>0.998529724893618</v>
      </c>
      <c r="V74" s="0" t="n">
        <f aca="false">-ATAN2(Fp2_u,A74)</f>
        <v>-0.0542334865654408</v>
      </c>
      <c r="X74" s="0" t="n">
        <f aca="false">20*LOG(C74*J74*O74*Q74*F74*M74*S74*U74)</f>
        <v>60.6889070716106</v>
      </c>
      <c r="Y74" s="0" t="n">
        <f aca="false">(180/Pi)*(D74+H74+N74+P74+R74+T74+V74)</f>
        <v>-53.2915178370048</v>
      </c>
      <c r="Z74" s="0" t="n">
        <f aca="false">Y74+180</f>
        <v>126.708482162995</v>
      </c>
      <c r="AC74" s="0" t="n">
        <v>1</v>
      </c>
      <c r="AD74" s="0" t="n">
        <f aca="false">Rcea1_u*Cc1ea_u*A74*2*Pi</f>
        <v>0.488580488928</v>
      </c>
      <c r="AE74" s="0" t="n">
        <f aca="false">-Rcea1_u*Cc1ea_u*Cc2ea_u*(A74*2*Pi)^2</f>
        <v>-9.20952523769767E-006</v>
      </c>
      <c r="AF74" s="0" t="n">
        <f aca="false">(Cc2ea_u+Cc1ea_u)*A74*2*Pi</f>
        <v>0.0001696460031</v>
      </c>
      <c r="AG74" s="0" t="n">
        <f aca="false">AC74*AE74/(AE74^2+AF74^2)+AD74*AF74/(AE74^2+AF74^2)</f>
        <v>2552.47772543008</v>
      </c>
      <c r="AH74" s="0" t="n">
        <f aca="false">AD74*AE74/(AE74^2+AF74^2)-AC74*AF74/(AE74^2+AF74^2)</f>
        <v>-6033.19317477636</v>
      </c>
      <c r="AJ74" s="0" t="n">
        <f aca="false">_Rfb1</f>
        <v>20000</v>
      </c>
      <c r="AK74" s="0" t="n">
        <f aca="false">_Rfb1*Rcea2_u*Cc3ea_u*A74*2*Pi</f>
        <v>29636.52842304</v>
      </c>
      <c r="AL74" s="0" t="n">
        <v>1</v>
      </c>
      <c r="AM74" s="0" t="n">
        <f aca="false">(_Rfb1+Rcea2_u)*Cc3ea_u*A74*2*Pi</f>
        <v>554.402132821152</v>
      </c>
      <c r="AN74" s="0" t="n">
        <f aca="false">AJ74*AL74/(AL74^2+AM74^2)+AK74*AM74/(AL74^2+AM74^2)</f>
        <v>53.5216317260018</v>
      </c>
      <c r="AO74" s="0" t="n">
        <f aca="false">AK74*AL74/(AL74^2+AM74^2)-AJ74*AM74/(AL74^2+AM74^2)</f>
        <v>-35.9783579236494</v>
      </c>
      <c r="AQ74" s="0" t="n">
        <f aca="false">Eadcg/(1+(Eadcg*A74/GBP)^2)</f>
        <v>28.2090718662237</v>
      </c>
      <c r="AR74" s="0" t="n">
        <f aca="false">-(A74*Eadcg*Eadcg/GBP)/(1+(Eadcg*A74/GBP)^2)</f>
        <v>-297.323617469998</v>
      </c>
      <c r="AT74" s="0" t="n">
        <f aca="false">-AR74*AH74+AG74*AQ74</f>
        <v>-1721807.79202622</v>
      </c>
      <c r="AU74" s="0" t="n">
        <f aca="false">AQ74*AH74+AG74*AR74</f>
        <v>-929102.690686539</v>
      </c>
      <c r="AV74" s="0" t="n">
        <f aca="false">ATAN2(AT74,AU74)</f>
        <v>-2.64676229542653</v>
      </c>
      <c r="AW74" s="0" t="n">
        <f aca="false">AG74-AH74*AO74/_Rfb2+AG74*AN74/_Rfb2+AN74-AO74*AR74+AQ74*AN74</f>
        <v>-6617.62384037226</v>
      </c>
      <c r="AX74" s="0" t="n">
        <f aca="false">AH74+AH74*AN74/_Rfb2+AG74*AO74/_Rfb2+AO74+AO74*AQ74+AN74*AR74</f>
        <v>-23183.9659098623</v>
      </c>
      <c r="AY74" s="0" t="n">
        <f aca="false">ATAN2(AW74,AX74)</f>
        <v>-1.8488420878273</v>
      </c>
      <c r="BA74" s="0" t="n">
        <f aca="false">SQRT(AT74^2+AU74^2)/SQRT(AW74^2+AX74^2)</f>
        <v>81.148695169831</v>
      </c>
      <c r="BB74" s="0" t="n">
        <f aca="false">20*LOG(BA74)</f>
        <v>38.1856308196349</v>
      </c>
      <c r="BC74" s="0" t="n">
        <f aca="false">AV74-AY74</f>
        <v>-0.797920207599231</v>
      </c>
      <c r="BD74" s="0" t="n">
        <f aca="false">BC74*180/Pi-180</f>
        <v>-225.717460335878</v>
      </c>
      <c r="BF74" s="0" t="n">
        <f aca="false">20*LOG(BA74*J74*F74*C74)</f>
        <v>58.7383878331837</v>
      </c>
      <c r="BG74" s="0" t="n">
        <f aca="false">(180/Pi)*(D74+H74+BC74)</f>
        <v>-65.8506784775583</v>
      </c>
      <c r="BH74" s="0" t="n">
        <f aca="false">IF(BG74&gt;180,BG74-180,BG74+180)</f>
        <v>114.149321522442</v>
      </c>
      <c r="BI74" s="0" t="n">
        <f aca="false">IF(BH74&gt;180,BH74-360,BH74)</f>
        <v>114.149321522442</v>
      </c>
      <c r="BJ74" s="0" t="n">
        <f aca="false">SUM((BF75&lt;0)*(BF74&gt;0))*A74</f>
        <v>0</v>
      </c>
      <c r="BK74" s="0" t="n">
        <f aca="false">IF(BJ74&gt;0,BI74,0)</f>
        <v>0</v>
      </c>
      <c r="BM74" s="0" t="n">
        <f aca="false">20*LOG(J74*F74*C74)</f>
        <v>20.5527570135488</v>
      </c>
      <c r="BN74" s="0" t="n">
        <f aca="false">(H74+D74)*180/Pi</f>
        <v>-20.1332181416801</v>
      </c>
      <c r="BQ74" s="347" t="n">
        <f aca="false">20*LOG(BA74*7)</f>
        <v>55.08759161992</v>
      </c>
      <c r="BR74" s="353"/>
      <c r="BS74" s="353"/>
      <c r="BT74" s="353" t="n">
        <v>436.516</v>
      </c>
      <c r="BU74" s="353" t="n">
        <v>22.0741</v>
      </c>
      <c r="BV74" s="353" t="n">
        <v>-264.9151</v>
      </c>
      <c r="BW74" s="349"/>
      <c r="BY74" s="353"/>
      <c r="BZ74" s="353"/>
      <c r="CA74" s="353"/>
      <c r="CC74" s="353"/>
    </row>
    <row r="75" customFormat="false" ht="12.75" hidden="false" customHeight="false" outlineLevel="0" collapsed="false">
      <c r="A75" s="0" t="n">
        <f aca="false">A74+500</f>
        <v>20500</v>
      </c>
      <c r="B75" s="0" t="n">
        <f aca="false">A75/1000</f>
        <v>20.5</v>
      </c>
      <c r="C75" s="0" t="n">
        <f aca="false">SQRT((A75/Fesr)^2+1)</f>
        <v>1.0000000082954</v>
      </c>
      <c r="D75" s="0" t="n">
        <f aca="false">ATAN(A75/Fesr)</f>
        <v>0.000128805297937672</v>
      </c>
      <c r="F75" s="0" t="n">
        <f aca="false">(Ro/(Ro+Rdcr))/SQRT((A75/(Q*Fo))^2+(1-(A75^2/Fo^2))^2)</f>
        <v>1.19492824889504</v>
      </c>
      <c r="G75" s="0" t="n">
        <f aca="false">-ATAN(A75*Fo/(Q*(Fo^2-A75^2)))</f>
        <v>-0.364146471584344</v>
      </c>
      <c r="H75" s="0" t="n">
        <f aca="false">IF(G75&gt;0,G75-Pi,G75)</f>
        <v>-0.364146471584344</v>
      </c>
      <c r="J75" s="0" t="n">
        <f aca="false">Vin/Vramp</f>
        <v>9</v>
      </c>
      <c r="M75" s="0" t="n">
        <f aca="false">1/(2*Pi*_Rfb1*(Cc1ea_u+Cc2ea_u)*A75)</f>
        <v>0.287542806275983</v>
      </c>
      <c r="N75" s="0" t="n">
        <f aca="false">-Pi/2</f>
        <v>-1.570796325</v>
      </c>
      <c r="O75" s="0" t="n">
        <f aca="false">SQRT(1+(A75/Fz1_u)^2)</f>
        <v>1.11838975012204</v>
      </c>
      <c r="P75" s="0" t="n">
        <f aca="false">ATAN2(Fz1_u,A75)</f>
        <v>0.464283407651803</v>
      </c>
      <c r="Q75" s="0" t="n">
        <f aca="false">SQRT(1+(A75/Fz2_u)^2)</f>
        <v>568.263066016543</v>
      </c>
      <c r="R75" s="0" t="n">
        <f aca="false">ATAN2(Fz2_u,A75)</f>
        <v>1.56903657752397</v>
      </c>
      <c r="S75" s="0" t="n">
        <f aca="false">1/SQRT(1+(A75/Fp1_u)^2)</f>
        <v>0.549901260028762</v>
      </c>
      <c r="T75" s="0" t="n">
        <f aca="false">-ATAN2(Fp1_u,A75)</f>
        <v>-0.988550312473238</v>
      </c>
      <c r="U75" s="0" t="n">
        <f aca="false">1/SQRT(1+(A75/Fp2_u)^2)</f>
        <v>0.998455464575568</v>
      </c>
      <c r="V75" s="0" t="n">
        <f aca="false">-ATAN2(Fp2_u,A75)</f>
        <v>-0.055586566480645</v>
      </c>
      <c r="X75" s="0" t="n">
        <f aca="false">20*LOG(C75*J75*O75*Q75*F75*M75*S75*U75)</f>
        <v>60.6608573928961</v>
      </c>
      <c r="Y75" s="0" t="n">
        <f aca="false">(180/Pi)*(D75+H75+N75+P75+R75+T75+V75)</f>
        <v>-54.1806587533281</v>
      </c>
      <c r="Z75" s="0" t="n">
        <f aca="false">Y75+180</f>
        <v>125.819341246672</v>
      </c>
      <c r="AC75" s="0" t="n">
        <v>1</v>
      </c>
      <c r="AD75" s="0" t="n">
        <f aca="false">Rcea1_u*Cc1ea_u*A75*2*Pi</f>
        <v>0.5007950011512</v>
      </c>
      <c r="AE75" s="0" t="n">
        <f aca="false">-Rcea1_u*Cc1ea_u*Cc2ea_u*(A75*2*Pi)^2</f>
        <v>-9.67575745285611E-006</v>
      </c>
      <c r="AF75" s="0" t="n">
        <f aca="false">(Cc2ea_u+Cc1ea_u)*A75*2*Pi</f>
        <v>0.0001738871531775</v>
      </c>
      <c r="AG75" s="0" t="n">
        <f aca="false">AC75*AE75/(AE75^2+AF75^2)+AD75*AF75/(AE75^2+AF75^2)</f>
        <v>2552.09808573648</v>
      </c>
      <c r="AH75" s="0" t="n">
        <f aca="false">AD75*AE75/(AE75^2+AF75^2)-AC75*AF75/(AE75^2+AF75^2)</f>
        <v>-5892.86478816236</v>
      </c>
      <c r="AJ75" s="0" t="n">
        <f aca="false">_Rfb1</f>
        <v>20000</v>
      </c>
      <c r="AK75" s="0" t="n">
        <f aca="false">_Rfb1*Rcea2_u*Cc3ea_u*A75*2*Pi</f>
        <v>30377.441633616</v>
      </c>
      <c r="AL75" s="0" t="n">
        <v>1</v>
      </c>
      <c r="AM75" s="0" t="n">
        <f aca="false">(_Rfb1+Rcea2_u)*Cc3ea_u*A75*2*Pi</f>
        <v>568.262186141681</v>
      </c>
      <c r="AN75" s="0" t="n">
        <f aca="false">AJ75*AL75/(AL75^2+AM75^2)+AK75*AM75/(AL75^2+AM75^2)</f>
        <v>53.5185046934215</v>
      </c>
      <c r="AO75" s="0" t="n">
        <f aca="false">AK75*AL75/(AL75^2+AM75^2)-AJ75*AM75/(AL75^2+AM75^2)</f>
        <v>-35.1008425014813</v>
      </c>
      <c r="AQ75" s="0" t="n">
        <f aca="false">Eadcg/(1+(Eadcg*A75/GBP)^2)</f>
        <v>26.8613477818445</v>
      </c>
      <c r="AR75" s="0" t="n">
        <f aca="false">-(A75*Eadcg*Eadcg/GBP)/(1+(Eadcg*A75/GBP)^2)</f>
        <v>-290.196570761157</v>
      </c>
      <c r="AT75" s="0" t="n">
        <f aca="false">-AR75*AH75+AG75*AQ75</f>
        <v>-1641536.35922954</v>
      </c>
      <c r="AU75" s="0" t="n">
        <f aca="false">AQ75*AH75+AG75*AR75</f>
        <v>-898900.403233055</v>
      </c>
      <c r="AV75" s="0" t="n">
        <f aca="false">ATAN2(AT75,AU75)</f>
        <v>-2.64059621991538</v>
      </c>
      <c r="AW75" s="0" t="n">
        <f aca="false">AG75-AH75*AO75/_Rfb2+AG75*AN75/_Rfb2+AN75-AO75*AR75+AQ75*AN75</f>
        <v>-6174.56538743766</v>
      </c>
      <c r="AX75" s="0" t="n">
        <f aca="false">AH75+AH75*AN75/_Rfb2+AG75*AO75/_Rfb2+AO75+AO75*AQ75+AN75*AR75</f>
        <v>-22583.9392499781</v>
      </c>
      <c r="AY75" s="0" t="n">
        <f aca="false">ATAN2(AW75,AX75)</f>
        <v>-1.83767921829255</v>
      </c>
      <c r="BA75" s="0" t="n">
        <f aca="false">SQRT(AT75^2+AU75^2)/SQRT(AW75^2+AX75^2)</f>
        <v>79.9366072389149</v>
      </c>
      <c r="BB75" s="0" t="n">
        <f aca="false">20*LOG(BA75)</f>
        <v>38.0549142298236</v>
      </c>
      <c r="BC75" s="0" t="n">
        <f aca="false">AV75-AY75</f>
        <v>-0.80291700162283</v>
      </c>
      <c r="BD75" s="0" t="n">
        <f aca="false">BC75*180/Pi-180</f>
        <v>-226.003755544854</v>
      </c>
      <c r="BF75" s="0" t="n">
        <f aca="false">20*LOG(BA75*J75*F75*C75)</f>
        <v>58.6866010558526</v>
      </c>
      <c r="BG75" s="0" t="n">
        <f aca="false">(180/Pi)*(D75+H75+BC75)</f>
        <v>-66.8604315150987</v>
      </c>
      <c r="BH75" s="0" t="n">
        <f aca="false">IF(BG75&gt;180,BG75-180,BG75+180)</f>
        <v>113.139568484901</v>
      </c>
      <c r="BI75" s="0" t="n">
        <f aca="false">IF(BH75&gt;180,BH75-360,BH75)</f>
        <v>113.139568484901</v>
      </c>
      <c r="BJ75" s="0" t="n">
        <f aca="false">SUM((BF76&lt;0)*(BF75&gt;0))*A75</f>
        <v>0</v>
      </c>
      <c r="BK75" s="0" t="n">
        <f aca="false">IF(BJ75&gt;0,BI75,0)</f>
        <v>0</v>
      </c>
      <c r="BM75" s="0" t="n">
        <f aca="false">20*LOG(J75*F75*C75)</f>
        <v>20.631686826029</v>
      </c>
      <c r="BN75" s="0" t="n">
        <f aca="false">(H75+D75)*180/Pi</f>
        <v>-20.8566759702449</v>
      </c>
      <c r="BQ75" s="347" t="n">
        <f aca="false">20*LOG(BA75*7)</f>
        <v>54.9568750301088</v>
      </c>
      <c r="BR75" s="353"/>
      <c r="BS75" s="353"/>
      <c r="BT75" s="353" t="n">
        <v>446.684</v>
      </c>
      <c r="BU75" s="353" t="n">
        <v>21.7611</v>
      </c>
      <c r="BV75" s="353" t="n">
        <v>-265.3082</v>
      </c>
      <c r="BW75" s="349"/>
      <c r="BY75" s="353"/>
      <c r="BZ75" s="353"/>
      <c r="CA75" s="353"/>
      <c r="CC75" s="353"/>
    </row>
    <row r="76" customFormat="false" ht="12.75" hidden="false" customHeight="false" outlineLevel="0" collapsed="false">
      <c r="A76" s="0" t="n">
        <f aca="false">A75+500</f>
        <v>21000</v>
      </c>
      <c r="B76" s="0" t="n">
        <f aca="false">A76/1000</f>
        <v>21</v>
      </c>
      <c r="C76" s="0" t="n">
        <f aca="false">SQRT((A76/Fesr)^2+1)</f>
        <v>1.00000000870499</v>
      </c>
      <c r="D76" s="0" t="n">
        <f aca="false">ATAN(A76/Fesr)</f>
        <v>0.000131946890534269</v>
      </c>
      <c r="F76" s="0" t="n">
        <f aca="false">(Ro/(Ro+Rdcr))/SQRT((A76/(Q*Fo))^2+(1-(A76^2/Fo^2))^2)</f>
        <v>1.20610206454975</v>
      </c>
      <c r="G76" s="0" t="n">
        <f aca="false">-ATAN(A76*Fo/(Q*(Fo^2-A76^2)))</f>
        <v>-0.377126164141305</v>
      </c>
      <c r="H76" s="0" t="n">
        <f aca="false">IF(G76&gt;0,G76-Pi,G76)</f>
        <v>-0.377126164141305</v>
      </c>
      <c r="J76" s="0" t="n">
        <f aca="false">Vin/Vramp</f>
        <v>9</v>
      </c>
      <c r="M76" s="0" t="n">
        <f aca="false">1/(2*Pi*_Rfb1*(Cc1ea_u+Cc2ea_u)*A76)</f>
        <v>0.280696548983697</v>
      </c>
      <c r="N76" s="0" t="n">
        <f aca="false">-Pi/2</f>
        <v>-1.570796325</v>
      </c>
      <c r="O76" s="0" t="n">
        <f aca="false">SQRT(1+(A76/Fz1_u)^2)</f>
        <v>1.1239122567232</v>
      </c>
      <c r="P76" s="0" t="n">
        <f aca="false">ATAN2(Fz1_u,A76)</f>
        <v>0.474000970946161</v>
      </c>
      <c r="Q76" s="0" t="n">
        <f aca="false">SQRT(1+(A76/Fz2_u)^2)</f>
        <v>582.123098387702</v>
      </c>
      <c r="R76" s="0" t="n">
        <f aca="false">ATAN2(Fz2_u,A76)</f>
        <v>1.5690784762327</v>
      </c>
      <c r="S76" s="0" t="n">
        <f aca="false">1/SQRT(1+(A76/Fp1_u)^2)</f>
        <v>0.540668513596088</v>
      </c>
      <c r="T76" s="0" t="n">
        <f aca="false">-ATAN2(Fp1_u,A76)</f>
        <v>-0.999564739691949</v>
      </c>
      <c r="U76" s="0" t="n">
        <f aca="false">1/SQRT(1+(A76/Fp2_u)^2)</f>
        <v>0.99837938785364</v>
      </c>
      <c r="V76" s="0" t="n">
        <f aca="false">-ATAN2(Fp2_u,A76)</f>
        <v>-0.0569394426781748</v>
      </c>
      <c r="X76" s="0" t="n">
        <f aca="false">20*LOG(C76*J76*O76*Q76*F76*M76*S76*U76)</f>
        <v>60.6367514368926</v>
      </c>
      <c r="Y76" s="0" t="n">
        <f aca="false">(180/Pi)*(D76+H76+N76+P76+R76+T76+V76)</f>
        <v>-55.073578663856</v>
      </c>
      <c r="Z76" s="0" t="n">
        <f aca="false">Y76+180</f>
        <v>124.926421336144</v>
      </c>
      <c r="AC76" s="0" t="n">
        <v>1</v>
      </c>
      <c r="AD76" s="0" t="n">
        <f aca="false">Rcea1_u*Cc1ea_u*A76*2*Pi</f>
        <v>0.5130095133744</v>
      </c>
      <c r="AE76" s="0" t="n">
        <f aca="false">-Rcea1_u*Cc1ea_u*Cc2ea_u*(A76*2*Pi)^2</f>
        <v>-1.01535015745617E-005</v>
      </c>
      <c r="AF76" s="0" t="n">
        <f aca="false">(Cc2ea_u+Cc1ea_u)*A76*2*Pi</f>
        <v>0.000178128303255</v>
      </c>
      <c r="AG76" s="0" t="n">
        <f aca="false">AC76*AE76/(AE76^2+AF76^2)+AD76*AF76/(AE76^2+AF76^2)</f>
        <v>2551.70918935299</v>
      </c>
      <c r="AH76" s="0" t="n">
        <f aca="false">AD76*AE76/(AE76^2+AF76^2)-AC76*AF76/(AE76^2+AF76^2)</f>
        <v>-5759.38110072983</v>
      </c>
      <c r="AJ76" s="0" t="n">
        <f aca="false">_Rfb1</f>
        <v>20000</v>
      </c>
      <c r="AK76" s="0" t="n">
        <f aca="false">_Rfb1*Rcea2_u*Cc3ea_u*A76*2*Pi</f>
        <v>31118.354844192</v>
      </c>
      <c r="AL76" s="0" t="n">
        <v>1</v>
      </c>
      <c r="AM76" s="0" t="n">
        <f aca="false">(_Rfb1+Rcea2_u)*Cc3ea_u*A76*2*Pi</f>
        <v>582.12223946221</v>
      </c>
      <c r="AN76" s="0" t="n">
        <f aca="false">AJ76*AL76/(AL76^2+AM76^2)+AK76*AM76/(AL76^2+AM76^2)</f>
        <v>53.5155983494482</v>
      </c>
      <c r="AO76" s="0" t="n">
        <f aca="false">AK76*AL76/(AL76^2+AM76^2)-AJ76*AM76/(AL76^2+AM76^2)</f>
        <v>-34.2651131488775</v>
      </c>
      <c r="AQ76" s="0" t="n">
        <f aca="false">Eadcg/(1+(Eadcg*A76/GBP)^2)</f>
        <v>25.6076991677473</v>
      </c>
      <c r="AR76" s="0" t="n">
        <f aca="false">-(A76*Eadcg*Eadcg/GBP)/(1+(Eadcg*A76/GBP)^2)</f>
        <v>-283.40040668946</v>
      </c>
      <c r="AT76" s="0" t="n">
        <f aca="false">-AR76*AH76+AG76*AQ76</f>
        <v>-1566867.5449419</v>
      </c>
      <c r="AU76" s="0" t="n">
        <f aca="false">AQ76*AH76+AG76*AR76</f>
        <v>-870639.920635767</v>
      </c>
      <c r="AV76" s="0" t="n">
        <f aca="false">ATAN2(AT76,AU76)</f>
        <v>-2.63441712072651</v>
      </c>
      <c r="AW76" s="0" t="n">
        <f aca="false">AG76-AH76*AO76/_Rfb2+AG76*AN76/_Rfb2+AN76-AO76*AR76+AQ76*AN76</f>
        <v>-5762.46619108604</v>
      </c>
      <c r="AX76" s="0" t="n">
        <f aca="false">AH76+AH76*AN76/_Rfb2+AG76*AO76/_Rfb2+AO76+AO76*AQ76+AN76*AR76</f>
        <v>-22015.4823582283</v>
      </c>
      <c r="AY76" s="0" t="n">
        <f aca="false">ATAN2(AW76,AX76)</f>
        <v>-1.82679920697008</v>
      </c>
      <c r="BA76" s="0" t="n">
        <f aca="false">SQRT(AT76^2+AU76^2)/SQRT(AW76^2+AX76^2)</f>
        <v>78.7668701447744</v>
      </c>
      <c r="BB76" s="0" t="n">
        <f aca="false">20*LOG(BA76)</f>
        <v>37.9268717765034</v>
      </c>
      <c r="BC76" s="0" t="n">
        <f aca="false">AV76-AY76</f>
        <v>-0.807617913756433</v>
      </c>
      <c r="BD76" s="0" t="n">
        <f aca="false">BC76*180/Pi-180</f>
        <v>-226.273097970279</v>
      </c>
      <c r="BF76" s="0" t="n">
        <f aca="false">20*LOG(BA76*J76*F76*C76)</f>
        <v>58.6394032582633</v>
      </c>
      <c r="BG76" s="0" t="n">
        <f aca="false">(180/Pi)*(D76+H76+BC76)</f>
        <v>-67.8732755442679</v>
      </c>
      <c r="BH76" s="0" t="n">
        <f aca="false">IF(BG76&gt;180,BG76-180,BG76+180)</f>
        <v>112.126724455732</v>
      </c>
      <c r="BI76" s="0" t="n">
        <f aca="false">IF(BH76&gt;180,BH76-360,BH76)</f>
        <v>112.126724455732</v>
      </c>
      <c r="BJ76" s="0" t="n">
        <f aca="false">SUM((BF77&lt;0)*(BF76&gt;0))*A76</f>
        <v>0</v>
      </c>
      <c r="BK76" s="0" t="n">
        <f aca="false">IF(BJ76&gt;0,BI76,0)</f>
        <v>0</v>
      </c>
      <c r="BM76" s="0" t="n">
        <f aca="false">20*LOG(J76*F76*C76)</f>
        <v>20.7125314817598</v>
      </c>
      <c r="BN76" s="0" t="n">
        <f aca="false">(H76+D76)*180/Pi</f>
        <v>-21.600177573989</v>
      </c>
      <c r="BQ76" s="347" t="n">
        <f aca="false">20*LOG(BA76*7)</f>
        <v>54.8288325767886</v>
      </c>
      <c r="BR76" s="352"/>
      <c r="BS76" s="352"/>
      <c r="BT76" s="353" t="n">
        <v>457.088</v>
      </c>
      <c r="BU76" s="352" t="n">
        <v>21.6126</v>
      </c>
      <c r="BV76" s="352" t="n">
        <v>-265.6514</v>
      </c>
      <c r="BW76" s="349"/>
      <c r="BY76" s="353"/>
      <c r="BZ76" s="352"/>
      <c r="CA76" s="352"/>
      <c r="CC76" s="353"/>
    </row>
    <row r="77" customFormat="false" ht="12.75" hidden="false" customHeight="false" outlineLevel="0" collapsed="false">
      <c r="A77" s="0" t="n">
        <f aca="false">A76+500</f>
        <v>21500</v>
      </c>
      <c r="B77" s="0" t="n">
        <f aca="false">A77/1000</f>
        <v>21.5</v>
      </c>
      <c r="C77" s="0" t="n">
        <f aca="false">SQRT((A77/Fesr)^2+1)</f>
        <v>1.00000000912445</v>
      </c>
      <c r="D77" s="0" t="n">
        <f aca="false">ATAN(A77/Fesr)</f>
        <v>0.000135088483128261</v>
      </c>
      <c r="F77" s="0" t="n">
        <f aca="false">(Ro/(Ro+Rdcr))/SQRT((A77/(Q*Fo))^2+(1-(A77^2/Fo^2))^2)</f>
        <v>1.21764395006018</v>
      </c>
      <c r="G77" s="0" t="n">
        <f aca="false">-ATAN(A77*Fo/(Q*(Fo^2-A77^2)))</f>
        <v>-0.390473020619355</v>
      </c>
      <c r="H77" s="0" t="n">
        <f aca="false">IF(G77&gt;0,G77-Pi,G77)</f>
        <v>-0.390473020619355</v>
      </c>
      <c r="J77" s="0" t="n">
        <f aca="false">Vin/Vramp</f>
        <v>9</v>
      </c>
      <c r="M77" s="0" t="n">
        <f aca="false">1/(2*Pi*_Rfb1*(Cc1ea_u+Cc2ea_u)*A77)</f>
        <v>0.274168722263146</v>
      </c>
      <c r="N77" s="0" t="n">
        <f aca="false">-Pi/2</f>
        <v>-1.570796325</v>
      </c>
      <c r="O77" s="0" t="n">
        <f aca="false">SQRT(1+(A77/Fz1_u)^2)</f>
        <v>1.12953985191535</v>
      </c>
      <c r="P77" s="0" t="n">
        <f aca="false">ATAN2(Fz1_u,A77)</f>
        <v>0.483622605637281</v>
      </c>
      <c r="Q77" s="0" t="n">
        <f aca="false">SQRT(1+(A77/Fz2_u)^2)</f>
        <v>595.983131733248</v>
      </c>
      <c r="R77" s="0" t="n">
        <f aca="false">ATAN2(Fz2_u,A77)</f>
        <v>1.5691184261699</v>
      </c>
      <c r="S77" s="0" t="n">
        <f aca="false">1/SQRT(1+(A77/Fp1_u)^2)</f>
        <v>0.5316793423434</v>
      </c>
      <c r="T77" s="0" t="n">
        <f aca="false">-ATAN2(Fp1_u,A77)</f>
        <v>-1.01021417101338</v>
      </c>
      <c r="U77" s="0" t="n">
        <f aca="false">1/SQRT(1+(A77/Fp2_u)^2)</f>
        <v>0.998301495978349</v>
      </c>
      <c r="V77" s="0" t="n">
        <f aca="false">-ATAN2(Fp2_u,A77)</f>
        <v>-0.0582921102529018</v>
      </c>
      <c r="X77" s="0" t="n">
        <f aca="false">20*LOG(C77*J77*O77*Q77*F77*M77*S77*U77)</f>
        <v>60.6165554294763</v>
      </c>
      <c r="Y77" s="0" t="n">
        <f aca="false">(180/Pi)*(D77+H77+N77+P77+R77+T77+V77)</f>
        <v>-55.9722188002825</v>
      </c>
      <c r="Z77" s="0" t="n">
        <f aca="false">Y77+180</f>
        <v>124.027781199718</v>
      </c>
      <c r="AC77" s="0" t="n">
        <v>1</v>
      </c>
      <c r="AD77" s="0" t="n">
        <f aca="false">Rcea1_u*Cc1ea_u*A77*2*Pi</f>
        <v>0.5252240255976</v>
      </c>
      <c r="AE77" s="0" t="n">
        <f aca="false">-Rcea1_u*Cc1ea_u*Cc2ea_u*(A77*2*Pi)^2</f>
        <v>-1.06427576028144E-005</v>
      </c>
      <c r="AF77" s="0" t="n">
        <f aca="false">(Cc2ea_u+Cc1ea_u)*A77*2*Pi</f>
        <v>0.0001823694533325</v>
      </c>
      <c r="AG77" s="0" t="n">
        <f aca="false">AC77*AE77/(AE77^2+AF77^2)+AD77*AF77/(AE77^2+AF77^2)</f>
        <v>2551.31104479388</v>
      </c>
      <c r="AH77" s="0" t="n">
        <f aca="false">AD77*AE77/(AE77^2+AF77^2)-AC77*AF77/(AE77^2+AF77^2)</f>
        <v>-5632.2644294294</v>
      </c>
      <c r="AJ77" s="0" t="n">
        <f aca="false">_Rfb1</f>
        <v>20000</v>
      </c>
      <c r="AK77" s="0" t="n">
        <f aca="false">_Rfb1*Rcea2_u*Cc3ea_u*A77*2*Pi</f>
        <v>31859.268054768</v>
      </c>
      <c r="AL77" s="0" t="n">
        <v>1</v>
      </c>
      <c r="AM77" s="0" t="n">
        <f aca="false">(_Rfb1+Rcea2_u)*Cc3ea_u*A77*2*Pi</f>
        <v>595.982292782738</v>
      </c>
      <c r="AN77" s="0" t="n">
        <f aca="false">AJ77*AL77/(AL77^2+AM77^2)+AK77*AM77/(AL77^2+AM77^2)</f>
        <v>53.5128924056591</v>
      </c>
      <c r="AO77" s="0" t="n">
        <f aca="false">AK77*AL77/(AL77^2+AM77^2)-AJ77*AM77/(AL77^2+AM77^2)</f>
        <v>-33.468254592701</v>
      </c>
      <c r="AQ77" s="0" t="n">
        <f aca="false">Eadcg/(1+(Eadcg*A77/GBP)^2)</f>
        <v>24.439591689473</v>
      </c>
      <c r="AR77" s="0" t="n">
        <f aca="false">-(A77*Eadcg*Eadcg/GBP)/(1+(Eadcg*A77/GBP)^2)</f>
        <v>-276.912793637573</v>
      </c>
      <c r="AT77" s="0" t="n">
        <f aca="false">-AR77*AH77+AG77*AQ77</f>
        <v>-1497293.07745122</v>
      </c>
      <c r="AU77" s="0" t="n">
        <f aca="false">AQ77*AH77+AG77*AR77</f>
        <v>-844140.911794667</v>
      </c>
      <c r="AV77" s="0" t="n">
        <f aca="false">ATAN2(AT77,AU77)</f>
        <v>-2.62823289083448</v>
      </c>
      <c r="AW77" s="0" t="n">
        <f aca="false">AG77-AH77*AO77/_Rfb2+AG77*AN77/_Rfb2+AN77-AO77*AR77+AQ77*AN77</f>
        <v>-5378.51901161269</v>
      </c>
      <c r="AX77" s="0" t="n">
        <f aca="false">AH77+AH77*AN77/_Rfb2+AG77*AO77/_Rfb2+AO77+AO77*AQ77+AN77*AR77</f>
        <v>-21476.1417021071</v>
      </c>
      <c r="AY77" s="0" t="n">
        <f aca="false">ATAN2(AW77,AX77)</f>
        <v>-1.81619055806146</v>
      </c>
      <c r="BA77" s="0" t="n">
        <f aca="false">SQRT(AT77^2+AU77^2)/SQRT(AW77^2+AX77^2)</f>
        <v>77.6377963021735</v>
      </c>
      <c r="BB77" s="0" t="n">
        <f aca="false">20*LOG(BA77)</f>
        <v>37.8014639945562</v>
      </c>
      <c r="BC77" s="0" t="n">
        <f aca="false">AV77-AY77</f>
        <v>-0.812042332773025</v>
      </c>
      <c r="BD77" s="0" t="n">
        <f aca="false">BC77*180/Pi-180</f>
        <v>-226.526598507017</v>
      </c>
      <c r="BF77" s="0" t="n">
        <f aca="false">20*LOG(BA77*J77*F77*C77)</f>
        <v>58.5967205682774</v>
      </c>
      <c r="BG77" s="0" t="n">
        <f aca="false">(180/Pi)*(D77+H77+BC77)</f>
        <v>-68.8913146278418</v>
      </c>
      <c r="BH77" s="0" t="n">
        <f aca="false">IF(BG77&gt;180,BG77-180,BG77+180)</f>
        <v>111.108685372158</v>
      </c>
      <c r="BI77" s="0" t="n">
        <f aca="false">IF(BH77&gt;180,BH77-360,BH77)</f>
        <v>111.108685372158</v>
      </c>
      <c r="BJ77" s="0" t="n">
        <f aca="false">SUM((BF78&lt;0)*(BF77&gt;0))*A77</f>
        <v>0</v>
      </c>
      <c r="BK77" s="0" t="n">
        <f aca="false">IF(BJ77&gt;0,BI77,0)</f>
        <v>0</v>
      </c>
      <c r="BM77" s="0" t="n">
        <f aca="false">20*LOG(J77*F77*C77)</f>
        <v>20.7952565737212</v>
      </c>
      <c r="BN77" s="0" t="n">
        <f aca="false">(H77+D77)*180/Pi</f>
        <v>-22.3647161208251</v>
      </c>
      <c r="BQ77" s="347" t="n">
        <f aca="false">20*LOG(BA77*7)</f>
        <v>54.7034247948413</v>
      </c>
      <c r="BR77" s="354"/>
      <c r="BS77" s="354"/>
      <c r="BT77" s="354" t="n">
        <v>467.735</v>
      </c>
      <c r="BU77" s="354" t="n">
        <v>21.3672</v>
      </c>
      <c r="BV77" s="354" t="n">
        <v>-265.0501</v>
      </c>
      <c r="BW77" s="349"/>
      <c r="BY77" s="354"/>
      <c r="BZ77" s="354"/>
      <c r="CA77" s="354"/>
      <c r="CC77" s="354"/>
    </row>
    <row r="78" customFormat="false" ht="12.75" hidden="false" customHeight="false" outlineLevel="0" collapsed="false">
      <c r="A78" s="0" t="n">
        <f aca="false">A77+500</f>
        <v>22000</v>
      </c>
      <c r="B78" s="0" t="n">
        <f aca="false">A78/1000</f>
        <v>22</v>
      </c>
      <c r="C78" s="0" t="n">
        <f aca="false">SQRT((A78/Fesr)^2+1)</f>
        <v>1.00000000955378</v>
      </c>
      <c r="D78" s="0" t="n">
        <f aca="false">ATAN(A78/Fesr)</f>
        <v>0.000138230075719587</v>
      </c>
      <c r="F78" s="0" t="n">
        <f aca="false">(Ro/(Ro+Rdcr))/SQRT((A78/(Q*Fo))^2+(1-(A78^2/Fo^2))^2)</f>
        <v>1.22955664716715</v>
      </c>
      <c r="G78" s="0" t="n">
        <f aca="false">-ATAN(A78*Fo/(Q*(Fo^2-A78^2)))</f>
        <v>-0.404205113009068</v>
      </c>
      <c r="H78" s="0" t="n">
        <f aca="false">IF(G78&gt;0,G78-Pi,G78)</f>
        <v>-0.404205113009068</v>
      </c>
      <c r="J78" s="0" t="n">
        <f aca="false">Vin/Vramp</f>
        <v>9</v>
      </c>
      <c r="M78" s="0" t="n">
        <f aca="false">1/(2*Pi*_Rfb1*(Cc1ea_u+Cc2ea_u)*A78)</f>
        <v>0.267937614938984</v>
      </c>
      <c r="N78" s="0" t="n">
        <f aca="false">-Pi/2</f>
        <v>-1.570796325</v>
      </c>
      <c r="O78" s="0" t="n">
        <f aca="false">SQRT(1+(A78/Fz1_u)^2)</f>
        <v>1.1352709729113</v>
      </c>
      <c r="P78" s="0" t="n">
        <f aca="false">ATAN2(Fz1_u,A78)</f>
        <v>0.493147970149277</v>
      </c>
      <c r="Q78" s="0" t="n">
        <f aca="false">SQRT(1+(A78/Fz2_u)^2)</f>
        <v>609.843165986745</v>
      </c>
      <c r="R78" s="0" t="n">
        <f aca="false">ATAN2(Fz2_u,A78)</f>
        <v>1.56915656020586</v>
      </c>
      <c r="S78" s="0" t="n">
        <f aca="false">1/SQRT(1+(A78/Fp1_u)^2)</f>
        <v>0.522927767255751</v>
      </c>
      <c r="T78" s="0" t="n">
        <f aca="false">-ATAN2(Fp1_u,A78)</f>
        <v>-1.02051415410589</v>
      </c>
      <c r="U78" s="0" t="n">
        <f aca="false">1/SQRT(1+(A78/Fp2_u)^2)</f>
        <v>0.998221790229518</v>
      </c>
      <c r="V78" s="0" t="n">
        <f aca="false">-ATAN2(Fp2_u,A78)</f>
        <v>-0.0596445643042643</v>
      </c>
      <c r="X78" s="0" t="n">
        <f aca="false">20*LOG(C78*J78*O78*Q78*F78*M78*S78*U78)</f>
        <v>60.6002237419417</v>
      </c>
      <c r="Y78" s="0" t="n">
        <f aca="false">(180/Pi)*(D78+H78+N78+P78+R78+T78+V78)</f>
        <v>-56.8785171043438</v>
      </c>
      <c r="Z78" s="0" t="n">
        <f aca="false">Y78+180</f>
        <v>123.121482895656</v>
      </c>
      <c r="AC78" s="0" t="n">
        <v>1</v>
      </c>
      <c r="AD78" s="0" t="n">
        <f aca="false">Rcea1_u*Cc1ea_u*A78*2*Pi</f>
        <v>0.5374385378208</v>
      </c>
      <c r="AE78" s="0" t="n">
        <f aca="false">-Rcea1_u*Cc1ea_u*Cc2ea_u*(A78*2*Pi)^2</f>
        <v>-1.11435255376142E-005</v>
      </c>
      <c r="AF78" s="0" t="n">
        <f aca="false">(Cc2ea_u+Cc1ea_u)*A78*2*Pi</f>
        <v>0.00018661060341</v>
      </c>
      <c r="AG78" s="0" t="n">
        <f aca="false">AC78*AE78/(AE78^2+AF78^2)+AD78*AF78/(AE78^2+AF78^2)</f>
        <v>2550.9036607719</v>
      </c>
      <c r="AH78" s="0" t="n">
        <f aca="false">AD78*AE78/(AE78^2+AF78^2)-AC78*AF78/(AE78^2+AF78^2)</f>
        <v>-5511.08051362045</v>
      </c>
      <c r="AJ78" s="0" t="n">
        <f aca="false">_Rfb1</f>
        <v>20000</v>
      </c>
      <c r="AK78" s="0" t="n">
        <f aca="false">_Rfb1*Rcea2_u*Cc3ea_u*A78*2*Pi</f>
        <v>32600.181265344</v>
      </c>
      <c r="AL78" s="0" t="n">
        <v>1</v>
      </c>
      <c r="AM78" s="0" t="n">
        <f aca="false">(_Rfb1+Rcea2_u)*Cc3ea_u*A78*2*Pi</f>
        <v>609.842346103267</v>
      </c>
      <c r="AN78" s="0" t="n">
        <f aca="false">AJ78*AL78/(AL78^2+AM78^2)+AK78*AM78/(AL78^2+AM78^2)</f>
        <v>53.5103688526068</v>
      </c>
      <c r="AO78" s="0" t="n">
        <f aca="false">AK78*AL78/(AL78^2+AM78^2)-AJ78*AM78/(AL78^2+AM78^2)</f>
        <v>-32.7076165809085</v>
      </c>
      <c r="AQ78" s="0" t="n">
        <f aca="false">Eadcg/(1+(Eadcg*A78/GBP)^2)</f>
        <v>23.3494349421975</v>
      </c>
      <c r="AR78" s="0" t="n">
        <f aca="false">-(A78*Eadcg*Eadcg/GBP)/(1+(Eadcg*A78/GBP)^2)</f>
        <v>-270.713348719838</v>
      </c>
      <c r="AT78" s="0" t="n">
        <f aca="false">-AR78*AH78+AG78*AQ78</f>
        <v>-1432360.90183583</v>
      </c>
      <c r="AU78" s="0" t="n">
        <f aca="false">AQ78*AH78+AG78*AR78</f>
        <v>-819244.288183249</v>
      </c>
      <c r="AV78" s="0" t="n">
        <f aca="false">ATAN2(AT78,AU78)</f>
        <v>-2.62205067297033</v>
      </c>
      <c r="AW78" s="0" t="n">
        <f aca="false">AG78-AH78*AO78/_Rfb2+AG78*AN78/_Rfb2+AN78-AO78*AR78+AQ78*AN78</f>
        <v>-5020.2270380466</v>
      </c>
      <c r="AX78" s="0" t="n">
        <f aca="false">AH78+AH78*AN78/_Rfb2+AG78*AO78/_Rfb2+AO78+AO78*AQ78+AN78*AR78</f>
        <v>-20963.7139074637</v>
      </c>
      <c r="AY78" s="0" t="n">
        <f aca="false">ATAN2(AW78,AX78)</f>
        <v>-1.80584220903416</v>
      </c>
      <c r="BA78" s="0" t="n">
        <f aca="false">SQRT(AT78^2+AU78^2)/SQRT(AW78^2+AX78^2)</f>
        <v>76.5477450352916</v>
      </c>
      <c r="BB78" s="0" t="n">
        <f aca="false">20*LOG(BA78)</f>
        <v>37.6786480331078</v>
      </c>
      <c r="BC78" s="0" t="n">
        <f aca="false">AV78-AY78</f>
        <v>-0.81620846393617</v>
      </c>
      <c r="BD78" s="0" t="n">
        <f aca="false">BC78*180/Pi-180</f>
        <v>-226.765300239836</v>
      </c>
      <c r="BF78" s="0" t="n">
        <f aca="false">20*LOG(BA78*J78*F78*C78)</f>
        <v>58.5584691450689</v>
      </c>
      <c r="BG78" s="0" t="n">
        <f aca="false">(180/Pi)*(D78+H78+BC78)</f>
        <v>-69.9166272993774</v>
      </c>
      <c r="BH78" s="0" t="n">
        <f aca="false">IF(BG78&gt;180,BG78-180,BG78+180)</f>
        <v>110.083372700623</v>
      </c>
      <c r="BI78" s="0" t="n">
        <f aca="false">IF(BH78&gt;180,BH78-360,BH78)</f>
        <v>110.083372700623</v>
      </c>
      <c r="BJ78" s="0" t="n">
        <f aca="false">SUM((BF79&lt;0)*(BF78&gt;0))*A78</f>
        <v>0</v>
      </c>
      <c r="BK78" s="0" t="n">
        <f aca="false">IF(BJ78&gt;0,BI78,0)</f>
        <v>0</v>
      </c>
      <c r="BM78" s="0" t="n">
        <f aca="false">20*LOG(J78*F78*C78)</f>
        <v>20.8798211119611</v>
      </c>
      <c r="BN78" s="0" t="n">
        <f aca="false">(H78+D78)*180/Pi</f>
        <v>-23.1513270595418</v>
      </c>
      <c r="BQ78" s="347" t="n">
        <f aca="false">20*LOG(BA78*7)</f>
        <v>54.5806088333929</v>
      </c>
      <c r="BR78" s="354"/>
      <c r="BS78" s="354"/>
      <c r="BT78" s="354" t="n">
        <v>478.63</v>
      </c>
      <c r="BU78" s="354" t="n">
        <v>21.1958</v>
      </c>
      <c r="BV78" s="354" t="n">
        <v>-264.3513</v>
      </c>
      <c r="BW78" s="349"/>
      <c r="BY78" s="354"/>
      <c r="BZ78" s="354"/>
      <c r="CA78" s="354"/>
      <c r="CC78" s="354"/>
    </row>
    <row r="79" customFormat="false" ht="12.75" hidden="false" customHeight="false" outlineLevel="0" collapsed="false">
      <c r="A79" s="0" t="n">
        <f aca="false">A78+500</f>
        <v>22500</v>
      </c>
      <c r="B79" s="0" t="n">
        <f aca="false">A79/1000</f>
        <v>22.5</v>
      </c>
      <c r="C79" s="0" t="n">
        <f aca="false">SQRT((A79/Fesr)^2+1)</f>
        <v>1.00000000999297</v>
      </c>
      <c r="D79" s="0" t="n">
        <f aca="false">ATAN(A79/Fesr)</f>
        <v>0.000141371668308184</v>
      </c>
      <c r="F79" s="0" t="n">
        <f aca="false">(Ro/(Ro+Rdcr))/SQRT((A79/(Q*Fo))^2+(1-(A79^2/Fo^2))^2)</f>
        <v>1.24184193831192</v>
      </c>
      <c r="G79" s="0" t="n">
        <f aca="false">-ATAN(A79*Fo/(Q*(Fo^2-A79^2)))</f>
        <v>-0.418341265949736</v>
      </c>
      <c r="H79" s="0" t="n">
        <f aca="false">IF(G79&gt;0,G79-Pi,G79)</f>
        <v>-0.418341265949736</v>
      </c>
      <c r="J79" s="0" t="n">
        <f aca="false">Vin/Vramp</f>
        <v>9</v>
      </c>
      <c r="M79" s="0" t="n">
        <f aca="false">1/(2*Pi*_Rfb1*(Cc1ea_u+Cc2ea_u)*A79)</f>
        <v>0.261983445718117</v>
      </c>
      <c r="N79" s="0" t="n">
        <f aca="false">-Pi/2</f>
        <v>-1.570796325</v>
      </c>
      <c r="O79" s="0" t="n">
        <f aca="false">SQRT(1+(A79/Fz1_u)^2)</f>
        <v>1.14110405985724</v>
      </c>
      <c r="P79" s="0" t="n">
        <f aca="false">ATAN2(Fz1_u,A79)</f>
        <v>0.502576799576563</v>
      </c>
      <c r="Q79" s="0" t="n">
        <f aca="false">SQRT(1+(A79/Fz2_u)^2)</f>
        <v>623.703201087665</v>
      </c>
      <c r="R79" s="0" t="n">
        <f aca="false">ATAN2(Fz2_u,A79)</f>
        <v>1.56919299940023</v>
      </c>
      <c r="S79" s="0" t="n">
        <f aca="false">1/SQRT(1+(A79/Fp1_u)^2)</f>
        <v>0.51440768525688</v>
      </c>
      <c r="T79" s="0" t="n">
        <f aca="false">-ATAN2(Fp1_u,A79)</f>
        <v>-1.03047952994578</v>
      </c>
      <c r="U79" s="0" t="n">
        <f aca="false">1/SQRT(1+(A79/Fp2_u)^2)</f>
        <v>0.998140271916224</v>
      </c>
      <c r="V79" s="0" t="n">
        <f aca="false">-ATAN2(Fp2_u,A79)</f>
        <v>-0.0609967999363719</v>
      </c>
      <c r="X79" s="0" t="n">
        <f aca="false">20*LOG(C79*J79*O79*Q79*F79*M79*S79*U79)</f>
        <v>60.5876987252184</v>
      </c>
      <c r="Y79" s="0" t="n">
        <f aca="false">(180/Pi)*(D79+H79+N79+P79+R79+T79+V79)</f>
        <v>-57.7944104349813</v>
      </c>
      <c r="Z79" s="0" t="n">
        <f aca="false">Y79+180</f>
        <v>122.205589565019</v>
      </c>
      <c r="AC79" s="0" t="n">
        <v>1</v>
      </c>
      <c r="AD79" s="0" t="n">
        <f aca="false">Rcea1_u*Cc1ea_u*A79*2*Pi</f>
        <v>0.549653050044</v>
      </c>
      <c r="AE79" s="0" t="n">
        <f aca="false">-Rcea1_u*Cc1ea_u*Cc2ea_u*(A79*2*Pi)^2</f>
        <v>-1.16558053789611E-005</v>
      </c>
      <c r="AF79" s="0" t="n">
        <f aca="false">(Cc2ea_u+Cc1ea_u)*A79*2*Pi</f>
        <v>0.0001908517534875</v>
      </c>
      <c r="AG79" s="0" t="n">
        <f aca="false">AC79*AE79/(AE79^2+AF79^2)+AD79*AF79/(AE79^2+AF79^2)</f>
        <v>2550.48704619775</v>
      </c>
      <c r="AH79" s="0" t="n">
        <f aca="false">AD79*AE79/(AE79^2+AF79^2)-AC79*AF79/(AE79^2+AF79^2)</f>
        <v>-5395.43369036683</v>
      </c>
      <c r="AJ79" s="0" t="n">
        <f aca="false">_Rfb1</f>
        <v>20000</v>
      </c>
      <c r="AK79" s="0" t="n">
        <f aca="false">_Rfb1*Rcea2_u*Cc3ea_u*A79*2*Pi</f>
        <v>33341.09447592</v>
      </c>
      <c r="AL79" s="0" t="n">
        <v>1</v>
      </c>
      <c r="AM79" s="0" t="n">
        <f aca="false">(_Rfb1+Rcea2_u)*Cc3ea_u*A79*2*Pi</f>
        <v>623.702399423796</v>
      </c>
      <c r="AN79" s="0" t="n">
        <f aca="false">AJ79*AL79/(AL79^2+AM79^2)+AK79*AM79/(AL79^2+AM79^2)</f>
        <v>53.5080116593872</v>
      </c>
      <c r="AO79" s="0" t="n">
        <f aca="false">AK79*AL79/(AL79^2+AM79^2)-AJ79*AM79/(AL79^2+AM79^2)</f>
        <v>-31.9807844362441</v>
      </c>
      <c r="AQ79" s="0" t="n">
        <f aca="false">Eadcg/(1+(Eadcg*A79/GBP)^2)</f>
        <v>22.3304601786481</v>
      </c>
      <c r="AR79" s="0" t="n">
        <f aca="false">-(A79*Eadcg*Eadcg/GBP)/(1+(Eadcg*A79/GBP)^2)</f>
        <v>-264.78343156832</v>
      </c>
      <c r="AT79" s="0" t="n">
        <f aca="false">-AR79*AH79+AG79*AQ79</f>
        <v>-1371667.89791338</v>
      </c>
      <c r="AU79" s="0" t="n">
        <f aca="false">AQ79*AH79+AG79*AR79</f>
        <v>-795809.22943206</v>
      </c>
      <c r="AV79" s="0" t="n">
        <f aca="false">ATAN2(AT79,AU79)</f>
        <v>-2.61587693568373</v>
      </c>
      <c r="AW79" s="0" t="n">
        <f aca="false">AG79-AH79*AO79/_Rfb2+AG79*AN79/_Rfb2+AN79-AO79*AR79+AQ79*AN79</f>
        <v>-4685.36368585367</v>
      </c>
      <c r="AX79" s="0" t="n">
        <f aca="false">AH79+AH79*AN79/_Rfb2+AG79*AO79/_Rfb2+AO79+AO79*AQ79+AN79*AR79</f>
        <v>-20476.2145290683</v>
      </c>
      <c r="AY79" s="0" t="n">
        <f aca="false">ATAN2(AW79,AX79)</f>
        <v>-1.79574353932591</v>
      </c>
      <c r="BA79" s="0" t="n">
        <f aca="false">SQRT(AT79^2+AU79^2)/SQRT(AW79^2+AX79^2)</f>
        <v>75.4951259865624</v>
      </c>
      <c r="BB79" s="0" t="n">
        <f aca="false">20*LOG(BA79)</f>
        <v>37.5583782841152</v>
      </c>
      <c r="BC79" s="0" t="n">
        <f aca="false">AV79-AY79</f>
        <v>-0.820133396357821</v>
      </c>
      <c r="BD79" s="0" t="n">
        <f aca="false">BC79*180/Pi-180</f>
        <v>-226.990182302727</v>
      </c>
      <c r="BF79" s="0" t="n">
        <f aca="false">20*LOG(BA79*J79*F79*C79)</f>
        <v>58.5245550065054</v>
      </c>
      <c r="BG79" s="0" t="n">
        <f aca="false">(180/Pi)*(D79+H79+BC79)</f>
        <v>-70.9512712652497</v>
      </c>
      <c r="BH79" s="0" t="n">
        <f aca="false">IF(BG79&gt;180,BG79-180,BG79+180)</f>
        <v>109.04872873475</v>
      </c>
      <c r="BI79" s="0" t="n">
        <f aca="false">IF(BH79&gt;180,BH79-360,BH79)</f>
        <v>109.04872873475</v>
      </c>
      <c r="BJ79" s="0" t="n">
        <f aca="false">SUM((BF80&lt;0)*(BF79&gt;0))*A79</f>
        <v>0</v>
      </c>
      <c r="BK79" s="0" t="n">
        <f aca="false">IF(BJ79&gt;0,BI79,0)</f>
        <v>0</v>
      </c>
      <c r="BM79" s="0" t="n">
        <f aca="false">20*LOG(J79*F79*C79)</f>
        <v>20.9661767223902</v>
      </c>
      <c r="BN79" s="0" t="n">
        <f aca="false">(H79+D79)*180/Pi</f>
        <v>-23.9610889625226</v>
      </c>
      <c r="BQ79" s="347" t="n">
        <f aca="false">20*LOG(BA79*7)</f>
        <v>54.4603390844003</v>
      </c>
      <c r="BR79" s="353"/>
      <c r="BS79" s="353"/>
      <c r="BT79" s="353" t="n">
        <v>489.779</v>
      </c>
      <c r="BU79" s="353" t="n">
        <v>20.9448</v>
      </c>
      <c r="BV79" s="353" t="n">
        <v>-263.9108</v>
      </c>
      <c r="BW79" s="349"/>
      <c r="BY79" s="353"/>
      <c r="BZ79" s="353"/>
      <c r="CA79" s="353"/>
      <c r="CC79" s="353"/>
    </row>
    <row r="80" customFormat="false" ht="12.75" hidden="false" customHeight="false" outlineLevel="0" collapsed="false">
      <c r="A80" s="0" t="n">
        <f aca="false">A79+500</f>
        <v>23000</v>
      </c>
      <c r="B80" s="0" t="n">
        <f aca="false">A80/1000</f>
        <v>23</v>
      </c>
      <c r="C80" s="0" t="n">
        <f aca="false">SQRT((A80/Fesr)^2+1)</f>
        <v>1.00000001044204</v>
      </c>
      <c r="D80" s="0" t="n">
        <f aca="false">ATAN(A80/Fesr)</f>
        <v>0.000144513260893991</v>
      </c>
      <c r="F80" s="0" t="n">
        <f aca="false">(Ro/(Ro+Rdcr))/SQRT((A80/(Q*Fo))^2+(1-(A80^2/Fo^2))^2)</f>
        <v>1.25450045854171</v>
      </c>
      <c r="G80" s="0" t="n">
        <f aca="false">-ATAN(A80*Fo/(Q*(Fo^2-A80^2)))</f>
        <v>-0.432901066690423</v>
      </c>
      <c r="H80" s="0" t="n">
        <f aca="false">IF(G80&gt;0,G80-Pi,G80)</f>
        <v>-0.432901066690423</v>
      </c>
      <c r="J80" s="0" t="n">
        <f aca="false">Vin/Vramp</f>
        <v>9</v>
      </c>
      <c r="M80" s="0" t="n">
        <f aca="false">1/(2*Pi*_Rfb1*(Cc1ea_u+Cc2ea_u)*A80)</f>
        <v>0.256288153419898</v>
      </c>
      <c r="N80" s="0" t="n">
        <f aca="false">-Pi/2</f>
        <v>-1.570796325</v>
      </c>
      <c r="O80" s="0" t="n">
        <f aca="false">SQRT(1+(A80/Fz1_u)^2)</f>
        <v>1.14703755715673</v>
      </c>
      <c r="P80" s="0" t="n">
        <f aca="false">ATAN2(Fz1_u,A80)</f>
        <v>0.511908903005147</v>
      </c>
      <c r="Q80" s="0" t="n">
        <f aca="false">SQRT(1+(A80/Fz2_u)^2)</f>
        <v>637.56323698074</v>
      </c>
      <c r="R80" s="0" t="n">
        <f aca="false">ATAN2(Fz2_u,A80)</f>
        <v>1.5692278542858</v>
      </c>
      <c r="S80" s="0" t="n">
        <f aca="false">1/SQRT(1+(A80/Fp1_u)^2)</f>
        <v>0.50611292103125</v>
      </c>
      <c r="T80" s="0" t="n">
        <f aca="false">-ATAN2(Fp1_u,A80)</f>
        <v>-1.04012445704445</v>
      </c>
      <c r="U80" s="0" t="n">
        <f aca="false">1/SQRT(1+(A80/Fp2_u)^2)</f>
        <v>0.998056942376736</v>
      </c>
      <c r="V80" s="0" t="n">
        <f aca="false">-ATAN2(Fp2_u,A80)</f>
        <v>-0.0623488122581105</v>
      </c>
      <c r="X80" s="0" t="n">
        <f aca="false">20*LOG(C80*J80*O80*Q80*F80*M80*S80*U80)</f>
        <v>60.5789104048254</v>
      </c>
      <c r="Y80" s="0" t="n">
        <f aca="false">(180/Pi)*(D80+H80+N80+P80+R80+T80+V80)</f>
        <v>-58.7218366071127</v>
      </c>
      <c r="Z80" s="0" t="n">
        <f aca="false">Y80+180</f>
        <v>121.278163392887</v>
      </c>
      <c r="AC80" s="0" t="n">
        <v>1</v>
      </c>
      <c r="AD80" s="0" t="n">
        <f aca="false">Rcea1_u*Cc1ea_u*A80*2*Pi</f>
        <v>0.5618675622672</v>
      </c>
      <c r="AE80" s="0" t="n">
        <f aca="false">-Rcea1_u*Cc1ea_u*Cc2ea_u*(A80*2*Pi)^2</f>
        <v>-1.21795971268552E-005</v>
      </c>
      <c r="AF80" s="0" t="n">
        <f aca="false">(Cc2ea_u+Cc1ea_u)*A80*2*Pi</f>
        <v>0.000195092903565</v>
      </c>
      <c r="AG80" s="0" t="n">
        <f aca="false">AC80*AE80/(AE80^2+AF80^2)+AD80*AF80/(AE80^2+AF80^2)</f>
        <v>2550.06121017958</v>
      </c>
      <c r="AH80" s="0" t="n">
        <f aca="false">AD80*AE80/(AE80^2+AF80^2)-AC80*AF80/(AE80^2+AF80^2)</f>
        <v>-5284.96269904192</v>
      </c>
      <c r="AJ80" s="0" t="n">
        <f aca="false">_Rfb1</f>
        <v>20000</v>
      </c>
      <c r="AK80" s="0" t="n">
        <f aca="false">_Rfb1*Rcea2_u*Cc3ea_u*A80*2*Pi</f>
        <v>34082.007686496</v>
      </c>
      <c r="AL80" s="0" t="n">
        <v>1</v>
      </c>
      <c r="AM80" s="0" t="n">
        <f aca="false">(_Rfb1+Rcea2_u)*Cc3ea_u*A80*2*Pi</f>
        <v>637.562452744325</v>
      </c>
      <c r="AN80" s="0" t="n">
        <f aca="false">AJ80*AL80/(AL80^2+AM80^2)+AK80*AM80/(AL80^2+AM80^2)</f>
        <v>53.5058065184193</v>
      </c>
      <c r="AO80" s="0" t="n">
        <f aca="false">AK80*AL80/(AL80^2+AM80^2)-AJ80*AM80/(AL80^2+AM80^2)</f>
        <v>-31.2855534506837</v>
      </c>
      <c r="AQ80" s="0" t="n">
        <f aca="false">Eadcg/(1+(Eadcg*A80/GBP)^2)</f>
        <v>21.3766160818095</v>
      </c>
      <c r="AR80" s="0" t="n">
        <f aca="false">-(A80*Eadcg*Eadcg/GBP)/(1+(Eadcg*A80/GBP)^2)</f>
        <v>-259.105963527612</v>
      </c>
      <c r="AT80" s="0" t="n">
        <f aca="false">-AR80*AH80+AG80*AQ80</f>
        <v>-1314853.67286763</v>
      </c>
      <c r="AU80" s="0" t="n">
        <f aca="false">AQ80*AH80+AG80*AR80</f>
        <v>-773710.685542073</v>
      </c>
      <c r="AV80" s="0" t="n">
        <f aca="false">ATAN2(AT80,AU80)</f>
        <v>-2.60971754003625</v>
      </c>
      <c r="AW80" s="0" t="n">
        <f aca="false">AG80-AH80*AO80/_Rfb2+AG80*AN80/_Rfb2+AN80-AO80*AR80+AQ80*AN80</f>
        <v>-4371.93832612188</v>
      </c>
      <c r="AX80" s="0" t="n">
        <f aca="false">AH80+AH80*AN80/_Rfb2+AG80*AO80/_Rfb2+AO80+AO80*AQ80+AN80*AR80</f>
        <v>-20011.8513903584</v>
      </c>
      <c r="AY80" s="0" t="n">
        <f aca="false">ATAN2(AW80,AX80)</f>
        <v>-1.78588437235429</v>
      </c>
      <c r="BA80" s="0" t="n">
        <f aca="false">SQRT(AT80^2+AU80^2)/SQRT(AW80^2+AX80^2)</f>
        <v>74.4784014228417</v>
      </c>
      <c r="BB80" s="0" t="n">
        <f aca="false">20*LOG(BA80)</f>
        <v>37.4406069307092</v>
      </c>
      <c r="BC80" s="0" t="n">
        <f aca="false">AV80-AY80</f>
        <v>-0.823833167681961</v>
      </c>
      <c r="BD80" s="0" t="n">
        <f aca="false">BC80*180/Pi-180</f>
        <v>-227.202163585006</v>
      </c>
      <c r="BF80" s="0" t="n">
        <f aca="false">20*LOG(BA80*J80*F80*C80)</f>
        <v>58.4948736980509</v>
      </c>
      <c r="BG80" s="0" t="n">
        <f aca="false">(180/Pi)*(D80+H80+BC80)</f>
        <v>-71.9972876814784</v>
      </c>
      <c r="BH80" s="0" t="n">
        <f aca="false">IF(BG80&gt;180,BG80-180,BG80+180)</f>
        <v>108.002712318522</v>
      </c>
      <c r="BI80" s="0" t="n">
        <f aca="false">IF(BH80&gt;180,BH80-360,BH80)</f>
        <v>108.002712318522</v>
      </c>
      <c r="BJ80" s="0" t="n">
        <f aca="false">SUM((BF81&lt;0)*(BF80&gt;0))*A80</f>
        <v>0</v>
      </c>
      <c r="BK80" s="0" t="n">
        <f aca="false">IF(BJ80&gt;0,BI80,0)</f>
        <v>0</v>
      </c>
      <c r="BM80" s="0" t="n">
        <f aca="false">20*LOG(J80*F80*C80)</f>
        <v>21.0542667673417</v>
      </c>
      <c r="BN80" s="0" t="n">
        <f aca="false">(H80+D80)*180/Pi</f>
        <v>-24.7951240964723</v>
      </c>
      <c r="BQ80" s="347" t="n">
        <f aca="false">20*LOG(BA80*7)</f>
        <v>54.3425677309943</v>
      </c>
      <c r="BR80" s="353"/>
      <c r="BS80" s="353"/>
      <c r="BT80" s="353" t="n">
        <v>501.187</v>
      </c>
      <c r="BU80" s="353" t="n">
        <v>20.7819</v>
      </c>
      <c r="BV80" s="353" t="n">
        <v>-264.7826</v>
      </c>
      <c r="BW80" s="349"/>
      <c r="BY80" s="353"/>
      <c r="BZ80" s="353"/>
      <c r="CA80" s="353"/>
      <c r="CC80" s="353"/>
    </row>
    <row r="81" customFormat="false" ht="12.75" hidden="false" customHeight="false" outlineLevel="0" collapsed="false">
      <c r="A81" s="0" t="n">
        <f aca="false">A80+500</f>
        <v>23500</v>
      </c>
      <c r="B81" s="0" t="n">
        <f aca="false">A81/1000</f>
        <v>23.5</v>
      </c>
      <c r="C81" s="0" t="n">
        <f aca="false">SQRT((A81/Fesr)^2+1)</f>
        <v>1.00000001090098</v>
      </c>
      <c r="D81" s="0" t="n">
        <f aca="false">ATAN(A81/Fesr)</f>
        <v>0.000147654853476945</v>
      </c>
      <c r="F81" s="0" t="n">
        <f aca="false">(Ro/(Ro+Rdcr))/SQRT((A81/(Q*Fo))^2+(1-(A81^2/Fo^2))^2)</f>
        <v>1.26753148243192</v>
      </c>
      <c r="G81" s="0" t="n">
        <f aca="false">-ATAN(A81*Fo/(Q*(Fo^2-A81^2)))</f>
        <v>-0.447904869074489</v>
      </c>
      <c r="H81" s="0" t="n">
        <f aca="false">IF(G81&gt;0,G81-Pi,G81)</f>
        <v>-0.447904869074489</v>
      </c>
      <c r="J81" s="0" t="n">
        <f aca="false">Vin/Vramp</f>
        <v>9</v>
      </c>
      <c r="M81" s="0" t="n">
        <f aca="false">1/(2*Pi*_Rfb1*(Cc1ea_u+Cc2ea_u)*A81)</f>
        <v>0.250835213985432</v>
      </c>
      <c r="N81" s="0" t="n">
        <f aca="false">-Pi/2</f>
        <v>-1.570796325</v>
      </c>
      <c r="O81" s="0" t="n">
        <f aca="false">SQRT(1+(A81/Fz1_u)^2)</f>
        <v>1.15306991472816</v>
      </c>
      <c r="P81" s="0" t="n">
        <f aca="false">ATAN2(Fz1_u,A81)</f>
        <v>0.521144160799934</v>
      </c>
      <c r="Q81" s="0" t="n">
        <f aca="false">SQRT(1+(A81/Fz2_u)^2)</f>
        <v>651.423273615408</v>
      </c>
      <c r="R81" s="0" t="n">
        <f aca="false">ATAN2(Fz2_u,A81)</f>
        <v>1.56926122598831</v>
      </c>
      <c r="S81" s="0" t="n">
        <f aca="false">1/SQRT(1+(A81/Fp1_u)^2)</f>
        <v>0.498037270859178</v>
      </c>
      <c r="T81" s="0" t="n">
        <f aca="false">-ATAN2(Fp1_u,A81)</f>
        <v>-1.04946243671051</v>
      </c>
      <c r="U81" s="0" t="n">
        <f aca="false">1/SQRT(1+(A81/Fp2_u)^2)</f>
        <v>0.997971802978451</v>
      </c>
      <c r="V81" s="0" t="n">
        <f aca="false">-ATAN2(Fp2_u,A81)</f>
        <v>-0.0637005963832471</v>
      </c>
      <c r="X81" s="0" t="n">
        <f aca="false">20*LOG(C81*J81*O81*Q81*F81*M81*S81*U81)</f>
        <v>60.5737760365175</v>
      </c>
      <c r="Y81" s="0" t="n">
        <f aca="false">(180/Pi)*(D81+H81+N81+P81+R81+T81+V81)</f>
        <v>-59.6627361586089</v>
      </c>
      <c r="Z81" s="0" t="n">
        <f aca="false">Y81+180</f>
        <v>120.337263841391</v>
      </c>
      <c r="AC81" s="0" t="n">
        <v>1</v>
      </c>
      <c r="AD81" s="0" t="n">
        <f aca="false">Rcea1_u*Cc1ea_u*A81*2*Pi</f>
        <v>0.5740820744904</v>
      </c>
      <c r="AE81" s="0" t="n">
        <f aca="false">-Rcea1_u*Cc1ea_u*Cc2ea_u*(A81*2*Pi)^2</f>
        <v>-1.27149007812963E-005</v>
      </c>
      <c r="AF81" s="0" t="n">
        <f aca="false">(Cc2ea_u+Cc1ea_u)*A81*2*Pi</f>
        <v>0.0001993340536425</v>
      </c>
      <c r="AG81" s="0" t="n">
        <f aca="false">AC81*AE81/(AE81^2+AF81^2)+AD81*AF81/(AE81^2+AF81^2)</f>
        <v>2549.62616202255</v>
      </c>
      <c r="AH81" s="0" t="n">
        <f aca="false">AD81*AE81/(AE81^2+AF81^2)-AC81*AF81/(AE81^2+AF81^2)</f>
        <v>-5179.33702151629</v>
      </c>
      <c r="AJ81" s="0" t="n">
        <f aca="false">_Rfb1</f>
        <v>20000</v>
      </c>
      <c r="AK81" s="0" t="n">
        <f aca="false">_Rfb1*Rcea2_u*Cc3ea_u*A81*2*Pi</f>
        <v>34822.920897072</v>
      </c>
      <c r="AL81" s="0" t="n">
        <v>1</v>
      </c>
      <c r="AM81" s="0" t="n">
        <f aca="false">(_Rfb1+Rcea2_u)*Cc3ea_u*A81*2*Pi</f>
        <v>651.422506064854</v>
      </c>
      <c r="AN81" s="0" t="n">
        <f aca="false">AJ81*AL81/(AL81^2+AM81^2)+AK81*AM81/(AL81^2+AM81^2)</f>
        <v>53.5037406278234</v>
      </c>
      <c r="AO81" s="0" t="n">
        <f aca="false">AK81*AL81/(AL81^2+AM81^2)-AJ81*AM81/(AL81^2+AM81^2)</f>
        <v>-30.6199065486177</v>
      </c>
      <c r="AQ81" s="0" t="n">
        <f aca="false">Eadcg/(1+(Eadcg*A81/GBP)^2)</f>
        <v>20.4824796087223</v>
      </c>
      <c r="AR81" s="0" t="n">
        <f aca="false">-(A81*Eadcg*Eadcg/GBP)/(1+(Eadcg*A81/GBP)^2)</f>
        <v>-253.665268714222</v>
      </c>
      <c r="AT81" s="0" t="n">
        <f aca="false">-AR81*AH81+AG81*AQ81</f>
        <v>-1261595.25145095</v>
      </c>
      <c r="AU81" s="0" t="n">
        <f aca="false">AQ81*AH81+AG81*AR81</f>
        <v>-752837.270440169</v>
      </c>
      <c r="AV81" s="0" t="n">
        <f aca="false">ATAN2(AT81,AU81)</f>
        <v>-2.60357779828959</v>
      </c>
      <c r="AW81" s="0" t="n">
        <f aca="false">AG81-AH81*AO81/_Rfb2+AG81*AN81/_Rfb2+AN81-AO81*AR81+AQ81*AN81</f>
        <v>-4078.16696902967</v>
      </c>
      <c r="AX81" s="0" t="n">
        <f aca="false">AH81+AH81*AN81/_Rfb2+AG81*AO81/_Rfb2+AO81+AO81*AQ81+AN81*AR81</f>
        <v>-19569.001731888</v>
      </c>
      <c r="AY81" s="0" t="n">
        <f aca="false">ATAN2(AW81,AX81)</f>
        <v>-1.7762549723765</v>
      </c>
      <c r="BA81" s="0" t="n">
        <f aca="false">SQRT(AT81^2+AU81^2)/SQRT(AW81^2+AX81^2)</f>
        <v>73.4960876403622</v>
      </c>
      <c r="BB81" s="0" t="n">
        <f aca="false">20*LOG(BA81)</f>
        <v>37.3252844248336</v>
      </c>
      <c r="BC81" s="0" t="n">
        <f aca="false">AV81-AY81</f>
        <v>-0.827322825913091</v>
      </c>
      <c r="BD81" s="0" t="n">
        <f aca="false">BC81*180/Pi-180</f>
        <v>-227.402106273821</v>
      </c>
      <c r="BF81" s="0" t="n">
        <f aca="false">20*LOG(BA81*J81*F81*C81)</f>
        <v>58.4693098076889</v>
      </c>
      <c r="BG81" s="0" t="n">
        <f aca="false">(180/Pi)*(D81+H81+BC81)</f>
        <v>-73.0567049245352</v>
      </c>
      <c r="BH81" s="0" t="n">
        <f aca="false">IF(BG81&gt;180,BG81-180,BG81+180)</f>
        <v>106.943295075465</v>
      </c>
      <c r="BI81" s="0" t="n">
        <f aca="false">IF(BH81&gt;180,BH81-360,BH81)</f>
        <v>106.943295075465</v>
      </c>
      <c r="BJ81" s="0" t="n">
        <f aca="false">SUM((BF82&lt;0)*(BF81&gt;0))*A81</f>
        <v>0</v>
      </c>
      <c r="BK81" s="0" t="n">
        <f aca="false">IF(BJ81&gt;0,BI81,0)</f>
        <v>0</v>
      </c>
      <c r="BM81" s="0" t="n">
        <f aca="false">20*LOG(J81*F81*C81)</f>
        <v>21.1440253828554</v>
      </c>
      <c r="BN81" s="0" t="n">
        <f aca="false">(H81+D81)*180/Pi</f>
        <v>-25.6545986507137</v>
      </c>
      <c r="BQ81" s="347" t="n">
        <f aca="false">20*LOG(BA81*7)</f>
        <v>54.2272452251187</v>
      </c>
      <c r="BR81" s="353"/>
      <c r="BS81" s="353"/>
      <c r="BT81" s="353" t="n">
        <v>512.861</v>
      </c>
      <c r="BU81" s="353" t="n">
        <v>20.6348</v>
      </c>
      <c r="BV81" s="353" t="n">
        <v>-265.043</v>
      </c>
      <c r="BW81" s="349"/>
      <c r="BY81" s="353"/>
      <c r="BZ81" s="353"/>
      <c r="CA81" s="353"/>
      <c r="CC81" s="353"/>
    </row>
    <row r="82" customFormat="false" ht="12.75" hidden="false" customHeight="false" outlineLevel="0" collapsed="false">
      <c r="A82" s="0" t="n">
        <f aca="false">A81+500</f>
        <v>24000</v>
      </c>
      <c r="B82" s="0" t="n">
        <f aca="false">A82/1000</f>
        <v>24</v>
      </c>
      <c r="C82" s="0" t="n">
        <f aca="false">SQRT((A82/Fesr)^2+1)</f>
        <v>1.00000001136978</v>
      </c>
      <c r="D82" s="0" t="n">
        <f aca="false">ATAN(A82/Fesr)</f>
        <v>0.000150796446056985</v>
      </c>
      <c r="F82" s="0" t="n">
        <f aca="false">(Ro/(Ro+Rdcr))/SQRT((A82/(Q*Fo))^2+(1-(A82^2/Fo^2))^2)</f>
        <v>1.28093268361446</v>
      </c>
      <c r="G82" s="0" t="n">
        <f aca="false">-ATAN(A82*Fo/(Q*(Fo^2-A82^2)))</f>
        <v>-0.463373790107387</v>
      </c>
      <c r="H82" s="0" t="n">
        <f aca="false">IF(G82&gt;0,G82-Pi,G82)</f>
        <v>-0.463373790107387</v>
      </c>
      <c r="J82" s="0" t="n">
        <f aca="false">Vin/Vramp</f>
        <v>9</v>
      </c>
      <c r="M82" s="0" t="n">
        <f aca="false">1/(2*Pi*_Rfb1*(Cc1ea_u+Cc2ea_u)*A82)</f>
        <v>0.245609480360735</v>
      </c>
      <c r="N82" s="0" t="n">
        <f aca="false">-Pi/2</f>
        <v>-1.570796325</v>
      </c>
      <c r="O82" s="0" t="n">
        <f aca="false">SQRT(1+(A82/Fz1_u)^2)</f>
        <v>1.15919958919593</v>
      </c>
      <c r="P82" s="0" t="n">
        <f aca="false">ATAN2(Fz1_u,A82)</f>
        <v>0.530282521869165</v>
      </c>
      <c r="Q82" s="0" t="n">
        <f aca="false">SQRT(1+(A82/Fz2_u)^2)</f>
        <v>665.283310945318</v>
      </c>
      <c r="R82" s="0" t="n">
        <f aca="false">ATAN2(Fz2_u,A82)</f>
        <v>1.56929320720643</v>
      </c>
      <c r="S82" s="0" t="n">
        <f aca="false">1/SQRT(1+(A82/Fp1_u)^2)</f>
        <v>0.490174539476165</v>
      </c>
      <c r="T82" s="0" t="n">
        <f aca="false">-ATAN2(Fp1_u,A82)</f>
        <v>-1.05850633890776</v>
      </c>
      <c r="U82" s="0" t="n">
        <f aca="false">1/SQRT(1+(A82/Fp2_u)^2)</f>
        <v>0.997884855117839</v>
      </c>
      <c r="V82" s="0" t="n">
        <f aca="false">-ATAN2(Fp2_u,A82)</f>
        <v>-0.0650521474305336</v>
      </c>
      <c r="X82" s="0" t="n">
        <f aca="false">20*LOG(C82*J82*O82*Q82*F82*M82*S82*U82)</f>
        <v>60.5721995227411</v>
      </c>
      <c r="Y82" s="0" t="n">
        <f aca="false">(180/Pi)*(D82+H82+N82+P82+R82+T82+V82)</f>
        <v>-60.6190537357938</v>
      </c>
      <c r="Z82" s="0" t="n">
        <f aca="false">Y82+180</f>
        <v>119.380946264206</v>
      </c>
      <c r="AC82" s="0" t="n">
        <v>1</v>
      </c>
      <c r="AD82" s="0" t="n">
        <f aca="false">Rcea1_u*Cc1ea_u*A82*2*Pi</f>
        <v>0.5862965867136</v>
      </c>
      <c r="AE82" s="0" t="n">
        <f aca="false">-Rcea1_u*Cc1ea_u*Cc2ea_u*(A82*2*Pi)^2</f>
        <v>-1.32617163422846E-005</v>
      </c>
      <c r="AF82" s="0" t="n">
        <f aca="false">(Cc2ea_u+Cc1ea_u)*A82*2*Pi</f>
        <v>0.00020357520372</v>
      </c>
      <c r="AG82" s="0" t="n">
        <f aca="false">AC82*AE82/(AE82^2+AF82^2)+AD82*AF82/(AE82^2+AF82^2)</f>
        <v>2549.18191122829</v>
      </c>
      <c r="AH82" s="0" t="n">
        <f aca="false">AD82*AE82/(AE82^2+AF82^2)-AC82*AF82/(AE82^2+AF82^2)</f>
        <v>-5078.25367982195</v>
      </c>
      <c r="AJ82" s="0" t="n">
        <f aca="false">_Rfb1</f>
        <v>20000</v>
      </c>
      <c r="AK82" s="0" t="n">
        <f aca="false">_Rfb1*Rcea2_u*Cc3ea_u*A82*2*Pi</f>
        <v>35563.834107648</v>
      </c>
      <c r="AL82" s="0" t="n">
        <v>1</v>
      </c>
      <c r="AM82" s="0" t="n">
        <f aca="false">(_Rfb1+Rcea2_u)*Cc3ea_u*A82*2*Pi</f>
        <v>665.282559385382</v>
      </c>
      <c r="AN82" s="0" t="n">
        <f aca="false">AJ82*AL82/(AL82^2+AM82^2)+AK82*AM82/(AL82^2+AM82^2)</f>
        <v>53.5018025051991</v>
      </c>
      <c r="AO82" s="0" t="n">
        <f aca="false">AK82*AL82/(AL82^2+AM82^2)-AJ82*AM82/(AL82^2+AM82^2)</f>
        <v>-29.9819947420871</v>
      </c>
      <c r="AQ82" s="0" t="n">
        <f aca="false">Eadcg/(1+(Eadcg*A82/GBP)^2)</f>
        <v>19.6431794706236</v>
      </c>
      <c r="AR82" s="0" t="n">
        <f aca="false">-(A82*Eadcg*Eadcg/GBP)/(1+(Eadcg*A82/GBP)^2)</f>
        <v>-248.446933944448</v>
      </c>
      <c r="AT82" s="0" t="n">
        <f aca="false">-AR82*AH82+AG82*AQ82</f>
        <v>-1211602.51875835</v>
      </c>
      <c r="AU82" s="0" t="n">
        <f aca="false">AQ82*AH82+AG82*AR82</f>
        <v>-733089.478341414</v>
      </c>
      <c r="AV82" s="0" t="n">
        <f aca="false">ATAN2(AT82,AU82)</f>
        <v>-2.59746252572874</v>
      </c>
      <c r="AW82" s="0" t="n">
        <f aca="false">AG82-AH82*AO82/_Rfb2+AG82*AN82/_Rfb2+AN82-AO82*AR82+AQ82*AN82</f>
        <v>-3802.4471014485</v>
      </c>
      <c r="AX82" s="0" t="n">
        <f aca="false">AH82+AH82*AN82/_Rfb2+AG82*AO82/_Rfb2+AO82+AO82*AQ82+AN82*AR82</f>
        <v>-19146.1925489369</v>
      </c>
      <c r="AY82" s="0" t="n">
        <f aca="false">ATAN2(AW82,AX82)</f>
        <v>-1.76684603743674</v>
      </c>
      <c r="BA82" s="0" t="n">
        <f aca="false">SQRT(AT82^2+AU82^2)/SQRT(AW82^2+AX82^2)</f>
        <v>72.5467556378693</v>
      </c>
      <c r="BB82" s="0" t="n">
        <f aca="false">20*LOG(BA82)</f>
        <v>37.2123599026491</v>
      </c>
      <c r="BC82" s="0" t="n">
        <f aca="false">AV82-AY82</f>
        <v>-0.830616488292009</v>
      </c>
      <c r="BD82" s="0" t="n">
        <f aca="false">BC82*180/Pi-180</f>
        <v>-227.59081922749</v>
      </c>
      <c r="BF82" s="0" t="n">
        <f aca="false">20*LOG(BA82*J82*F82*C82)</f>
        <v>58.4477363307073</v>
      </c>
      <c r="BG82" s="0" t="n">
        <f aca="false">(180/Pi)*(D82+H82+BC82)</f>
        <v>-74.1315417680268</v>
      </c>
      <c r="BH82" s="0" t="n">
        <f aca="false">IF(BG82&gt;180,BG82-180,BG82+180)</f>
        <v>105.868458231973</v>
      </c>
      <c r="BI82" s="0" t="n">
        <f aca="false">IF(BH82&gt;180,BH82-360,BH82)</f>
        <v>105.868458231973</v>
      </c>
      <c r="BJ82" s="0" t="n">
        <f aca="false">SUM((BF83&lt;0)*(BF82&gt;0))*A82</f>
        <v>0</v>
      </c>
      <c r="BK82" s="0" t="n">
        <f aca="false">IF(BJ82&gt;0,BI82,0)</f>
        <v>0</v>
      </c>
      <c r="BM82" s="0" t="n">
        <f aca="false">20*LOG(J82*F82*C82)</f>
        <v>21.2353764280582</v>
      </c>
      <c r="BN82" s="0" t="n">
        <f aca="false">(H82+D82)*180/Pi</f>
        <v>-26.5407225405367</v>
      </c>
      <c r="BQ82" s="347" t="n">
        <f aca="false">20*LOG(BA82*7)</f>
        <v>54.1143207029342</v>
      </c>
      <c r="BR82" s="353"/>
      <c r="BS82" s="353"/>
      <c r="BT82" s="353" t="n">
        <v>524.807</v>
      </c>
      <c r="BU82" s="353" t="n">
        <v>20.2436</v>
      </c>
      <c r="BV82" s="353" t="n">
        <v>-263.9557</v>
      </c>
      <c r="BW82" s="349"/>
      <c r="BY82" s="353"/>
      <c r="BZ82" s="353"/>
      <c r="CA82" s="353"/>
      <c r="CC82" s="353"/>
    </row>
    <row r="83" customFormat="false" ht="12.75" hidden="false" customHeight="false" outlineLevel="0" collapsed="false">
      <c r="A83" s="0" t="n">
        <f aca="false">A82+500</f>
        <v>24500</v>
      </c>
      <c r="B83" s="0" t="n">
        <f aca="false">A83/1000</f>
        <v>24.5</v>
      </c>
      <c r="C83" s="0" t="n">
        <f aca="false">SQRT((A83/Fesr)^2+1)</f>
        <v>1.00000001184846</v>
      </c>
      <c r="D83" s="0" t="n">
        <f aca="false">ATAN(A83/Fesr)</f>
        <v>0.000153938038634048</v>
      </c>
      <c r="F83" s="0" t="n">
        <f aca="false">(Ro/(Ro+Rdcr))/SQRT((A83/(Q*Fo))^2+(1-(A83^2/Fo^2))^2)</f>
        <v>1.29469986450024</v>
      </c>
      <c r="G83" s="0" t="n">
        <f aca="false">-ATAN(A83*Fo/(Q*(Fo^2-A83^2)))</f>
        <v>-0.479329697431809</v>
      </c>
      <c r="H83" s="0" t="n">
        <f aca="false">IF(G83&gt;0,G83-Pi,G83)</f>
        <v>-0.479329697431809</v>
      </c>
      <c r="J83" s="0" t="n">
        <f aca="false">Vin/Vramp</f>
        <v>9</v>
      </c>
      <c r="M83" s="0" t="n">
        <f aca="false">1/(2*Pi*_Rfb1*(Cc1ea_u+Cc2ea_u)*A83)</f>
        <v>0.240597041986026</v>
      </c>
      <c r="N83" s="0" t="n">
        <f aca="false">-Pi/2</f>
        <v>-1.570796325</v>
      </c>
      <c r="O83" s="0" t="n">
        <f aca="false">SQRT(1+(A83/Fz1_u)^2)</f>
        <v>1.165425045016</v>
      </c>
      <c r="P83" s="0" t="n">
        <f aca="false">ATAN2(Fz1_u,A83)</f>
        <v>0.539324000916413</v>
      </c>
      <c r="Q83" s="0" t="n">
        <f aca="false">SQRT(1+(A83/Fz2_u)^2)</f>
        <v>679.143348927906</v>
      </c>
      <c r="R83" s="0" t="n">
        <f aca="false">ATAN2(Fz2_u,A83)</f>
        <v>1.5693238830716</v>
      </c>
      <c r="S83" s="0" t="n">
        <f aca="false">1/SQRT(1+(A83/Fp1_u)^2)</f>
        <v>0.482518570857861</v>
      </c>
      <c r="T83" s="0" t="n">
        <f aca="false">-ATAN2(Fp1_u,A83)</f>
        <v>-1.06726842835148</v>
      </c>
      <c r="U83" s="0" t="n">
        <f aca="false">1/SQRT(1+(A83/Fp2_u)^2)</f>
        <v>0.997796100220374</v>
      </c>
      <c r="V83" s="0" t="n">
        <f aca="false">-ATAN2(Fp2_u,A83)</f>
        <v>-0.0664034605238113</v>
      </c>
      <c r="X83" s="0" t="n">
        <f aca="false">20*LOG(C83*J83*O83*Q83*F83*M83*S83*U83)</f>
        <v>60.5740706904153</v>
      </c>
      <c r="Y83" s="0" t="n">
        <f aca="false">(180/Pi)*(D83+H83+N83+P83+R83+T83+V83)</f>
        <v>-61.5927389792184</v>
      </c>
      <c r="Z83" s="0" t="n">
        <f aca="false">Y83+180</f>
        <v>118.407261020782</v>
      </c>
      <c r="AC83" s="0" t="n">
        <v>1</v>
      </c>
      <c r="AD83" s="0" t="n">
        <f aca="false">Rcea1_u*Cc1ea_u*A83*2*Pi</f>
        <v>0.5985110989368</v>
      </c>
      <c r="AE83" s="0" t="n">
        <f aca="false">-Rcea1_u*Cc1ea_u*Cc2ea_u*(A83*2*Pi)^2</f>
        <v>-1.38200438098201E-005</v>
      </c>
      <c r="AF83" s="0" t="n">
        <f aca="false">(Cc2ea_u+Cc1ea_u)*A83*2*Pi</f>
        <v>0.0002078163537975</v>
      </c>
      <c r="AG83" s="0" t="n">
        <f aca="false">AC83*AE83/(AE83^2+AF83^2)+AD83*AF83/(AE83^2+AF83^2)</f>
        <v>2548.72846749436</v>
      </c>
      <c r="AH83" s="0" t="n">
        <f aca="false">AD83*AE83/(AE83^2+AF83^2)-AC83*AF83/(AE83^2+AF83^2)</f>
        <v>-4981.43442593959</v>
      </c>
      <c r="AJ83" s="0" t="n">
        <f aca="false">_Rfb1</f>
        <v>20000</v>
      </c>
      <c r="AK83" s="0" t="n">
        <f aca="false">_Rfb1*Rcea2_u*Cc3ea_u*A83*2*Pi</f>
        <v>36304.747318224</v>
      </c>
      <c r="AL83" s="0" t="n">
        <v>1</v>
      </c>
      <c r="AM83" s="0" t="n">
        <f aca="false">(_Rfb1+Rcea2_u)*Cc3ea_u*A83*2*Pi</f>
        <v>679.142612705911</v>
      </c>
      <c r="AN83" s="0" t="n">
        <f aca="false">AJ83*AL83/(AL83^2+AM83^2)+AK83*AM83/(AL83^2+AM83^2)</f>
        <v>53.4999818277299</v>
      </c>
      <c r="AO83" s="0" t="n">
        <f aca="false">AK83*AL83/(AL83^2+AM83^2)-AJ83*AM83/(AL83^2+AM83^2)</f>
        <v>-29.3701199792181</v>
      </c>
      <c r="AQ83" s="0" t="n">
        <f aca="false">Eadcg/(1+(Eadcg*A83/GBP)^2)</f>
        <v>18.8543302474786</v>
      </c>
      <c r="AR83" s="0" t="n">
        <f aca="false">-(A83*Eadcg*Eadcg/GBP)/(1+(Eadcg*A83/GBP)^2)</f>
        <v>-243.43768499032</v>
      </c>
      <c r="AT83" s="0" t="n">
        <f aca="false">-AR83*AH83+AG83*AQ83</f>
        <v>-1164614.29634453</v>
      </c>
      <c r="AU83" s="0" t="n">
        <f aca="false">AQ83*AH83+AG83*AR83</f>
        <v>-714378.167568579</v>
      </c>
      <c r="AV83" s="0" t="n">
        <f aca="false">ATAN2(AT83,AU83)</f>
        <v>-2.59137608657673</v>
      </c>
      <c r="AW83" s="0" t="n">
        <f aca="false">AG83-AH83*AO83/_Rfb2+AG83*AN83/_Rfb2+AN83-AO83*AR83+AQ83*AN83</f>
        <v>-3543.33602072125</v>
      </c>
      <c r="AX83" s="0" t="n">
        <f aca="false">AH83+AH83*AN83/_Rfb2+AG83*AO83/_Rfb2+AO83+AO83*AQ83+AN83*AR83</f>
        <v>-18742.0836110487</v>
      </c>
      <c r="AY83" s="0" t="n">
        <f aca="false">ATAN2(AW83,AX83)</f>
        <v>-1.75764868939112</v>
      </c>
      <c r="BA83" s="0" t="n">
        <f aca="false">SQRT(AT83^2+AU83^2)/SQRT(AW83^2+AX83^2)</f>
        <v>71.6290311999564</v>
      </c>
      <c r="BB83" s="0" t="n">
        <f aca="false">20*LOG(BA83)</f>
        <v>37.1017815452</v>
      </c>
      <c r="BC83" s="0" t="n">
        <f aca="false">AV83-AY83</f>
        <v>-0.833727397185609</v>
      </c>
      <c r="BD83" s="0" t="n">
        <f aca="false">BC83*180/Pi-180</f>
        <v>-227.769061177747</v>
      </c>
      <c r="BF83" s="0" t="n">
        <f aca="false">20*LOG(BA83*J83*F83*C83)</f>
        <v>58.4300138878926</v>
      </c>
      <c r="BG83" s="0" t="n">
        <f aca="false">(180/Pi)*(D83+H83+BC83)</f>
        <v>-75.2238098673235</v>
      </c>
      <c r="BH83" s="0" t="n">
        <f aca="false">IF(BG83&gt;180,BG83-180,BG83+180)</f>
        <v>104.776190132677</v>
      </c>
      <c r="BI83" s="0" t="n">
        <f aca="false">IF(BH83&gt;180,BH83-360,BH83)</f>
        <v>104.776190132677</v>
      </c>
      <c r="BJ83" s="0" t="n">
        <f aca="false">SUM((BF84&lt;0)*(BF83&gt;0))*A83</f>
        <v>0</v>
      </c>
      <c r="BK83" s="0" t="n">
        <f aca="false">IF(BJ83&gt;0,BI83,0)</f>
        <v>0</v>
      </c>
      <c r="BM83" s="0" t="n">
        <f aca="false">20*LOG(J83*F83*C83)</f>
        <v>21.3282323426926</v>
      </c>
      <c r="BN83" s="0" t="n">
        <f aca="false">(H83+D83)*180/Pi</f>
        <v>-27.4547486895767</v>
      </c>
      <c r="BQ83" s="347" t="n">
        <f aca="false">20*LOG(BA83*7)</f>
        <v>54.0037423454851</v>
      </c>
      <c r="BR83" s="353"/>
      <c r="BS83" s="353"/>
      <c r="BT83" s="353" t="n">
        <v>537.032</v>
      </c>
      <c r="BU83" s="353" t="n">
        <v>20.2926</v>
      </c>
      <c r="BV83" s="353" t="n">
        <v>-264.5682</v>
      </c>
      <c r="BW83" s="349"/>
      <c r="BY83" s="353"/>
      <c r="BZ83" s="353"/>
      <c r="CA83" s="353"/>
      <c r="CC83" s="353"/>
    </row>
    <row r="84" customFormat="false" ht="12.75" hidden="false" customHeight="false" outlineLevel="0" collapsed="false">
      <c r="A84" s="0" t="n">
        <f aca="false">A83+500</f>
        <v>25000</v>
      </c>
      <c r="B84" s="0" t="n">
        <f aca="false">A84/1000</f>
        <v>25</v>
      </c>
      <c r="C84" s="0" t="n">
        <f aca="false">SQRT((A84/Fesr)^2+1)</f>
        <v>1.00000001233701</v>
      </c>
      <c r="D84" s="0" t="n">
        <f aca="false">ATAN(A84/Fesr)</f>
        <v>0.000157079631208072</v>
      </c>
      <c r="F84" s="0" t="n">
        <f aca="false">(Ro/(Ro+Rdcr))/SQRT((A84/(Q*Fo))^2+(1-(A84^2/Fo^2))^2)</f>
        <v>1.30882665386921</v>
      </c>
      <c r="G84" s="0" t="n">
        <f aca="false">-ATAN(A84*Fo/(Q*(Fo^2-A84^2)))</f>
        <v>-0.495795185773721</v>
      </c>
      <c r="H84" s="0" t="n">
        <f aca="false">IF(G84&gt;0,G84-Pi,G84)</f>
        <v>-0.495795185773721</v>
      </c>
      <c r="J84" s="0" t="n">
        <f aca="false">Vin/Vramp</f>
        <v>9</v>
      </c>
      <c r="M84" s="0" t="n">
        <f aca="false">1/(2*Pi*_Rfb1*(Cc1ea_u+Cc2ea_u)*A84)</f>
        <v>0.235785101146306</v>
      </c>
      <c r="N84" s="0" t="n">
        <f aca="false">-Pi/2</f>
        <v>-1.570796325</v>
      </c>
      <c r="O84" s="0" t="n">
        <f aca="false">SQRT(1+(A84/Fz1_u)^2)</f>
        <v>1.17174475553627</v>
      </c>
      <c r="P84" s="0" t="n">
        <f aca="false">ATAN2(Fz1_u,A84)</f>
        <v>0.548268675689923</v>
      </c>
      <c r="Q84" s="0" t="n">
        <f aca="false">SQRT(1+(A84/Fz2_u)^2)</f>
        <v>693.00338752401</v>
      </c>
      <c r="R84" s="0" t="n">
        <f aca="false">ATAN2(Fz2_u,A84)</f>
        <v>1.56935333190477</v>
      </c>
      <c r="S84" s="0" t="n">
        <f aca="false">1/SQRT(1+(A84/Fp1_u)^2)</f>
        <v>0.475063273730836</v>
      </c>
      <c r="T84" s="0" t="n">
        <f aca="false">-ATAN2(Fp1_u,A84)</f>
        <v>-1.07576039055504</v>
      </c>
      <c r="U84" s="0" t="n">
        <f aca="false">1/SQRT(1+(A84/Fp2_u)^2)</f>
        <v>0.997705539740471</v>
      </c>
      <c r="V84" s="0" t="n">
        <f aca="false">-ATAN2(Fp2_u,A84)</f>
        <v>-0.0677545307921142</v>
      </c>
      <c r="X84" s="0" t="n">
        <f aca="false">20*LOG(C84*J84*O84*Q84*F84*M84*S84*U84)</f>
        <v>60.5792644312884</v>
      </c>
      <c r="Y84" s="0" t="n">
        <f aca="false">(180/Pi)*(D84+H84+N84+P84+R84+T84+V84)</f>
        <v>-62.5857467807279</v>
      </c>
      <c r="Z84" s="0" t="n">
        <f aca="false">Y84+180</f>
        <v>117.414253219272</v>
      </c>
      <c r="AC84" s="0" t="n">
        <v>1</v>
      </c>
      <c r="AD84" s="0" t="n">
        <f aca="false">Rcea1_u*Cc1ea_u*A84*2*Pi</f>
        <v>0.61072561116</v>
      </c>
      <c r="AE84" s="0" t="n">
        <f aca="false">-Rcea1_u*Cc1ea_u*Cc2ea_u*(A84*2*Pi)^2</f>
        <v>-1.43898831839026E-005</v>
      </c>
      <c r="AF84" s="0" t="n">
        <f aca="false">(Cc2ea_u+Cc1ea_u)*A84*2*Pi</f>
        <v>0.000212057503875</v>
      </c>
      <c r="AG84" s="0" t="n">
        <f aca="false">AC84*AE84/(AE84^2+AF84^2)+AD84*AF84/(AE84^2+AF84^2)</f>
        <v>2548.26584071379</v>
      </c>
      <c r="AH84" s="0" t="n">
        <f aca="false">AD84*AE84/(AE84^2+AF84^2)-AC84*AF84/(AE84^2+AF84^2)</f>
        <v>-4888.62326881146</v>
      </c>
      <c r="AJ84" s="0" t="n">
        <f aca="false">_Rfb1</f>
        <v>20000</v>
      </c>
      <c r="AK84" s="0" t="n">
        <f aca="false">_Rfb1*Rcea2_u*Cc3ea_u*A84*2*Pi</f>
        <v>37045.6605288</v>
      </c>
      <c r="AL84" s="0" t="n">
        <v>1</v>
      </c>
      <c r="AM84" s="0" t="n">
        <f aca="false">(_Rfb1+Rcea2_u)*Cc3ea_u*A84*2*Pi</f>
        <v>693.00266602644</v>
      </c>
      <c r="AN84" s="0" t="n">
        <f aca="false">AJ84*AL84/(AL84^2+AM84^2)+AK84*AM84/(AL84^2+AM84^2)</f>
        <v>53.498269294445</v>
      </c>
      <c r="AO84" s="0" t="n">
        <f aca="false">AK84*AL84/(AL84^2+AM84^2)-AJ84*AM84/(AL84^2+AM84^2)</f>
        <v>-28.7827200508122</v>
      </c>
      <c r="AQ84" s="0" t="n">
        <f aca="false">Eadcg/(1+(Eadcg*A84/GBP)^2)</f>
        <v>18.1119754841066</v>
      </c>
      <c r="AR84" s="0" t="n">
        <f aca="false">-(A84*Eadcg*Eadcg/GBP)/(1+(Eadcg*A84/GBP)^2)</f>
        <v>-238.625277003104</v>
      </c>
      <c r="AT84" s="0" t="n">
        <f aca="false">-AR84*AH84+AG84*AQ84</f>
        <v>-1120394.95324996</v>
      </c>
      <c r="AU84" s="0" t="n">
        <f aca="false">AQ84*AH84+AG84*AR84</f>
        <v>-696623.266913622</v>
      </c>
      <c r="AV84" s="0" t="n">
        <f aca="false">ATAN2(AT84,AU84)</f>
        <v>-2.58532243480608</v>
      </c>
      <c r="AW84" s="0" t="n">
        <f aca="false">AG84-AH84*AO84/_Rfb2+AG84*AN84/_Rfb2+AN84-AO84*AR84+AQ84*AN84</f>
        <v>-3299.53212137639</v>
      </c>
      <c r="AX84" s="0" t="n">
        <f aca="false">AH84+AH84*AN84/_Rfb2+AG84*AO84/_Rfb2+AO84+AO84*AQ84+AN84*AR84</f>
        <v>-18355.4527462521</v>
      </c>
      <c r="AY84" s="0" t="n">
        <f aca="false">ATAN2(AW84,AX84)</f>
        <v>-1.74865446179977</v>
      </c>
      <c r="BA84" s="0" t="n">
        <f aca="false">SQRT(AT84^2+AU84^2)/SQRT(AW84^2+AX84^2)</f>
        <v>70.7415945093183</v>
      </c>
      <c r="BB84" s="0" t="n">
        <f aca="false">20*LOG(BA84)</f>
        <v>36.9934968909696</v>
      </c>
      <c r="BC84" s="0" t="n">
        <f aca="false">AV84-AY84</f>
        <v>-0.83666797300631</v>
      </c>
      <c r="BD84" s="0" t="n">
        <f aca="false">BC84*180/Pi-180</f>
        <v>-227.937543761804</v>
      </c>
      <c r="BF84" s="0" t="n">
        <f aca="false">20*LOG(BA84*J84*F84*C84)</f>
        <v>58.4159898008436</v>
      </c>
      <c r="BG84" s="0" t="n">
        <f aca="false">(180/Pi)*(D84+H84+BC84)</f>
        <v>-76.3355154420762</v>
      </c>
      <c r="BH84" s="0" t="n">
        <f aca="false">IF(BG84&gt;180,BG84-180,BG84+180)</f>
        <v>103.664484557924</v>
      </c>
      <c r="BI84" s="0" t="n">
        <f aca="false">IF(BH84&gt;180,BH84-360,BH84)</f>
        <v>103.664484557924</v>
      </c>
      <c r="BJ84" s="0" t="n">
        <f aca="false">SUM((BF85&lt;0)*(BF84&gt;0))*A84</f>
        <v>0</v>
      </c>
      <c r="BK84" s="0" t="n">
        <f aca="false">IF(BJ84&gt;0,BI84,0)</f>
        <v>0</v>
      </c>
      <c r="BM84" s="0" t="n">
        <f aca="false">20*LOG(J84*F84*C84)</f>
        <v>21.422492909874</v>
      </c>
      <c r="BN84" s="0" t="n">
        <f aca="false">(H84+D84)*180/Pi</f>
        <v>-28.3979716802726</v>
      </c>
      <c r="BQ84" s="347" t="n">
        <f aca="false">20*LOG(BA84*7)</f>
        <v>53.8954576912547</v>
      </c>
      <c r="BR84" s="353"/>
      <c r="BS84" s="353"/>
      <c r="BT84" s="353" t="n">
        <v>549.541</v>
      </c>
      <c r="BU84" s="353" t="n">
        <v>19.992</v>
      </c>
      <c r="BV84" s="353" t="n">
        <v>-264.4762</v>
      </c>
      <c r="BW84" s="349"/>
      <c r="BY84" s="353"/>
      <c r="BZ84" s="353"/>
      <c r="CA84" s="353"/>
      <c r="CC84" s="353"/>
    </row>
    <row r="85" customFormat="false" ht="12.75" hidden="false" customHeight="false" outlineLevel="0" collapsed="false">
      <c r="A85" s="0" t="n">
        <f aca="false">A84+500</f>
        <v>25500</v>
      </c>
      <c r="B85" s="0" t="n">
        <f aca="false">A85/1000</f>
        <v>25.5</v>
      </c>
      <c r="C85" s="0" t="n">
        <f aca="false">SQRT((A85/Fesr)^2+1)</f>
        <v>1.00000001283542</v>
      </c>
      <c r="D85" s="0" t="n">
        <f aca="false">ATAN(A85/Fesr)</f>
        <v>0.000160221223778995</v>
      </c>
      <c r="F85" s="0" t="n">
        <f aca="false">(Ro/(Ro+Rdcr))/SQRT((A85/(Q*Fo))^2+(1-(A85^2/Fo^2))^2)</f>
        <v>1.323304170203</v>
      </c>
      <c r="G85" s="0" t="n">
        <f aca="false">-ATAN(A85*Fo/(Q*(Fo^2-A85^2)))</f>
        <v>-0.512793540139077</v>
      </c>
      <c r="H85" s="0" t="n">
        <f aca="false">IF(G85&gt;0,G85-Pi,G85)</f>
        <v>-0.512793540139077</v>
      </c>
      <c r="J85" s="0" t="n">
        <f aca="false">Vin/Vramp</f>
        <v>9</v>
      </c>
      <c r="M85" s="0" t="n">
        <f aca="false">1/(2*Pi*_Rfb1*(Cc1ea_u+Cc2ea_u)*A85)</f>
        <v>0.231161863868927</v>
      </c>
      <c r="N85" s="0" t="n">
        <f aca="false">-Pi/2</f>
        <v>-1.570796325</v>
      </c>
      <c r="O85" s="0" t="n">
        <f aca="false">SQRT(1+(A85/Fz1_u)^2)</f>
        <v>1.17815720399303</v>
      </c>
      <c r="P85" s="0" t="n">
        <f aca="false">ATAN2(Fz1_u,A85)</f>
        <v>0.557116684238356</v>
      </c>
      <c r="Q85" s="0" t="n">
        <f aca="false">SQRT(1+(A85/Fz2_u)^2)</f>
        <v>706.863426697542</v>
      </c>
      <c r="R85" s="0" t="n">
        <f aca="false">ATAN2(Fz2_u,A85)</f>
        <v>1.56938162588409</v>
      </c>
      <c r="S85" s="0" t="n">
        <f aca="false">1/SQRT(1+(A85/Fp1_u)^2)</f>
        <v>0.467802642516855</v>
      </c>
      <c r="T85" s="0" t="n">
        <f aca="false">-ATAN2(Fp1_u,A85)</f>
        <v>-1.08399335759697</v>
      </c>
      <c r="U85" s="0" t="n">
        <f aca="false">1/SQRT(1+(A85/Fp2_u)^2)</f>
        <v>0.997613175161422</v>
      </c>
      <c r="V85" s="0" t="n">
        <f aca="false">-ATAN2(Fp2_u,A85)</f>
        <v>-0.069105353369773</v>
      </c>
      <c r="X85" s="0" t="n">
        <f aca="false">20*LOG(C85*J85*O85*Q85*F85*M85*S85*U85)</f>
        <v>60.5876397072793</v>
      </c>
      <c r="Y85" s="0" t="n">
        <f aca="false">(180/Pi)*(D85+H85+N85+P85+R85+T85+V85)</f>
        <v>-63.6000367701163</v>
      </c>
      <c r="Z85" s="0" t="n">
        <f aca="false">Y85+180</f>
        <v>116.399963229884</v>
      </c>
      <c r="AC85" s="0" t="n">
        <v>1</v>
      </c>
      <c r="AD85" s="0" t="n">
        <f aca="false">Rcea1_u*Cc1ea_u*A85*2*Pi</f>
        <v>0.6229401233832</v>
      </c>
      <c r="AE85" s="0" t="n">
        <f aca="false">-Rcea1_u*Cc1ea_u*Cc2ea_u*(A85*2*Pi)^2</f>
        <v>-1.49712344645323E-005</v>
      </c>
      <c r="AF85" s="0" t="n">
        <f aca="false">(Cc2ea_u+Cc1ea_u)*A85*2*Pi</f>
        <v>0.0002162986539525</v>
      </c>
      <c r="AG85" s="0" t="n">
        <f aca="false">AC85*AE85/(AE85^2+AF85^2)+AD85*AF85/(AE85^2+AF85^2)</f>
        <v>2547.79404097447</v>
      </c>
      <c r="AH85" s="0" t="n">
        <f aca="false">AD85*AE85/(AE85^2+AF85^2)-AC85*AF85/(AE85^2+AF85^2)</f>
        <v>-4799.58429229406</v>
      </c>
      <c r="AJ85" s="0" t="n">
        <f aca="false">_Rfb1</f>
        <v>20000</v>
      </c>
      <c r="AK85" s="0" t="n">
        <f aca="false">_Rfb1*Rcea2_u*Cc3ea_u*A85*2*Pi</f>
        <v>37786.573739376</v>
      </c>
      <c r="AL85" s="0" t="n">
        <v>1</v>
      </c>
      <c r="AM85" s="0" t="n">
        <f aca="false">(_Rfb1+Rcea2_u)*Cc3ea_u*A85*2*Pi</f>
        <v>706.862719346969</v>
      </c>
      <c r="AN85" s="0" t="n">
        <f aca="false">AJ85*AL85/(AL85^2+AM85^2)+AK85*AM85/(AL85^2+AM85^2)</f>
        <v>53.4966565071979</v>
      </c>
      <c r="AO85" s="0" t="n">
        <f aca="false">AK85*AL85/(AL85^2+AM85^2)-AJ85*AM85/(AL85^2+AM85^2)</f>
        <v>-28.2183552726055</v>
      </c>
      <c r="AQ85" s="0" t="n">
        <f aca="false">Eadcg/(1+(Eadcg*A85/GBP)^2)</f>
        <v>17.4125383980167</v>
      </c>
      <c r="AR85" s="0" t="n">
        <f aca="false">-(A85*Eadcg*Eadcg/GBP)/(1+(Eadcg*A85/GBP)^2)</f>
        <v>-233.998397261747</v>
      </c>
      <c r="AT85" s="0" t="n">
        <f aca="false">-AR85*AH85+AG85*AQ85</f>
        <v>-1078731.47035076</v>
      </c>
      <c r="AU85" s="0" t="n">
        <f aca="false">AQ85*AH85+AG85*AR85</f>
        <v>-679752.667925144</v>
      </c>
      <c r="AV85" s="0" t="n">
        <f aca="false">ATAN2(AT85,AU85)</f>
        <v>-2.57930515052784</v>
      </c>
      <c r="AW85" s="0" t="n">
        <f aca="false">AG85-AH85*AO85/_Rfb2+AG85*AN85/_Rfb2+AN85-AO85*AR85+AQ85*AN85</f>
        <v>-3069.85868450034</v>
      </c>
      <c r="AX85" s="0" t="n">
        <f aca="false">AH85+AH85*AN85/_Rfb2+AG85*AO85/_Rfb2+AO85+AO85*AQ85+AN85*AR85</f>
        <v>-17985.1830451786</v>
      </c>
      <c r="AY85" s="0" t="n">
        <f aca="false">ATAN2(AW85,AX85)</f>
        <v>-1.73985528631454</v>
      </c>
      <c r="BA85" s="0" t="n">
        <f aca="false">SQRT(AT85^2+AU85^2)/SQRT(AW85^2+AX85^2)</f>
        <v>69.8831793868775</v>
      </c>
      <c r="BB85" s="0" t="n">
        <f aca="false">20*LOG(BA85)</f>
        <v>36.8874531061738</v>
      </c>
      <c r="BC85" s="0" t="n">
        <f aca="false">AV85-AY85</f>
        <v>-0.839449864213296</v>
      </c>
      <c r="BD85" s="0" t="n">
        <f aca="false">BC85*180/Pi-180</f>
        <v>-228.096934387211</v>
      </c>
      <c r="BF85" s="0" t="n">
        <f aca="false">20*LOG(BA85*J85*F85*C85)</f>
        <v>58.4054970287854</v>
      </c>
      <c r="BG85" s="0" t="n">
        <f aca="false">(180/Pi)*(D85+H85+BC85)</f>
        <v>-77.4686600324033</v>
      </c>
      <c r="BH85" s="0" t="n">
        <f aca="false">IF(BG85&gt;180,BG85-180,BG85+180)</f>
        <v>102.531339967597</v>
      </c>
      <c r="BI85" s="0" t="n">
        <f aca="false">IF(BH85&gt;180,BH85-360,BH85)</f>
        <v>102.531339967597</v>
      </c>
      <c r="BJ85" s="0" t="n">
        <f aca="false">SUM((BF86&lt;0)*(BF85&gt;0))*A85</f>
        <v>0</v>
      </c>
      <c r="BK85" s="0" t="n">
        <f aca="false">IF(BJ85&gt;0,BI85,0)</f>
        <v>0</v>
      </c>
      <c r="BM85" s="0" t="n">
        <f aca="false">20*LOG(J85*F85*C85)</f>
        <v>21.5180439226115</v>
      </c>
      <c r="BN85" s="0" t="n">
        <f aca="false">(H85+D85)*180/Pi</f>
        <v>-29.3717256451926</v>
      </c>
      <c r="BQ85" s="347" t="n">
        <f aca="false">20*LOG(BA85*7)</f>
        <v>53.789413906459</v>
      </c>
      <c r="BR85" s="353"/>
      <c r="BS85" s="353"/>
      <c r="BT85" s="353" t="n">
        <v>562.341</v>
      </c>
      <c r="BU85" s="353" t="n">
        <v>19.6823</v>
      </c>
      <c r="BV85" s="353" t="n">
        <v>-264.604</v>
      </c>
      <c r="BW85" s="349"/>
      <c r="BY85" s="353"/>
      <c r="BZ85" s="353"/>
      <c r="CA85" s="353"/>
      <c r="CC85" s="353"/>
    </row>
    <row r="86" customFormat="false" ht="12.75" hidden="false" customHeight="false" outlineLevel="0" collapsed="false">
      <c r="A86" s="0" t="n">
        <f aca="false">A85+500</f>
        <v>26000</v>
      </c>
      <c r="B86" s="0" t="n">
        <f aca="false">A86/1000</f>
        <v>26</v>
      </c>
      <c r="C86" s="0" t="n">
        <f aca="false">SQRT((A86/Fesr)^2+1)</f>
        <v>1.00000001334371</v>
      </c>
      <c r="D86" s="0" t="n">
        <f aca="false">ATAN(A86/Fesr)</f>
        <v>0.000163362816346757</v>
      </c>
      <c r="F86" s="0" t="n">
        <f aca="false">(Ro/(Ro+Rdcr))/SQRT((A86/(Q*Fo))^2+(1-(A86^2/Fo^2))^2)</f>
        <v>1.33812064899041</v>
      </c>
      <c r="G86" s="0" t="n">
        <f aca="false">-ATAN(A86*Fo/(Q*(Fo^2-A86^2)))</f>
        <v>-0.5303486832372</v>
      </c>
      <c r="H86" s="0" t="n">
        <f aca="false">IF(G86&gt;0,G86-Pi,G86)</f>
        <v>-0.5303486832372</v>
      </c>
      <c r="J86" s="0" t="n">
        <f aca="false">Vin/Vramp</f>
        <v>9</v>
      </c>
      <c r="M86" s="0" t="n">
        <f aca="false">1/(2*Pi*_Rfb1*(Cc1ea_u+Cc2ea_u)*A86)</f>
        <v>0.226716443409909</v>
      </c>
      <c r="N86" s="0" t="n">
        <f aca="false">-Pi/2</f>
        <v>-1.570796325</v>
      </c>
      <c r="O86" s="0" t="n">
        <f aca="false">SQRT(1+(A86/Fz1_u)^2)</f>
        <v>1.18466088444428</v>
      </c>
      <c r="P86" s="0" t="n">
        <f aca="false">ATAN2(Fz1_u,A86)</f>
        <v>0.56586822218135</v>
      </c>
      <c r="Q86" s="0" t="n">
        <f aca="false">SQRT(1+(A86/Fz2_u)^2)</f>
        <v>720.723466415188</v>
      </c>
      <c r="R86" s="0" t="n">
        <f aca="false">ATAN2(Fz2_u,A86)</f>
        <v>1.56940883163558</v>
      </c>
      <c r="S86" s="0" t="n">
        <f aca="false">1/SQRT(1+(A86/Fp1_u)^2)</f>
        <v>0.46073077433446</v>
      </c>
      <c r="T86" s="0" t="n">
        <f aca="false">-ATAN2(Fp1_u,A86)</f>
        <v>-1.09197793342794</v>
      </c>
      <c r="U86" s="0" t="n">
        <f aca="false">1/SQRT(1+(A86/Fp2_u)^2)</f>
        <v>0.997519007995326</v>
      </c>
      <c r="V86" s="0" t="n">
        <f aca="false">-ATAN2(Fp2_u,A86)</f>
        <v>-0.0704559233965177</v>
      </c>
      <c r="X86" s="0" t="n">
        <f aca="false">20*LOG(C86*J86*O86*Q86*F86*M86*S86*U86)</f>
        <v>60.5990384249094</v>
      </c>
      <c r="Y86" s="0" t="n">
        <f aca="false">(180/Pi)*(D86+H86+N86+P86+R86+T86+V86)</f>
        <v>-64.6375718752427</v>
      </c>
      <c r="Z86" s="0" t="n">
        <f aca="false">Y86+180</f>
        <v>115.362428124757</v>
      </c>
      <c r="AC86" s="0" t="n">
        <v>1</v>
      </c>
      <c r="AD86" s="0" t="n">
        <f aca="false">Rcea1_u*Cc1ea_u*A86*2*Pi</f>
        <v>0.6351546356064</v>
      </c>
      <c r="AE86" s="0" t="n">
        <f aca="false">-Rcea1_u*Cc1ea_u*Cc2ea_u*(A86*2*Pi)^2</f>
        <v>-1.55640976517091E-005</v>
      </c>
      <c r="AF86" s="0" t="n">
        <f aca="false">(Cc2ea_u+Cc1ea_u)*A86*2*Pi</f>
        <v>0.00022053980403</v>
      </c>
      <c r="AG86" s="0" t="n">
        <f aca="false">AC86*AE86/(AE86^2+AF86^2)+AD86*AF86/(AE86^2+AF86^2)</f>
        <v>2547.31307855867</v>
      </c>
      <c r="AH86" s="0" t="n">
        <f aca="false">AD86*AE86/(AE86^2+AF86^2)-AC86*AF86/(AE86^2+AF86^2)</f>
        <v>-4714.09972488567</v>
      </c>
      <c r="AJ86" s="0" t="n">
        <f aca="false">_Rfb1</f>
        <v>20000</v>
      </c>
      <c r="AK86" s="0" t="n">
        <f aca="false">_Rfb1*Rcea2_u*Cc3ea_u*A86*2*Pi</f>
        <v>38527.486949952</v>
      </c>
      <c r="AL86" s="0" t="n">
        <v>1</v>
      </c>
      <c r="AM86" s="0" t="n">
        <f aca="false">(_Rfb1+Rcea2_u)*Cc3ea_u*A86*2*Pi</f>
        <v>720.722772667498</v>
      </c>
      <c r="AN86" s="0" t="n">
        <f aca="false">AJ86*AL86/(AL86^2+AM86^2)+AK86*AM86/(AL86^2+AM86^2)</f>
        <v>53.4951358675098</v>
      </c>
      <c r="AO86" s="0" t="n">
        <f aca="false">AK86*AL86/(AL86^2+AM86^2)-AJ86*AM86/(AL86^2+AM86^2)</f>
        <v>-27.6756967041677</v>
      </c>
      <c r="AQ86" s="0" t="n">
        <f aca="false">Eadcg/(1+(Eadcg*A86/GBP)^2)</f>
        <v>16.7527790592847</v>
      </c>
      <c r="AR86" s="0" t="n">
        <f aca="false">-(A86*Eadcg*Eadcg/GBP)/(1+(Eadcg*A86/GBP)^2)</f>
        <v>-229.546578670319</v>
      </c>
      <c r="AT86" s="0" t="n">
        <f aca="false">-AR86*AH86+AG86*AQ86</f>
        <v>-1039430.89015828</v>
      </c>
      <c r="AU86" s="0" t="n">
        <f aca="false">AQ86*AH86+AG86*AR86</f>
        <v>-663701.273139745</v>
      </c>
      <c r="AV86" s="0" t="n">
        <f aca="false">ATAN2(AT86,AU86)</f>
        <v>-2.57332747253486</v>
      </c>
      <c r="AW86" s="0" t="n">
        <f aca="false">AG86-AH86*AO86/_Rfb2+AG86*AN86/_Rfb2+AN86-AO86*AR86+AQ86*AN86</f>
        <v>-2853.2497951412</v>
      </c>
      <c r="AX86" s="0" t="n">
        <f aca="false">AH86+AH86*AN86/_Rfb2+AG86*AO86/_Rfb2+AO86+AO86*AQ86+AN86*AR86</f>
        <v>-17630.2516989291</v>
      </c>
      <c r="AY86" s="0" t="n">
        <f aca="false">ATAN2(AW86,AX86)</f>
        <v>-1.73124347806041</v>
      </c>
      <c r="BA86" s="0" t="n">
        <f aca="false">SQRT(AT86^2+AU86^2)/SQRT(AW86^2+AX86^2)</f>
        <v>69.0525722420189</v>
      </c>
      <c r="BB86" s="0" t="n">
        <f aca="false">20*LOG(BA86)</f>
        <v>36.7835972179478</v>
      </c>
      <c r="BC86" s="0" t="n">
        <f aca="false">AV86-AY86</f>
        <v>-0.842083994474451</v>
      </c>
      <c r="BD86" s="0" t="n">
        <f aca="false">BC86*180/Pi-180</f>
        <v>-228.247858934035</v>
      </c>
      <c r="BF86" s="0" t="n">
        <f aca="false">20*LOG(BA86*J86*F86*C86)</f>
        <v>58.3983529725663</v>
      </c>
      <c r="BG86" s="0" t="n">
        <f aca="false">(180/Pi)*(D86+H86+BC86)</f>
        <v>-78.6252401886523</v>
      </c>
      <c r="BH86" s="0" t="n">
        <f aca="false">IF(BG86&gt;180,BG86-180,BG86+180)</f>
        <v>101.374759811348</v>
      </c>
      <c r="BI86" s="0" t="n">
        <f aca="false">IF(BH86&gt;180,BH86-360,BH86)</f>
        <v>101.374759811348</v>
      </c>
      <c r="BJ86" s="0" t="n">
        <f aca="false">SUM((BF87&lt;0)*(BF86&gt;0))*A86</f>
        <v>0</v>
      </c>
      <c r="BK86" s="0" t="n">
        <f aca="false">IF(BJ86&gt;0,BI86,0)</f>
        <v>0</v>
      </c>
      <c r="BM86" s="0" t="n">
        <f aca="false">20*LOG(J86*F86*C86)</f>
        <v>21.6147557546185</v>
      </c>
      <c r="BN86" s="0" t="n">
        <f aca="false">(H86+D86)*180/Pi</f>
        <v>-30.3773812546173</v>
      </c>
      <c r="BQ86" s="347" t="n">
        <f aca="false">20*LOG(BA86*7)</f>
        <v>53.6855580182329</v>
      </c>
      <c r="BR86" s="353"/>
      <c r="BS86" s="353"/>
      <c r="BT86" s="353" t="n">
        <v>575.44</v>
      </c>
      <c r="BU86" s="353" t="n">
        <v>19.596</v>
      </c>
      <c r="BV86" s="353" t="n">
        <v>-264.9076</v>
      </c>
      <c r="BW86" s="349"/>
      <c r="BY86" s="353"/>
      <c r="BZ86" s="353"/>
      <c r="CA86" s="353"/>
      <c r="CC86" s="353"/>
    </row>
    <row r="87" customFormat="false" ht="12.75" hidden="false" customHeight="false" outlineLevel="0" collapsed="false">
      <c r="A87" s="0" t="n">
        <f aca="false">A86+500</f>
        <v>26500</v>
      </c>
      <c r="B87" s="0" t="n">
        <f aca="false">A87/1000</f>
        <v>26.5</v>
      </c>
      <c r="C87" s="0" t="n">
        <f aca="false">SQRT((A87/Fesr)^2+1)</f>
        <v>1.00000001386186</v>
      </c>
      <c r="D87" s="0" t="n">
        <f aca="false">ATAN(A87/Fesr)</f>
        <v>0.000166504408911293</v>
      </c>
      <c r="F87" s="0" t="n">
        <f aca="false">(Ro/(Ro+Rdcr))/SQRT((A87/(Q*Fo))^2+(1-(A87^2/Fo^2))^2)</f>
        <v>1.35326103278986</v>
      </c>
      <c r="G87" s="0" t="n">
        <f aca="false">-ATAN(A87*Fo/(Q*(Fo^2-A87^2)))</f>
        <v>-0.548485104289104</v>
      </c>
      <c r="H87" s="0" t="n">
        <f aca="false">IF(G87&gt;0,G87-Pi,G87)</f>
        <v>-0.548485104289104</v>
      </c>
      <c r="J87" s="0" t="n">
        <f aca="false">Vin/Vramp</f>
        <v>9</v>
      </c>
      <c r="M87" s="0" t="n">
        <f aca="false">1/(2*Pi*_Rfb1*(Cc1ea_u+Cc2ea_u)*A87)</f>
        <v>0.222438774666326</v>
      </c>
      <c r="N87" s="0" t="n">
        <f aca="false">-Pi/2</f>
        <v>-1.570796325</v>
      </c>
      <c r="O87" s="0" t="n">
        <f aca="false">SQRT(1+(A87/Fz1_u)^2)</f>
        <v>1.19125430264139</v>
      </c>
      <c r="P87" s="0" t="n">
        <f aca="false">ATAN2(Fz1_u,A87)</f>
        <v>0.574523540002634</v>
      </c>
      <c r="Q87" s="0" t="n">
        <f aca="false">SQRT(1+(A87/Fz2_u)^2)</f>
        <v>734.583506646151</v>
      </c>
      <c r="R87" s="0" t="n">
        <f aca="false">ATAN2(Fz2_u,A87)</f>
        <v>1.56943501075688</v>
      </c>
      <c r="S87" s="0" t="n">
        <f aca="false">1/SQRT(1+(A87/Fp1_u)^2)</f>
        <v>0.453841882606098</v>
      </c>
      <c r="T87" s="0" t="n">
        <f aca="false">-ATAN2(Fp1_u,A87)</f>
        <v>-1.09972421857823</v>
      </c>
      <c r="U87" s="0" t="n">
        <f aca="false">1/SQRT(1+(A87/Fp2_u)^2)</f>
        <v>0.997423039783024</v>
      </c>
      <c r="V87" s="0" t="n">
        <f aca="false">-ATAN2(Fp2_u,A87)</f>
        <v>-0.071806236017581</v>
      </c>
      <c r="X87" s="0" t="n">
        <f aca="false">20*LOG(C87*J87*O87*Q87*F87*M87*S87*U87)</f>
        <v>60.6132841852762</v>
      </c>
      <c r="Y87" s="0" t="n">
        <f aca="false">(180/Pi)*(D87+H87+N87+P87+R87+T87+V87)</f>
        <v>-65.7003157837693</v>
      </c>
      <c r="Z87" s="0" t="n">
        <f aca="false">Y87+180</f>
        <v>114.299684216231</v>
      </c>
      <c r="AC87" s="0" t="n">
        <v>1</v>
      </c>
      <c r="AD87" s="0" t="n">
        <f aca="false">Rcea1_u*Cc1ea_u*A87*2*Pi</f>
        <v>0.6473691478296</v>
      </c>
      <c r="AE87" s="0" t="n">
        <f aca="false">-Rcea1_u*Cc1ea_u*Cc2ea_u*(A87*2*Pi)^2</f>
        <v>-1.6168472745433E-005</v>
      </c>
      <c r="AF87" s="0" t="n">
        <f aca="false">(Cc2ea_u+Cc1ea_u)*A87*2*Pi</f>
        <v>0.0002247809541075</v>
      </c>
      <c r="AG87" s="0" t="n">
        <f aca="false">AC87*AE87/(AE87^2+AF87^2)+AD87*AF87/(AE87^2+AF87^2)</f>
        <v>2546.82296394242</v>
      </c>
      <c r="AH87" s="0" t="n">
        <f aca="false">AD87*AE87/(AE87^2+AF87^2)-AC87*AF87/(AE87^2+AF87^2)</f>
        <v>-4631.96822797544</v>
      </c>
      <c r="AJ87" s="0" t="n">
        <f aca="false">_Rfb1</f>
        <v>20000</v>
      </c>
      <c r="AK87" s="0" t="n">
        <f aca="false">_Rfb1*Rcea2_u*Cc3ea_u*A87*2*Pi</f>
        <v>39268.400160528</v>
      </c>
      <c r="AL87" s="0" t="n">
        <v>1</v>
      </c>
      <c r="AM87" s="0" t="n">
        <f aca="false">(_Rfb1+Rcea2_u)*Cc3ea_u*A87*2*Pi</f>
        <v>734.582825988026</v>
      </c>
      <c r="AN87" s="0" t="n">
        <f aca="false">AJ87*AL87/(AL87^2+AM87^2)+AK87*AM87/(AL87^2+AM87^2)</f>
        <v>53.4937004869074</v>
      </c>
      <c r="AO87" s="0" t="n">
        <f aca="false">AK87*AL87/(AL87^2+AM87^2)-AJ87*AM87/(AL87^2+AM87^2)</f>
        <v>-27.1535157014932</v>
      </c>
      <c r="AQ87" s="0" t="n">
        <f aca="false">Eadcg/(1+(Eadcg*A87/GBP)^2)</f>
        <v>16.1297570908956</v>
      </c>
      <c r="AR87" s="0" t="n">
        <f aca="false">-(A87*Eadcg*Eadcg/GBP)/(1+(Eadcg*A87/GBP)^2)</f>
        <v>-225.260122652902</v>
      </c>
      <c r="AT87" s="0" t="n">
        <f aca="false">-AR87*AH87+AG87*AQ87</f>
        <v>-1002318.09539619</v>
      </c>
      <c r="AU87" s="0" t="n">
        <f aca="false">AQ87*AH87+AG87*AR87</f>
        <v>-648410.175602887</v>
      </c>
      <c r="AV87" s="0" t="n">
        <f aca="false">ATAN2(AT87,AU87)</f>
        <v>-2.56739232749034</v>
      </c>
      <c r="AW87" s="0" t="n">
        <f aca="false">AG87-AH87*AO87/_Rfb2+AG87*AN87/_Rfb2+AN87-AO87*AR87+AQ87*AN87</f>
        <v>-2648.73807493097</v>
      </c>
      <c r="AX87" s="0" t="n">
        <f aca="false">AH87+AH87*AN87/_Rfb2+AG87*AO87/_Rfb2+AO87+AO87*AQ87+AN87*AR87</f>
        <v>-17289.7202322208</v>
      </c>
      <c r="AY87" s="0" t="n">
        <f aca="false">ATAN2(AW87,AX87)</f>
        <v>-1.7228117204035</v>
      </c>
      <c r="BA87" s="0" t="n">
        <f aca="false">SQRT(AT87^2+AU87^2)/SQRT(AW87^2+AX87^2)</f>
        <v>68.248610801047</v>
      </c>
      <c r="BB87" s="0" t="n">
        <f aca="false">20*LOG(BA87)</f>
        <v>36.6818763149651</v>
      </c>
      <c r="BC87" s="0" t="n">
        <f aca="false">AV87-AY87</f>
        <v>-0.844580607086836</v>
      </c>
      <c r="BD87" s="0" t="n">
        <f aca="false">BC87*180/Pi-180</f>
        <v>-228.390904299967</v>
      </c>
      <c r="BF87" s="0" t="n">
        <f aca="false">20*LOG(BA87*J87*F87*C87)</f>
        <v>58.3943581535336</v>
      </c>
      <c r="BG87" s="0" t="n">
        <f aca="false">(180/Pi)*(D87+H87+BC87)</f>
        <v>-79.8072459375231</v>
      </c>
      <c r="BH87" s="0" t="n">
        <f aca="false">IF(BG87&gt;180,BG87-180,BG87+180)</f>
        <v>100.192754062477</v>
      </c>
      <c r="BI87" s="0" t="n">
        <f aca="false">IF(BH87&gt;180,BH87-360,BH87)</f>
        <v>100.192754062477</v>
      </c>
      <c r="BJ87" s="0" t="n">
        <f aca="false">SUM((BF88&lt;0)*(BF87&gt;0))*A87</f>
        <v>0</v>
      </c>
      <c r="BK87" s="0" t="n">
        <f aca="false">IF(BJ87&gt;0,BI87,0)</f>
        <v>0</v>
      </c>
      <c r="BM87" s="0" t="n">
        <f aca="false">20*LOG(J87*F87*C87)</f>
        <v>21.7124818385685</v>
      </c>
      <c r="BN87" s="0" t="n">
        <f aca="false">(H87+D87)*180/Pi</f>
        <v>-31.4163416375559</v>
      </c>
      <c r="BQ87" s="347" t="n">
        <f aca="false">20*LOG(BA87*7)</f>
        <v>53.5838371152502</v>
      </c>
      <c r="BR87" s="353"/>
      <c r="BS87" s="353"/>
      <c r="BT87" s="353" t="n">
        <v>588.844</v>
      </c>
      <c r="BU87" s="353" t="n">
        <v>19.3732</v>
      </c>
      <c r="BV87" s="353" t="n">
        <v>-263.8817</v>
      </c>
      <c r="BW87" s="349"/>
      <c r="BY87" s="353"/>
      <c r="BZ87" s="353"/>
      <c r="CA87" s="353"/>
      <c r="CC87" s="353"/>
    </row>
    <row r="88" customFormat="false" ht="12.75" hidden="false" customHeight="false" outlineLevel="0" collapsed="false">
      <c r="A88" s="0" t="n">
        <f aca="false">A87+500</f>
        <v>27000</v>
      </c>
      <c r="B88" s="0" t="n">
        <f aca="false">A88/1000</f>
        <v>27</v>
      </c>
      <c r="C88" s="0" t="n">
        <f aca="false">SQRT((A88/Fesr)^2+1)</f>
        <v>1.00000001438988</v>
      </c>
      <c r="D88" s="0" t="n">
        <f aca="false">ATAN(A88/Fesr)</f>
        <v>0.000169646001472543</v>
      </c>
      <c r="F88" s="0" t="n">
        <f aca="false">(Ro/(Ro+Rdcr))/SQRT((A88/(Q*Fo))^2+(1-(A88^2/Fo^2))^2)</f>
        <v>1.36870652363645</v>
      </c>
      <c r="G88" s="0" t="n">
        <f aca="false">-ATAN(A88*Fo/(Q*(Fo^2-A88^2)))</f>
        <v>-0.567227766056412</v>
      </c>
      <c r="H88" s="0" t="n">
        <f aca="false">IF(G88&gt;0,G88-Pi,G88)</f>
        <v>-0.567227766056412</v>
      </c>
      <c r="J88" s="0" t="n">
        <f aca="false">Vin/Vramp</f>
        <v>9</v>
      </c>
      <c r="M88" s="0" t="n">
        <f aca="false">1/(2*Pi*_Rfb1*(Cc1ea_u+Cc2ea_u)*A88)</f>
        <v>0.218319538098431</v>
      </c>
      <c r="N88" s="0" t="n">
        <f aca="false">-Pi/2</f>
        <v>-1.570796325</v>
      </c>
      <c r="O88" s="0" t="n">
        <f aca="false">SQRT(1+(A88/Fz1_u)^2)</f>
        <v>1.19793597684044</v>
      </c>
      <c r="P88" s="0" t="n">
        <f aca="false">ATAN2(Fz1_u,A88)</f>
        <v>0.583082940372725</v>
      </c>
      <c r="Q88" s="0" t="n">
        <f aca="false">SQRT(1+(A88/Fz2_u)^2)</f>
        <v>748.443547361911</v>
      </c>
      <c r="R88" s="0" t="n">
        <f aca="false">ATAN2(Fz2_u,A88)</f>
        <v>1.56946022028285</v>
      </c>
      <c r="S88" s="0" t="n">
        <f aca="false">1/SQRT(1+(A88/Fp1_u)^2)</f>
        <v>0.447130307751381</v>
      </c>
      <c r="T88" s="0" t="n">
        <f aca="false">-ATAN2(Fp1_u,A88)</f>
        <v>-1.10724183416032</v>
      </c>
      <c r="U88" s="0" t="n">
        <f aca="false">1/SQRT(1+(A88/Fp2_u)^2)</f>
        <v>0.997325272094024</v>
      </c>
      <c r="V88" s="0" t="n">
        <f aca="false">-ATAN2(Fp2_u,A88)</f>
        <v>-0.0731562863838005</v>
      </c>
      <c r="X88" s="0" t="n">
        <f aca="false">20*LOG(C88*J88*O88*Q88*F88*M88*S88*U88)</f>
        <v>60.6301809191553</v>
      </c>
      <c r="Y88" s="0" t="n">
        <f aca="false">(180/Pi)*(D88+H88+N88+P88+R88+T88+V88)</f>
        <v>-66.7902291182871</v>
      </c>
      <c r="Z88" s="0" t="n">
        <f aca="false">Y88+180</f>
        <v>113.209770881713</v>
      </c>
      <c r="AC88" s="0" t="n">
        <v>1</v>
      </c>
      <c r="AD88" s="0" t="n">
        <f aca="false">Rcea1_u*Cc1ea_u*A88*2*Pi</f>
        <v>0.6595836600528</v>
      </c>
      <c r="AE88" s="0" t="n">
        <f aca="false">-Rcea1_u*Cc1ea_u*Cc2ea_u*(A88*2*Pi)^2</f>
        <v>-1.6784359745704E-005</v>
      </c>
      <c r="AF88" s="0" t="n">
        <f aca="false">(Cc2ea_u+Cc1ea_u)*A88*2*Pi</f>
        <v>0.000229022104185</v>
      </c>
      <c r="AG88" s="0" t="n">
        <f aca="false">AC88*AE88/(AE88^2+AF88^2)+AD88*AF88/(AE88^2+AF88^2)</f>
        <v>2546.32370779499</v>
      </c>
      <c r="AH88" s="0" t="n">
        <f aca="false">AD88*AE88/(AE88^2+AF88^2)-AC88*AF88/(AE88^2+AF88^2)</f>
        <v>-4553.00337428714</v>
      </c>
      <c r="AJ88" s="0" t="n">
        <f aca="false">_Rfb1</f>
        <v>20000</v>
      </c>
      <c r="AK88" s="0" t="n">
        <f aca="false">_Rfb1*Rcea2_u*Cc3ea_u*A88*2*Pi</f>
        <v>40009.313371104</v>
      </c>
      <c r="AL88" s="0" t="n">
        <v>1</v>
      </c>
      <c r="AM88" s="0" t="n">
        <f aca="false">(_Rfb1+Rcea2_u)*Cc3ea_u*A88*2*Pi</f>
        <v>748.442879308555</v>
      </c>
      <c r="AN88" s="0" t="n">
        <f aca="false">AJ88*AL88/(AL88^2+AM88^2)+AK88*AM88/(AL88^2+AM88^2)</f>
        <v>53.4923441087734</v>
      </c>
      <c r="AO88" s="0" t="n">
        <f aca="false">AK88*AL88/(AL88^2+AM88^2)-AJ88*AM88/(AL88^2+AM88^2)</f>
        <v>-26.6506746303989</v>
      </c>
      <c r="AQ88" s="0" t="n">
        <f aca="false">Eadcg/(1+(Eadcg*A88/GBP)^2)</f>
        <v>15.5407990922601</v>
      </c>
      <c r="AR88" s="0" t="n">
        <f aca="false">-(A88*Eadcg*Eadcg/GBP)/(1+(Eadcg*A88/GBP)^2)</f>
        <v>-221.130030283768</v>
      </c>
      <c r="AT88" s="0" t="n">
        <f aca="false">-AR88*AH88+AG88*AQ88</f>
        <v>-967233.868871514</v>
      </c>
      <c r="AU88" s="0" t="n">
        <f aca="false">AQ88*AH88+AG88*AR88</f>
        <v>-633825.949323163</v>
      </c>
      <c r="AV88" s="0" t="n">
        <f aca="false">ATAN2(AT88,AU88)</f>
        <v>-2.56150235618023</v>
      </c>
      <c r="AW88" s="0" t="n">
        <f aca="false">AG88-AH88*AO88/_Rfb2+AG88*AN88/_Rfb2+AN88-AO88*AR88+AQ88*AN88</f>
        <v>-2455.44396781901</v>
      </c>
      <c r="AX88" s="0" t="n">
        <f aca="false">AH88+AH88*AN88/_Rfb2+AG88*AO88/_Rfb2+AO88+AO88*AQ88+AN88*AR88</f>
        <v>-16962.7259322842</v>
      </c>
      <c r="AY88" s="0" t="n">
        <f aca="false">ATAN2(AW88,AX88)</f>
        <v>-1.71455304941387</v>
      </c>
      <c r="BA88" s="0" t="n">
        <f aca="false">SQRT(AT88^2+AU88^2)/SQRT(AW88^2+AX88^2)</f>
        <v>67.4701826700961</v>
      </c>
      <c r="BB88" s="0" t="n">
        <f aca="false">20*LOG(BA88)</f>
        <v>36.5822377194857</v>
      </c>
      <c r="BC88" s="0" t="n">
        <f aca="false">AV88-AY88</f>
        <v>-0.846949306766355</v>
      </c>
      <c r="BD88" s="0" t="n">
        <f aca="false">BC88*180/Pi-180</f>
        <v>-228.526620794693</v>
      </c>
      <c r="BF88" s="0" t="n">
        <f aca="false">20*LOG(BA88*J88*F88*C88)</f>
        <v>58.393294777845</v>
      </c>
      <c r="BG88" s="0" t="n">
        <f aca="false">(180/Pi)*(D88+H88+BC88)</f>
        <v>-81.0166578495888</v>
      </c>
      <c r="BH88" s="0" t="n">
        <f aca="false">IF(BG88&gt;180,BG88-180,BG88+180)</f>
        <v>98.9833421504112</v>
      </c>
      <c r="BI88" s="0" t="n">
        <f aca="false">IF(BH88&gt;180,BH88-360,BH88)</f>
        <v>98.9833421504112</v>
      </c>
      <c r="BJ88" s="0" t="n">
        <f aca="false">SUM((BF89&lt;0)*(BF88&gt;0))*A88</f>
        <v>0</v>
      </c>
      <c r="BK88" s="0" t="n">
        <f aca="false">IF(BJ88&gt;0,BI88,0)</f>
        <v>0</v>
      </c>
      <c r="BM88" s="0" t="n">
        <f aca="false">20*LOG(J88*F88*C88)</f>
        <v>21.8110570583592</v>
      </c>
      <c r="BN88" s="0" t="n">
        <f aca="false">(H88+D88)*180/Pi</f>
        <v>-32.4900370548961</v>
      </c>
      <c r="BQ88" s="347" t="n">
        <f aca="false">20*LOG(BA88*7)</f>
        <v>53.4841985197709</v>
      </c>
      <c r="BR88" s="353"/>
      <c r="BS88" s="353"/>
      <c r="BT88" s="353" t="n">
        <v>602.56</v>
      </c>
      <c r="BU88" s="353" t="n">
        <v>19.198</v>
      </c>
      <c r="BV88" s="353" t="n">
        <v>-264.0026</v>
      </c>
      <c r="BW88" s="349"/>
      <c r="BY88" s="353"/>
      <c r="BZ88" s="353"/>
      <c r="CA88" s="353"/>
      <c r="CC88" s="353"/>
    </row>
    <row r="89" customFormat="false" ht="12.75" hidden="false" customHeight="false" outlineLevel="0" collapsed="false">
      <c r="A89" s="0" t="n">
        <f aca="false">A88+500</f>
        <v>27500</v>
      </c>
      <c r="B89" s="0" t="n">
        <f aca="false">A89/1000</f>
        <v>27.5</v>
      </c>
      <c r="C89" s="0" t="n">
        <f aca="false">SQRT((A89/Fesr)^2+1)</f>
        <v>1.00000001492778</v>
      </c>
      <c r="D89" s="0" t="n">
        <f aca="false">ATAN(A89/Fesr)</f>
        <v>0.000172787594030444</v>
      </c>
      <c r="F89" s="0" t="n">
        <f aca="false">(Ro/(Ro+Rdcr))/SQRT((A89/(Q*Fo))^2+(1-(A89^2/Fo^2))^2)</f>
        <v>1.38443409849541</v>
      </c>
      <c r="G89" s="0" t="n">
        <f aca="false">-ATAN(A89*Fo/(Q*(Fo^2-A89^2)))</f>
        <v>-0.586601986612784</v>
      </c>
      <c r="H89" s="0" t="n">
        <f aca="false">IF(G89&gt;0,G89-Pi,G89)</f>
        <v>-0.586601986612784</v>
      </c>
      <c r="J89" s="0" t="n">
        <f aca="false">Vin/Vramp</f>
        <v>9</v>
      </c>
      <c r="M89" s="0" t="n">
        <f aca="false">1/(2*Pi*_Rfb1*(Cc1ea_u+Cc2ea_u)*A89)</f>
        <v>0.214350091951187</v>
      </c>
      <c r="N89" s="0" t="n">
        <f aca="false">-Pi/2</f>
        <v>-1.570796325</v>
      </c>
      <c r="O89" s="0" t="n">
        <f aca="false">SQRT(1+(A89/Fz1_u)^2)</f>
        <v>1.20470443855469</v>
      </c>
      <c r="P89" s="0" t="n">
        <f aca="false">ATAN2(Fz1_u,A89)</f>
        <v>0.591546775507657</v>
      </c>
      <c r="Q89" s="0" t="n">
        <f aca="false">SQRT(1+(A89/Fz2_u)^2)</f>
        <v>762.303588536025</v>
      </c>
      <c r="R89" s="0" t="n">
        <f aca="false">ATAN2(Fz2_u,A89)</f>
        <v>1.5694845131004</v>
      </c>
      <c r="S89" s="0" t="n">
        <f aca="false">1/SQRT(1+(A89/Fp1_u)^2)</f>
        <v>0.440590525386705</v>
      </c>
      <c r="T89" s="0" t="n">
        <f aca="false">-ATAN2(Fp1_u,A89)</f>
        <v>-1.11453994508976</v>
      </c>
      <c r="U89" s="0" t="n">
        <f aca="false">1/SQRT(1+(A89/Fp2_u)^2)</f>
        <v>0.997225706526438</v>
      </c>
      <c r="V89" s="0" t="n">
        <f aca="false">-ATAN2(Fp2_u,A89)</f>
        <v>-0.0745060696517212</v>
      </c>
      <c r="X89" s="0" t="n">
        <f aca="false">20*LOG(C89*J89*O89*Q89*F89*M89*S89*U89)</f>
        <v>60.6495114208643</v>
      </c>
      <c r="Y89" s="0" t="n">
        <f aca="false">(180/Pi)*(D89+H89+N89+P89+R89+T89+V89)</f>
        <v>-67.9092641203477</v>
      </c>
      <c r="Z89" s="0" t="n">
        <f aca="false">Y89+180</f>
        <v>112.090735879652</v>
      </c>
      <c r="AC89" s="0" t="n">
        <v>1</v>
      </c>
      <c r="AD89" s="0" t="n">
        <f aca="false">Rcea1_u*Cc1ea_u*A89*2*Pi</f>
        <v>0.671798172276</v>
      </c>
      <c r="AE89" s="0" t="n">
        <f aca="false">-Rcea1_u*Cc1ea_u*Cc2ea_u*(A89*2*Pi)^2</f>
        <v>-1.74117586525222E-005</v>
      </c>
      <c r="AF89" s="0" t="n">
        <f aca="false">(Cc2ea_u+Cc1ea_u)*A89*2*Pi</f>
        <v>0.0002332632542625</v>
      </c>
      <c r="AG89" s="0" t="n">
        <f aca="false">AC89*AE89/(AE89^2+AF89^2)+AD89*AF89/(AE89^2+AF89^2)</f>
        <v>2545.81532097831</v>
      </c>
      <c r="AH89" s="0" t="n">
        <f aca="false">AD89*AE89/(AE89^2+AF89^2)-AC89*AF89/(AE89^2+AF89^2)</f>
        <v>-4477.03229231102</v>
      </c>
      <c r="AJ89" s="0" t="n">
        <f aca="false">_Rfb1</f>
        <v>20000</v>
      </c>
      <c r="AK89" s="0" t="n">
        <f aca="false">_Rfb1*Rcea2_u*Cc3ea_u*A89*2*Pi</f>
        <v>40750.22658168</v>
      </c>
      <c r="AL89" s="0" t="n">
        <v>1</v>
      </c>
      <c r="AM89" s="0" t="n">
        <f aca="false">(_Rfb1+Rcea2_u)*Cc3ea_u*A89*2*Pi</f>
        <v>762.302932629084</v>
      </c>
      <c r="AN89" s="0" t="n">
        <f aca="false">AJ89*AL89/(AL89^2+AM89^2)+AK89*AM89/(AL89^2+AM89^2)</f>
        <v>53.491061040052</v>
      </c>
      <c r="AO89" s="0" t="n">
        <f aca="false">AK89*AL89/(AL89^2+AM89^2)-AJ89*AM89/(AL89^2+AM89^2)</f>
        <v>-26.1661185929943</v>
      </c>
      <c r="AQ89" s="0" t="n">
        <f aca="false">Eadcg/(1+(Eadcg*A89/GBP)^2)</f>
        <v>14.9834701156448</v>
      </c>
      <c r="AR89" s="0" t="n">
        <f aca="false">-(A89*Eadcg*Eadcg/GBP)/(1+(Eadcg*A89/GBP)^2)</f>
        <v>-217.147940650982</v>
      </c>
      <c r="AT89" s="0" t="n">
        <f aca="false">-AR89*AH89+AG89*AQ89</f>
        <v>-934033.194721453</v>
      </c>
      <c r="AU89" s="0" t="n">
        <f aca="false">AQ89*AH89+AG89*AR89</f>
        <v>-619900.033786778</v>
      </c>
      <c r="AV89" s="0" t="n">
        <f aca="false">ATAN2(AT89,AU89)</f>
        <v>-2.55565993718816</v>
      </c>
      <c r="AW89" s="0" t="n">
        <f aca="false">AG89-AH89*AO89/_Rfb2+AG89*AN89/_Rfb2+AN89-AO89*AR89+AQ89*AN89</f>
        <v>-2272.56635856032</v>
      </c>
      <c r="AX89" s="0" t="n">
        <f aca="false">AH89+AH89*AN89/_Rfb2+AG89*AO89/_Rfb2+AO89+AO89*AQ89+AN89*AR89</f>
        <v>-16648.4743059217</v>
      </c>
      <c r="AY89" s="0" t="n">
        <f aca="false">ATAN2(AW89,AX89)</f>
        <v>-1.70646083826284</v>
      </c>
      <c r="BA89" s="0" t="n">
        <f aca="false">SQRT(AT89^2+AU89^2)/SQRT(AW89^2+AX89^2)</f>
        <v>66.7162237787302</v>
      </c>
      <c r="BB89" s="0" t="n">
        <f aca="false">20*LOG(BA89)</f>
        <v>36.4846291343467</v>
      </c>
      <c r="BC89" s="0" t="n">
        <f aca="false">AV89-AY89</f>
        <v>-0.849199098925324</v>
      </c>
      <c r="BD89" s="0" t="n">
        <f aca="false">BC89*180/Pi-180</f>
        <v>-228.655524390331</v>
      </c>
      <c r="BF89" s="0" t="n">
        <f aca="false">20*LOG(BA89*J89*F89*C89)</f>
        <v>58.3949252006019</v>
      </c>
      <c r="BG89" s="0" t="n">
        <f aca="false">(180/Pi)*(D89+H89+BC89)</f>
        <v>-82.2554425157361</v>
      </c>
      <c r="BH89" s="0" t="n">
        <f aca="false">IF(BG89&gt;180,BG89-180,BG89+180)</f>
        <v>97.7445574842639</v>
      </c>
      <c r="BI89" s="0" t="n">
        <f aca="false">IF(BH89&gt;180,BH89-360,BH89)</f>
        <v>97.7445574842639</v>
      </c>
      <c r="BJ89" s="0" t="n">
        <f aca="false">SUM((BF90&lt;0)*(BF89&gt;0))*A89</f>
        <v>0</v>
      </c>
      <c r="BK89" s="0" t="n">
        <f aca="false">IF(BJ89&gt;0,BI89,0)</f>
        <v>0</v>
      </c>
      <c r="BM89" s="0" t="n">
        <f aca="false">20*LOG(J89*F89*C89)</f>
        <v>21.9102960662552</v>
      </c>
      <c r="BN89" s="0" t="n">
        <f aca="false">(H89+D89)*180/Pi</f>
        <v>-33.5999181254055</v>
      </c>
      <c r="BQ89" s="347" t="n">
        <f aca="false">20*LOG(BA89*7)</f>
        <v>53.3865899346318</v>
      </c>
      <c r="BR89" s="353"/>
      <c r="BS89" s="353"/>
      <c r="BT89" s="353" t="n">
        <v>616.595</v>
      </c>
      <c r="BU89" s="353" t="n">
        <v>18.9837</v>
      </c>
      <c r="BV89" s="353" t="n">
        <v>-264.1331</v>
      </c>
      <c r="BW89" s="349"/>
      <c r="BY89" s="353"/>
      <c r="BZ89" s="353"/>
      <c r="CA89" s="353"/>
      <c r="CC89" s="353"/>
    </row>
    <row r="90" customFormat="false" ht="12.75" hidden="false" customHeight="false" outlineLevel="0" collapsed="false">
      <c r="A90" s="0" t="n">
        <f aca="false">A89+500</f>
        <v>28000</v>
      </c>
      <c r="B90" s="0" t="n">
        <f aca="false">A90/1000</f>
        <v>28</v>
      </c>
      <c r="C90" s="0" t="n">
        <f aca="false">SQRT((A90/Fesr)^2+1)</f>
        <v>1.00000001547554</v>
      </c>
      <c r="D90" s="0" t="n">
        <f aca="false">ATAN(A90/Fesr)</f>
        <v>0.000175929186584934</v>
      </c>
      <c r="F90" s="0" t="n">
        <f aca="false">(Ro/(Ro+Rdcr))/SQRT((A90/(Q*Fo))^2+(1-(A90^2/Fo^2))^2)</f>
        <v>1.40041598995197</v>
      </c>
      <c r="G90" s="0" t="n">
        <f aca="false">-ATAN(A90*Fo/(Q*(Fo^2-A90^2)))</f>
        <v>-0.60663329209376</v>
      </c>
      <c r="H90" s="0" t="n">
        <f aca="false">IF(G90&gt;0,G90-Pi,G90)</f>
        <v>-0.60663329209376</v>
      </c>
      <c r="J90" s="0" t="n">
        <f aca="false">Vin/Vramp</f>
        <v>9</v>
      </c>
      <c r="M90" s="0" t="n">
        <f aca="false">1/(2*Pi*_Rfb1*(Cc1ea_u+Cc2ea_u)*A90)</f>
        <v>0.210522411737773</v>
      </c>
      <c r="N90" s="0" t="n">
        <f aca="false">-Pi/2</f>
        <v>-1.570796325</v>
      </c>
      <c r="O90" s="0" t="n">
        <f aca="false">SQRT(1+(A90/Fz1_u)^2)</f>
        <v>1.21155823324998</v>
      </c>
      <c r="P90" s="0" t="n">
        <f aca="false">ATAN2(Fz1_u,A90)</f>
        <v>0.599915444569498</v>
      </c>
      <c r="Q90" s="0" t="n">
        <f aca="false">SQRT(1+(A90/Fz2_u)^2)</f>
        <v>776.16363014394</v>
      </c>
      <c r="R90" s="0" t="n">
        <f aca="false">ATAN2(Fz2_u,A90)</f>
        <v>1.56950793831878</v>
      </c>
      <c r="S90" s="0" t="n">
        <f aca="false">1/SQRT(1+(A90/Fp1_u)^2)</f>
        <v>0.434217152397863</v>
      </c>
      <c r="T90" s="0" t="n">
        <f aca="false">-ATAN2(Fp1_u,A90)</f>
        <v>-1.12162728247062</v>
      </c>
      <c r="U90" s="0" t="n">
        <f aca="false">1/SQRT(1+(A90/Fp2_u)^2)</f>
        <v>0.997124344706904</v>
      </c>
      <c r="V90" s="0" t="n">
        <f aca="false">-ATAN2(Fp2_u,A90)</f>
        <v>-0.0758555809836973</v>
      </c>
      <c r="X90" s="0" t="n">
        <f aca="false">20*LOG(C90*J90*O90*Q90*F90*M90*S90*U90)</f>
        <v>60.6710357996387</v>
      </c>
      <c r="Y90" s="0" t="n">
        <f aca="false">(180/Pi)*(D90+H90+N90+P90+R90+T90+V90)</f>
        <v>-69.0593576239676</v>
      </c>
      <c r="Z90" s="0" t="n">
        <f aca="false">Y90+180</f>
        <v>110.940642376032</v>
      </c>
      <c r="AC90" s="0" t="n">
        <v>1</v>
      </c>
      <c r="AD90" s="0" t="n">
        <f aca="false">Rcea1_u*Cc1ea_u*A90*2*Pi</f>
        <v>0.6840126844992</v>
      </c>
      <c r="AE90" s="0" t="n">
        <f aca="false">-Rcea1_u*Cc1ea_u*Cc2ea_u*(A90*2*Pi)^2</f>
        <v>-1.80506694658874E-005</v>
      </c>
      <c r="AF90" s="0" t="n">
        <f aca="false">(Cc2ea_u+Cc1ea_u)*A90*2*Pi</f>
        <v>0.00023750440434</v>
      </c>
      <c r="AG90" s="0" t="n">
        <f aca="false">AC90*AE90/(AE90^2+AF90^2)+AD90*AF90/(AE90^2+AF90^2)</f>
        <v>2545.29781454636</v>
      </c>
      <c r="AH90" s="0" t="n">
        <f aca="false">AD90*AE90/(AE90^2+AF90^2)-AC90*AF90/(AE90^2+AF90^2)</f>
        <v>-4403.89445597521</v>
      </c>
      <c r="AJ90" s="0" t="n">
        <f aca="false">_Rfb1</f>
        <v>20000</v>
      </c>
      <c r="AK90" s="0" t="n">
        <f aca="false">_Rfb1*Rcea2_u*Cc3ea_u*A90*2*Pi</f>
        <v>41491.139792256</v>
      </c>
      <c r="AL90" s="0" t="n">
        <v>1</v>
      </c>
      <c r="AM90" s="0" t="n">
        <f aca="false">(_Rfb1+Rcea2_u)*Cc3ea_u*A90*2*Pi</f>
        <v>776.162985949613</v>
      </c>
      <c r="AN90" s="0" t="n">
        <f aca="false">AJ90*AL90/(AL90^2+AM90^2)+AK90*AM90/(AL90^2+AM90^2)</f>
        <v>53.4898460914133</v>
      </c>
      <c r="AO90" s="0" t="n">
        <f aca="false">AK90*AL90/(AL90^2+AM90^2)-AJ90*AM90/(AL90^2+AM90^2)</f>
        <v>-25.6988680405889</v>
      </c>
      <c r="AQ90" s="0" t="n">
        <f aca="false">Eadcg/(1+(Eadcg*A90/GBP)^2)</f>
        <v>14.4555486302211</v>
      </c>
      <c r="AR90" s="0" t="n">
        <f aca="false">-(A90*Eadcg*Eadcg/GBP)/(1+(Eadcg*A90/GBP)^2)</f>
        <v>-213.306075587543</v>
      </c>
      <c r="AT90" s="0" t="n">
        <f aca="false">-AR90*AH90+AG90*AQ90</f>
        <v>-902583.767369238</v>
      </c>
      <c r="AU90" s="0" t="n">
        <f aca="false">AQ90*AH90+AG90*AR90</f>
        <v>-606588.198493144</v>
      </c>
      <c r="AV90" s="0" t="n">
        <f aca="false">ATAN2(AT90,AU90)</f>
        <v>-2.54986720830045</v>
      </c>
      <c r="AW90" s="0" t="n">
        <f aca="false">AG90-AH90*AO90/_Rfb2+AG90*AN90/_Rfb2+AN90-AO90*AR90+AQ90*AN90</f>
        <v>-2099.37433810426</v>
      </c>
      <c r="AX90" s="0" t="n">
        <f aca="false">AH90+AH90*AN90/_Rfb2+AG90*AO90/_Rfb2+AO90+AO90*AQ90+AN90*AR90</f>
        <v>-16346.23242345</v>
      </c>
      <c r="AY90" s="0" t="n">
        <f aca="false">ATAN2(AW90,AX90)</f>
        <v>-1.69852878173952</v>
      </c>
      <c r="BA90" s="0" t="n">
        <f aca="false">SQRT(AT90^2+AU90^2)/SQRT(AW90^2+AX90^2)</f>
        <v>65.9857167420847</v>
      </c>
      <c r="BB90" s="0" t="n">
        <f aca="false">20*LOG(BA90)</f>
        <v>36.3889987679849</v>
      </c>
      <c r="BC90" s="0" t="n">
        <f aca="false">AV90-AY90</f>
        <v>-0.851338426560931</v>
      </c>
      <c r="BD90" s="0" t="n">
        <f aca="false">BC90*180/Pi-180</f>
        <v>-228.778098834987</v>
      </c>
      <c r="BF90" s="0" t="n">
        <f aca="false">20*LOG(BA90*J90*F90*C90)</f>
        <v>58.3989903091178</v>
      </c>
      <c r="BG90" s="0" t="n">
        <f aca="false">(180/Pi)*(D90+H90+BC90)</f>
        <v>-83.5255462239062</v>
      </c>
      <c r="BH90" s="0" t="n">
        <f aca="false">IF(BG90&gt;180,BG90-180,BG90+180)</f>
        <v>96.4744537760938</v>
      </c>
      <c r="BI90" s="0" t="n">
        <f aca="false">IF(BH90&gt;180,BH90-360,BH90)</f>
        <v>96.4744537760938</v>
      </c>
      <c r="BJ90" s="0" t="n">
        <f aca="false">SUM((BF91&lt;0)*(BF90&gt;0))*A90</f>
        <v>0</v>
      </c>
      <c r="BK90" s="0" t="n">
        <f aca="false">IF(BJ90&gt;0,BI90,0)</f>
        <v>0</v>
      </c>
      <c r="BM90" s="0" t="n">
        <f aca="false">20*LOG(J90*F90*C90)</f>
        <v>22.0099915411329</v>
      </c>
      <c r="BN90" s="0" t="n">
        <f aca="false">(H90+D90)*180/Pi</f>
        <v>-34.7474473889196</v>
      </c>
      <c r="BQ90" s="347" t="n">
        <f aca="false">20*LOG(BA90*7)</f>
        <v>53.29095956827</v>
      </c>
      <c r="BR90" s="353"/>
      <c r="BS90" s="353"/>
      <c r="BT90" s="353" t="n">
        <v>630.957</v>
      </c>
      <c r="BU90" s="353" t="n">
        <v>18.8029</v>
      </c>
      <c r="BV90" s="353" t="n">
        <v>-263.7485</v>
      </c>
      <c r="BW90" s="349"/>
      <c r="BY90" s="353"/>
      <c r="BZ90" s="353"/>
      <c r="CA90" s="353"/>
      <c r="CC90" s="353"/>
    </row>
    <row r="91" customFormat="false" ht="12.75" hidden="false" customHeight="false" outlineLevel="0" collapsed="false">
      <c r="A91" s="0" t="n">
        <f aca="false">A90+500</f>
        <v>28500</v>
      </c>
      <c r="B91" s="0" t="n">
        <f aca="false">A91/1000</f>
        <v>28.5</v>
      </c>
      <c r="C91" s="0" t="n">
        <f aca="false">SQRT((A91/Fesr)^2+1)</f>
        <v>1.00000001603317</v>
      </c>
      <c r="D91" s="0" t="n">
        <f aca="false">ATAN(A91/Fesr)</f>
        <v>0.000179070779135952</v>
      </c>
      <c r="F91" s="0" t="n">
        <f aca="false">(Ro/(Ro+Rdcr))/SQRT((A91/(Q*Fo))^2+(1-(A91^2/Fo^2))^2)</f>
        <v>1.41661913626128</v>
      </c>
      <c r="G91" s="0" t="n">
        <f aca="false">-ATAN(A91*Fo/(Q*(Fo^2-A91^2)))</f>
        <v>-0.627347236428233</v>
      </c>
      <c r="H91" s="0" t="n">
        <f aca="false">IF(G91&gt;0,G91-Pi,G91)</f>
        <v>-0.627347236428233</v>
      </c>
      <c r="J91" s="0" t="n">
        <f aca="false">Vin/Vramp</f>
        <v>9</v>
      </c>
      <c r="M91" s="0" t="n">
        <f aca="false">1/(2*Pi*_Rfb1*(Cc1ea_u+Cc2ea_u)*A91)</f>
        <v>0.206829036093251</v>
      </c>
      <c r="N91" s="0" t="n">
        <f aca="false">-Pi/2</f>
        <v>-1.570796325</v>
      </c>
      <c r="O91" s="0" t="n">
        <f aca="false">SQRT(1+(A91/Fz1_u)^2)</f>
        <v>1.21849592098453</v>
      </c>
      <c r="P91" s="0" t="n">
        <f aca="false">ATAN2(Fz1_u,A91)</f>
        <v>0.608189391113832</v>
      </c>
      <c r="Q91" s="0" t="n">
        <f aca="false">SQRT(1+(A91/Fz2_u)^2)</f>
        <v>790.023672162823</v>
      </c>
      <c r="R91" s="0" t="n">
        <f aca="false">ATAN2(Fz2_u,A91)</f>
        <v>1.56953054160102</v>
      </c>
      <c r="S91" s="0" t="n">
        <f aca="false">1/SQRT(1+(A91/Fp1_u)^2)</f>
        <v>0.428004951204906</v>
      </c>
      <c r="T91" s="0" t="n">
        <f aca="false">-ATAN2(Fp1_u,A91)</f>
        <v>-1.12851216511097</v>
      </c>
      <c r="U91" s="0" t="n">
        <f aca="false">1/SQRT(1+(A91/Fp2_u)^2)</f>
        <v>0.997021188290513</v>
      </c>
      <c r="V91" s="0" t="n">
        <f aca="false">-ATAN2(Fp2_u,A91)</f>
        <v>-0.0772048155479942</v>
      </c>
      <c r="X91" s="0" t="n">
        <f aca="false">20*LOG(C91*J91*O91*Q91*F91*M91*S91*U91)</f>
        <v>60.6944898735654</v>
      </c>
      <c r="Y91" s="0" t="n">
        <f aca="false">(180/Pi)*(D91+H91+N91+P91+R91+T91+V91)</f>
        <v>-70.2424220870192</v>
      </c>
      <c r="Z91" s="0" t="n">
        <f aca="false">Y91+180</f>
        <v>109.757577912981</v>
      </c>
      <c r="AC91" s="0" t="n">
        <v>1</v>
      </c>
      <c r="AD91" s="0" t="n">
        <f aca="false">Rcea1_u*Cc1ea_u*A91*2*Pi</f>
        <v>0.6962271967224</v>
      </c>
      <c r="AE91" s="0" t="n">
        <f aca="false">-Rcea1_u*Cc1ea_u*Cc2ea_u*(A91*2*Pi)^2</f>
        <v>-1.87010921857998E-005</v>
      </c>
      <c r="AF91" s="0" t="n">
        <f aca="false">(Cc2ea_u+Cc1ea_u)*A91*2*Pi</f>
        <v>0.0002417455544175</v>
      </c>
      <c r="AG91" s="0" t="n">
        <f aca="false">AC91*AE91/(AE91^2+AF91^2)+AD91*AF91/(AE91^2+AF91^2)</f>
        <v>2544.77119974458</v>
      </c>
      <c r="AH91" s="0" t="n">
        <f aca="false">AD91*AE91/(AE91^2+AF91^2)-AC91*AF91/(AE91^2+AF91^2)</f>
        <v>-4333.44060172035</v>
      </c>
      <c r="AJ91" s="0" t="n">
        <f aca="false">_Rfb1</f>
        <v>20000</v>
      </c>
      <c r="AK91" s="0" t="n">
        <f aca="false">_Rfb1*Rcea2_u*Cc3ea_u*A91*2*Pi</f>
        <v>42232.053002832</v>
      </c>
      <c r="AL91" s="0" t="n">
        <v>1</v>
      </c>
      <c r="AM91" s="0" t="n">
        <f aca="false">(_Rfb1+Rcea2_u)*Cc3ea_u*A91*2*Pi</f>
        <v>790.023039270142</v>
      </c>
      <c r="AN91" s="0" t="n">
        <f aca="false">AJ91*AL91/(AL91^2+AM91^2)+AK91*AM91/(AL91^2+AM91^2)</f>
        <v>53.4886945247006</v>
      </c>
      <c r="AO91" s="0" t="n">
        <f aca="false">AK91*AL91/(AL91^2+AM91^2)-AJ91*AM91/(AL91^2+AM91^2)</f>
        <v>-25.2480121641804</v>
      </c>
      <c r="AQ91" s="0" t="n">
        <f aca="false">Eadcg/(1+(Eadcg*A91/GBP)^2)</f>
        <v>13.9550044954853</v>
      </c>
      <c r="AR91" s="0" t="n">
        <f aca="false">-(A91*Eadcg*Eadcg/GBP)/(1+(Eadcg*A91/GBP)^2)</f>
        <v>-209.597190019942</v>
      </c>
      <c r="AT91" s="0" t="n">
        <f aca="false">-AR91*AH91+AG91*AQ91</f>
        <v>-872764.679706494</v>
      </c>
      <c r="AU91" s="0" t="n">
        <f aca="false">AQ91*AH91+AG91*AR91</f>
        <v>-593850.075788066</v>
      </c>
      <c r="AV91" s="0" t="n">
        <f aca="false">ATAN2(AT91,AU91)</f>
        <v>-2.54412608590628</v>
      </c>
      <c r="AW91" s="0" t="n">
        <f aca="false">AG91-AH91*AO91/_Rfb2+AG91*AN91/_Rfb2+AN91-AO91*AR91+AQ91*AN91</f>
        <v>-1935.19995864137</v>
      </c>
      <c r="AX91" s="0" t="n">
        <f aca="false">AH91+AH91*AN91/_Rfb2+AG91*AO91/_Rfb2+AO91+AO91*AQ91+AN91*AR91</f>
        <v>-16055.3230300067</v>
      </c>
      <c r="AY91" s="0" t="n">
        <f aca="false">ATAN2(AW91,AX91)</f>
        <v>-1.69075088102717</v>
      </c>
      <c r="BA91" s="0" t="n">
        <f aca="false">SQRT(AT91^2+AU91^2)/SQRT(AW91^2+AX91^2)</f>
        <v>65.2776891723869</v>
      </c>
      <c r="BB91" s="0" t="n">
        <f aca="false">20*LOG(BA91)</f>
        <v>36.2952954402089</v>
      </c>
      <c r="BC91" s="0" t="n">
        <f aca="false">AV91-AY91</f>
        <v>-0.853375204879113</v>
      </c>
      <c r="BD91" s="0" t="n">
        <f aca="false">BC91*180/Pi-180</f>
        <v>-228.894797636556</v>
      </c>
      <c r="BF91" s="0" t="n">
        <f aca="false">20*LOG(BA91*J91*F91*C91)</f>
        <v>58.4052078507898</v>
      </c>
      <c r="BG91" s="0" t="n">
        <f aca="false">(180/Pi)*(D91+H91+BC91)</f>
        <v>-84.8288866142712</v>
      </c>
      <c r="BH91" s="0" t="n">
        <f aca="false">IF(BG91&gt;180,BG91-180,BG91+180)</f>
        <v>95.1711133857288</v>
      </c>
      <c r="BI91" s="0" t="n">
        <f aca="false">IF(BH91&gt;180,BH91-360,BH91)</f>
        <v>95.1711133857288</v>
      </c>
      <c r="BJ91" s="0" t="n">
        <f aca="false">SUM((BF92&lt;0)*(BF91&gt;0))*A91</f>
        <v>0</v>
      </c>
      <c r="BK91" s="0" t="n">
        <f aca="false">IF(BJ91&gt;0,BI91,0)</f>
        <v>0</v>
      </c>
      <c r="BM91" s="0" t="n">
        <f aca="false">20*LOG(J91*F91*C91)</f>
        <v>22.1099124105808</v>
      </c>
      <c r="BN91" s="0" t="n">
        <f aca="false">(H91+D91)*180/Pi</f>
        <v>-35.9340889777157</v>
      </c>
      <c r="BQ91" s="347" t="n">
        <f aca="false">20*LOG(BA91*7)</f>
        <v>53.1972562404941</v>
      </c>
      <c r="BR91" s="353"/>
      <c r="BS91" s="353"/>
      <c r="BT91" s="353" t="n">
        <v>645.654</v>
      </c>
      <c r="BU91" s="353" t="n">
        <v>18.5986</v>
      </c>
      <c r="BV91" s="353" t="n">
        <v>-263.7636</v>
      </c>
      <c r="BW91" s="349"/>
      <c r="BY91" s="353"/>
      <c r="BZ91" s="353"/>
      <c r="CA91" s="353"/>
      <c r="CC91" s="353"/>
    </row>
    <row r="92" customFormat="false" ht="12.75" hidden="false" customHeight="false" outlineLevel="0" collapsed="false">
      <c r="A92" s="0" t="n">
        <f aca="false">A91+500</f>
        <v>29000</v>
      </c>
      <c r="B92" s="0" t="n">
        <f aca="false">A92/1000</f>
        <v>29</v>
      </c>
      <c r="C92" s="0" t="n">
        <f aca="false">SQRT((A92/Fesr)^2+1)</f>
        <v>1.00000001660067</v>
      </c>
      <c r="D92" s="0" t="n">
        <f aca="false">ATAN(A92/Fesr)</f>
        <v>0.000182212371683434</v>
      </c>
      <c r="F92" s="0" t="n">
        <f aca="false">(Ro/(Ro+Rdcr))/SQRT((A92/(Q*Fo))^2+(1-(A92^2/Fo^2))^2)</f>
        <v>1.43300460732618</v>
      </c>
      <c r="G92" s="0" t="n">
        <f aca="false">-ATAN(A92*Fo/(Q*(Fo^2-A92^2)))</f>
        <v>-0.648769183908711</v>
      </c>
      <c r="H92" s="0" t="n">
        <f aca="false">IF(G92&gt;0,G92-Pi,G92)</f>
        <v>-0.648769183908711</v>
      </c>
      <c r="J92" s="0" t="n">
        <f aca="false">Vin/Vramp</f>
        <v>9</v>
      </c>
      <c r="M92" s="0" t="n">
        <f aca="false">1/(2*Pi*_Rfb1*(Cc1ea_u+Cc2ea_u)*A92)</f>
        <v>0.203263018229574</v>
      </c>
      <c r="N92" s="0" t="n">
        <f aca="false">-Pi/2</f>
        <v>-1.570796325</v>
      </c>
      <c r="O92" s="0" t="n">
        <f aca="false">SQRT(1+(A92/Fz1_u)^2)</f>
        <v>1.22551607699522</v>
      </c>
      <c r="P92" s="0" t="n">
        <f aca="false">ATAN2(Fz1_u,A92)</f>
        <v>0.616369100588787</v>
      </c>
      <c r="Q92" s="0" t="n">
        <f aca="false">SQRT(1+(A92/Fz2_u)^2)</f>
        <v>803.883714571418</v>
      </c>
      <c r="R92" s="0" t="n">
        <f aca="false">ATAN2(Fz2_u,A92)</f>
        <v>1.56955236546096</v>
      </c>
      <c r="S92" s="0" t="n">
        <f aca="false">1/SQRT(1+(A92/Fp1_u)^2)</f>
        <v>0.421948832496627</v>
      </c>
      <c r="T92" s="0" t="n">
        <f aca="false">-ATAN2(Fp1_u,A92)</f>
        <v>-1.13520252014952</v>
      </c>
      <c r="U92" s="0" t="n">
        <f aca="false">1/SQRT(1+(A92/Fp2_u)^2)</f>
        <v>0.996916238960737</v>
      </c>
      <c r="V92" s="0" t="n">
        <f aca="false">-ATAN2(Fp2_u,A92)</f>
        <v>-0.0785537685188895</v>
      </c>
      <c r="X92" s="0" t="n">
        <f aca="false">20*LOG(C92*J92*O92*Q92*F92*M92*S92*U92)</f>
        <v>60.7195835387286</v>
      </c>
      <c r="Y92" s="0" t="n">
        <f aca="false">(180/Pi)*(D92+H92+N92+P92+R92+T92+V92)</f>
        <v>-71.4603344415208</v>
      </c>
      <c r="Z92" s="0" t="n">
        <f aca="false">Y92+180</f>
        <v>108.539665558479</v>
      </c>
      <c r="AC92" s="0" t="n">
        <v>1</v>
      </c>
      <c r="AD92" s="0" t="n">
        <f aca="false">Rcea1_u*Cc1ea_u*A92*2*Pi</f>
        <v>0.7084417089456</v>
      </c>
      <c r="AE92" s="0" t="n">
        <f aca="false">-Rcea1_u*Cc1ea_u*Cc2ea_u*(A92*2*Pi)^2</f>
        <v>-1.93630268122593E-005</v>
      </c>
      <c r="AF92" s="0" t="n">
        <f aca="false">(Cc2ea_u+Cc1ea_u)*A92*2*Pi</f>
        <v>0.000245986704495</v>
      </c>
      <c r="AG92" s="0" t="n">
        <f aca="false">AC92*AE92/(AE92^2+AF92^2)+AD92*AF92/(AE92^2+AF92^2)</f>
        <v>2544.23548800927</v>
      </c>
      <c r="AH92" s="0" t="n">
        <f aca="false">AD92*AE92/(AE92^2+AF92^2)-AC92*AF92/(AE92^2+AF92^2)</f>
        <v>-4265.53175760096</v>
      </c>
      <c r="AJ92" s="0" t="n">
        <f aca="false">_Rfb1</f>
        <v>20000</v>
      </c>
      <c r="AK92" s="0" t="n">
        <f aca="false">_Rfb1*Rcea2_u*Cc3ea_u*A92*2*Pi</f>
        <v>42972.966213408</v>
      </c>
      <c r="AL92" s="0" t="n">
        <v>1</v>
      </c>
      <c r="AM92" s="0" t="n">
        <f aca="false">(_Rfb1+Rcea2_u)*Cc3ea_u*A92*2*Pi</f>
        <v>803.88309259067</v>
      </c>
      <c r="AN92" s="0" t="n">
        <f aca="false">AJ92*AL92/(AL92^2+AM92^2)+AK92*AM92/(AL92^2+AM92^2)</f>
        <v>53.4876020066648</v>
      </c>
      <c r="AO92" s="0" t="n">
        <f aca="false">AK92*AL92/(AL92^2+AM92^2)-AJ92*AM92/(AL92^2+AM92^2)</f>
        <v>-24.8127029686765</v>
      </c>
      <c r="AQ92" s="0" t="n">
        <f aca="false">Eadcg/(1+(Eadcg*A92/GBP)^2)</f>
        <v>13.4799795382266</v>
      </c>
      <c r="AR92" s="0" t="n">
        <f aca="false">-(A92*Eadcg*Eadcg/GBP)/(1+(Eadcg*A92/GBP)^2)</f>
        <v>-206.014527282718</v>
      </c>
      <c r="AT92" s="0" t="n">
        <f aca="false">-AR92*AH92+AG92*AQ92</f>
        <v>-844465.266332786</v>
      </c>
      <c r="AU92" s="0" t="n">
        <f aca="false">AQ92*AH92+AG92*AR92</f>
        <v>-581648.752170261</v>
      </c>
      <c r="AV92" s="0" t="n">
        <f aca="false">ATAN2(AT92,AU92)</f>
        <v>-2.53843828262186</v>
      </c>
      <c r="AW92" s="0" t="n">
        <f aca="false">AG92-AH92*AO92/_Rfb2+AG92*AN92/_Rfb2+AN92-AO92*AR92+AQ92*AN92</f>
        <v>-1779.4318448737</v>
      </c>
      <c r="AX92" s="0" t="n">
        <f aca="false">AH92+AH92*AN92/_Rfb2+AG92*AO92/_Rfb2+AO92+AO92*AQ92+AN92*AR92</f>
        <v>-15775.1193227643</v>
      </c>
      <c r="AY92" s="0" t="n">
        <f aca="false">ATAN2(AW92,AX92)</f>
        <v>-1.68312142884416</v>
      </c>
      <c r="BA92" s="0" t="n">
        <f aca="false">SQRT(AT92^2+AU92^2)/SQRT(AW92^2+AX92^2)</f>
        <v>64.5912119648244</v>
      </c>
      <c r="BB92" s="0" t="n">
        <f aca="false">20*LOG(BA92)</f>
        <v>36.2034686711068</v>
      </c>
      <c r="BC92" s="0" t="n">
        <f aca="false">AV92-AY92</f>
        <v>-0.8553168537777</v>
      </c>
      <c r="BD92" s="0" t="n">
        <f aca="false">BC92*180/Pi-180</f>
        <v>-229.006045923868</v>
      </c>
      <c r="BF92" s="0" t="n">
        <f aca="false">20*LOG(BA92*J92*F92*C92)</f>
        <v>58.4132707385233</v>
      </c>
      <c r="BG92" s="0" t="n">
        <f aca="false">(180/Pi)*(D92+H92+BC92)</f>
        <v>-86.1673420825743</v>
      </c>
      <c r="BH92" s="0" t="n">
        <f aca="false">IF(BG92&gt;180,BG92-180,BG92+180)</f>
        <v>93.8326579174257</v>
      </c>
      <c r="BI92" s="0" t="n">
        <f aca="false">IF(BH92&gt;180,BH92-360,BH92)</f>
        <v>93.8326579174257</v>
      </c>
      <c r="BJ92" s="0" t="n">
        <f aca="false">SUM((BF93&lt;0)*(BF92&gt;0))*A92</f>
        <v>0</v>
      </c>
      <c r="BK92" s="0" t="n">
        <f aca="false">IF(BJ92&gt;0,BI92,0)</f>
        <v>0</v>
      </c>
      <c r="BM92" s="0" t="n">
        <f aca="false">20*LOG(J92*F92*C92)</f>
        <v>22.2098020674165</v>
      </c>
      <c r="BN92" s="0" t="n">
        <f aca="false">(H92+D92)*180/Pi</f>
        <v>-37.1612961587063</v>
      </c>
      <c r="BQ92" s="347" t="n">
        <f aca="false">20*LOG(BA92*7)</f>
        <v>53.1054294713919</v>
      </c>
      <c r="BR92" s="355"/>
      <c r="BS92" s="355"/>
      <c r="BT92" s="355" t="n">
        <v>660.693</v>
      </c>
      <c r="BU92" s="355" t="n">
        <v>18.468</v>
      </c>
      <c r="BV92" s="355" t="n">
        <v>-263.6098</v>
      </c>
      <c r="BW92" s="349"/>
      <c r="BY92" s="355"/>
      <c r="BZ92" s="355"/>
      <c r="CA92" s="355"/>
      <c r="CC92" s="355"/>
    </row>
    <row r="93" customFormat="false" ht="12.75" hidden="false" customHeight="false" outlineLevel="0" collapsed="false">
      <c r="A93" s="0" t="n">
        <f aca="false">A92+500</f>
        <v>29500</v>
      </c>
      <c r="B93" s="0" t="n">
        <f aca="false">A93/1000</f>
        <v>29.5</v>
      </c>
      <c r="C93" s="0" t="n">
        <f aca="false">SQRT((A93/Fesr)^2+1)</f>
        <v>1.00000001717805</v>
      </c>
      <c r="D93" s="0" t="n">
        <f aca="false">ATAN(A93/Fesr)</f>
        <v>0.000185353964227321</v>
      </c>
      <c r="F93" s="0" t="n">
        <f aca="false">(Ro/(Ro+Rdcr))/SQRT((A93/(Q*Fo))^2+(1-(A93^2/Fo^2))^2)</f>
        <v>1.44952701618794</v>
      </c>
      <c r="G93" s="0" t="n">
        <f aca="false">-ATAN(A93*Fo/(Q*(Fo^2-A93^2)))</f>
        <v>-0.670924050439987</v>
      </c>
      <c r="H93" s="0" t="n">
        <f aca="false">IF(G93&gt;0,G93-Pi,G93)</f>
        <v>-0.670924050439987</v>
      </c>
      <c r="J93" s="0" t="n">
        <f aca="false">Vin/Vramp</f>
        <v>9</v>
      </c>
      <c r="M93" s="0" t="n">
        <f aca="false">1/(2*Pi*_Rfb1*(Cc1ea_u+Cc2ea_u)*A93)</f>
        <v>0.199817882327378</v>
      </c>
      <c r="N93" s="0" t="n">
        <f aca="false">-Pi/2</f>
        <v>-1.570796325</v>
      </c>
      <c r="O93" s="0" t="n">
        <f aca="false">SQRT(1+(A93/Fz1_u)^2)</f>
        <v>1.23261729223198</v>
      </c>
      <c r="P93" s="0" t="n">
        <f aca="false">ATAN2(Fz1_u,A93)</f>
        <v>0.624455097889637</v>
      </c>
      <c r="Q93" s="0" t="n">
        <f aca="false">SQRT(1+(A93/Fz2_u)^2)</f>
        <v>817.743757349908</v>
      </c>
      <c r="R93" s="0" t="n">
        <f aca="false">ATAN2(Fz2_u,A93)</f>
        <v>1.56957344953017</v>
      </c>
      <c r="S93" s="0" t="n">
        <f aca="false">1/SQRT(1+(A93/Fp1_u)^2)</f>
        <v>0.416043856675282</v>
      </c>
      <c r="T93" s="0" t="n">
        <f aca="false">-ATAN2(Fp1_u,A93)</f>
        <v>-1.14170590278683</v>
      </c>
      <c r="U93" s="0" t="n">
        <f aca="false">1/SQRT(1+(A93/Fp2_u)^2)</f>
        <v>0.996809498429354</v>
      </c>
      <c r="V93" s="0" t="n">
        <f aca="false">-ATAN2(Fp2_u,A93)</f>
        <v>-0.079902435076774</v>
      </c>
      <c r="X93" s="0" t="n">
        <f aca="false">20*LOG(C93*J93*O93*Q93*F93*M93*S93*U93)</f>
        <v>60.7459991551932</v>
      </c>
      <c r="Y93" s="0" t="n">
        <f aca="false">(180/Pi)*(D93+H93+N93+P93+R93+T93+V93)</f>
        <v>-72.7149225236193</v>
      </c>
      <c r="Z93" s="0" t="n">
        <f aca="false">Y93+180</f>
        <v>107.285077476381</v>
      </c>
      <c r="AC93" s="0" t="n">
        <v>1</v>
      </c>
      <c r="AD93" s="0" t="n">
        <f aca="false">Rcea1_u*Cc1ea_u*A93*2*Pi</f>
        <v>0.7206562211688</v>
      </c>
      <c r="AE93" s="0" t="n">
        <f aca="false">-Rcea1_u*Cc1ea_u*Cc2ea_u*(A93*2*Pi)^2</f>
        <v>-2.0036473345266E-005</v>
      </c>
      <c r="AF93" s="0" t="n">
        <f aca="false">(Cc2ea_u+Cc1ea_u)*A93*2*Pi</f>
        <v>0.0002502278545725</v>
      </c>
      <c r="AG93" s="0" t="n">
        <f aca="false">AC93*AE93/(AE93^2+AF93^2)+AD93*AF93/(AE93^2+AF93^2)</f>
        <v>2543.69069096699</v>
      </c>
      <c r="AH93" s="0" t="n">
        <f aca="false">AD93*AE93/(AE93^2+AF93^2)-AC93*AF93/(AE93^2+AF93^2)</f>
        <v>-4200.0383711225</v>
      </c>
      <c r="AJ93" s="0" t="n">
        <f aca="false">_Rfb1</f>
        <v>20000</v>
      </c>
      <c r="AK93" s="0" t="n">
        <f aca="false">_Rfb1*Rcea2_u*Cc3ea_u*A93*2*Pi</f>
        <v>43713.879423984</v>
      </c>
      <c r="AL93" s="0" t="n">
        <v>1</v>
      </c>
      <c r="AM93" s="0" t="n">
        <f aca="false">(_Rfb1+Rcea2_u)*Cc3ea_u*A93*2*Pi</f>
        <v>817.743145911199</v>
      </c>
      <c r="AN93" s="0" t="n">
        <f aca="false">AJ93*AL93/(AL93^2+AM93^2)+AK93*AM93/(AL93^2+AM93^2)</f>
        <v>53.4865645681405</v>
      </c>
      <c r="AO93" s="0" t="n">
        <f aca="false">AK93*AL93/(AL93^2+AM93^2)-AJ93*AM93/(AL93^2+AM93^2)</f>
        <v>-24.3921499497324</v>
      </c>
      <c r="AQ93" s="0" t="n">
        <f aca="false">Eadcg/(1+(Eadcg*A93/GBP)^2)</f>
        <v>13.0287703876783</v>
      </c>
      <c r="AR93" s="0" t="n">
        <f aca="false">-(A93*Eadcg*Eadcg/GBP)/(1+(Eadcg*A93/GBP)^2)</f>
        <v>-202.551778832041</v>
      </c>
      <c r="AT93" s="0" t="n">
        <f aca="false">-AR93*AH93+AG93*AQ93</f>
        <v>-817584.081283806</v>
      </c>
      <c r="AU93" s="0" t="n">
        <f aca="false">AQ93*AH93+AG93*AR93</f>
        <v>-569950.40981066</v>
      </c>
      <c r="AV93" s="0" t="n">
        <f aca="false">ATAN2(AT93,AU93)</f>
        <v>-2.53280532333674</v>
      </c>
      <c r="AW93" s="0" t="n">
        <f aca="false">AG93-AH93*AO93/_Rfb2+AG93*AN93/_Rfb2+AN93-AO93*AR93+AQ93*AN93</f>
        <v>-1631.50954794868</v>
      </c>
      <c r="AX93" s="0" t="n">
        <f aca="false">AH93+AH93*AN93/_Rfb2+AG93*AO93/_Rfb2+AO93+AO93*AQ93+AN93*AR93</f>
        <v>-15505.0403076493</v>
      </c>
      <c r="AY93" s="0" t="n">
        <f aca="false">ATAN2(AW93,AX93)</f>
        <v>-1.67563499502634</v>
      </c>
      <c r="BA93" s="0" t="n">
        <f aca="false">SQRT(AT93^2+AU93^2)/SQRT(AW93^2+AX93^2)</f>
        <v>63.9253975778397</v>
      </c>
      <c r="BB93" s="0" t="n">
        <f aca="false">20*LOG(BA93)</f>
        <v>36.1134687551876</v>
      </c>
      <c r="BC93" s="0" t="n">
        <f aca="false">AV93-AY93</f>
        <v>-0.857170328310399</v>
      </c>
      <c r="BD93" s="0" t="n">
        <f aca="false">BC93*180/Pi-180</f>
        <v>-229.112242192148</v>
      </c>
      <c r="BF93" s="0" t="n">
        <f aca="false">20*LOG(BA93*J93*F93*C93)</f>
        <v>58.422845375542</v>
      </c>
      <c r="BG93" s="0" t="n">
        <f aca="false">(180/Pi)*(D93+H93+BC93)</f>
        <v>-87.5427387002285</v>
      </c>
      <c r="BH93" s="0" t="n">
        <f aca="false">IF(BG93&gt;180,BG93-180,BG93+180)</f>
        <v>92.4572612997715</v>
      </c>
      <c r="BI93" s="0" t="n">
        <f aca="false">IF(BH93&gt;180,BH93-360,BH93)</f>
        <v>92.4572612997715</v>
      </c>
      <c r="BJ93" s="0" t="n">
        <f aca="false">SUM((BF94&lt;0)*(BF93&gt;0))*A93</f>
        <v>0</v>
      </c>
      <c r="BK93" s="0" t="n">
        <f aca="false">IF(BJ93&gt;0,BI93,0)</f>
        <v>0</v>
      </c>
      <c r="BM93" s="0" t="n">
        <f aca="false">20*LOG(J93*F93*C93)</f>
        <v>22.3093766203544</v>
      </c>
      <c r="BN93" s="0" t="n">
        <f aca="false">(H93+D93)*180/Pi</f>
        <v>-38.4304965080806</v>
      </c>
      <c r="BQ93" s="347" t="n">
        <f aca="false">20*LOG(BA93*7)</f>
        <v>53.0154295554728</v>
      </c>
      <c r="BR93" s="355"/>
      <c r="BS93" s="355"/>
      <c r="BT93" s="355" t="n">
        <v>676.083</v>
      </c>
      <c r="BU93" s="355" t="n">
        <v>18.2744</v>
      </c>
      <c r="BV93" s="355" t="n">
        <v>-263.3252</v>
      </c>
      <c r="BW93" s="349"/>
      <c r="BY93" s="355"/>
      <c r="BZ93" s="355"/>
      <c r="CA93" s="355"/>
      <c r="CC93" s="355"/>
    </row>
    <row r="94" customFormat="false" ht="12.75" hidden="false" customHeight="false" outlineLevel="0" collapsed="false">
      <c r="A94" s="0" t="n">
        <f aca="false">A93+500</f>
        <v>30000</v>
      </c>
      <c r="B94" s="0" t="n">
        <f aca="false">A94/1000</f>
        <v>30</v>
      </c>
      <c r="C94" s="0" t="n">
        <f aca="false">SQRT((A94/Fesr)^2+1)</f>
        <v>1.00000001776529</v>
      </c>
      <c r="D94" s="0" t="n">
        <f aca="false">ATAN(A94/Fesr)</f>
        <v>0.000188495556767548</v>
      </c>
      <c r="F94" s="0" t="n">
        <f aca="false">(Ro/(Ro+Rdcr))/SQRT((A94/(Q*Fo))^2+(1-(A94^2/Fo^2))^2)</f>
        <v>1.46613392924549</v>
      </c>
      <c r="G94" s="0" t="n">
        <f aca="false">-ATAN(A94*Fo/(Q*(Fo^2-A94^2)))</f>
        <v>-0.693835999468458</v>
      </c>
      <c r="H94" s="0" t="n">
        <f aca="false">IF(G94&gt;0,G94-Pi,G94)</f>
        <v>-0.693835999468458</v>
      </c>
      <c r="J94" s="0" t="n">
        <f aca="false">Vin/Vramp</f>
        <v>9</v>
      </c>
      <c r="M94" s="0" t="n">
        <f aca="false">1/(2*Pi*_Rfb1*(Cc1ea_u+Cc2ea_u)*A94)</f>
        <v>0.196487584288588</v>
      </c>
      <c r="N94" s="0" t="n">
        <f aca="false">-Pi/2</f>
        <v>-1.570796325</v>
      </c>
      <c r="O94" s="0" t="n">
        <f aca="false">SQRT(1+(A94/Fz1_u)^2)</f>
        <v>1.23979817384223</v>
      </c>
      <c r="P94" s="0" t="n">
        <f aca="false">ATAN2(Fz1_u,A94)</f>
        <v>0.63244794497244</v>
      </c>
      <c r="Q94" s="0" t="n">
        <f aca="false">SQRT(1+(A94/Fz2_u)^2)</f>
        <v>831.603800479799</v>
      </c>
      <c r="R94" s="0" t="n">
        <f aca="false">ATAN2(Fz2_u,A94)</f>
        <v>1.5695938307981</v>
      </c>
      <c r="S94" s="0" t="n">
        <f aca="false">1/SQRT(1+(A94/Fp1_u)^2)</f>
        <v>0.410285234219817</v>
      </c>
      <c r="T94" s="0" t="n">
        <f aca="false">-ATAN2(Fp1_u,A94)</f>
        <v>-1.14802951512468</v>
      </c>
      <c r="U94" s="0" t="n">
        <f aca="false">1/SQRT(1+(A94/Fp2_u)^2)</f>
        <v>0.996700968436366</v>
      </c>
      <c r="V94" s="0" t="n">
        <f aca="false">-ATAN2(Fp2_u,A94)</f>
        <v>-0.0812508104082528</v>
      </c>
      <c r="X94" s="0" t="n">
        <f aca="false">20*LOG(C94*J94*O94*Q94*F94*M94*S94*U94)</f>
        <v>60.7733900018033</v>
      </c>
      <c r="Y94" s="0" t="n">
        <f aca="false">(180/Pi)*(D94+H94+N94+P94+R94+T94+V94)</f>
        <v>-74.0079488540103</v>
      </c>
      <c r="Z94" s="0" t="n">
        <f aca="false">Y94+180</f>
        <v>105.99205114599</v>
      </c>
      <c r="AC94" s="0" t="n">
        <v>1</v>
      </c>
      <c r="AD94" s="0" t="n">
        <f aca="false">Rcea1_u*Cc1ea_u*A94*2*Pi</f>
        <v>0.732870733392</v>
      </c>
      <c r="AE94" s="0" t="n">
        <f aca="false">-Rcea1_u*Cc1ea_u*Cc2ea_u*(A94*2*Pi)^2</f>
        <v>-2.07214317848197E-005</v>
      </c>
      <c r="AF94" s="0" t="n">
        <f aca="false">(Cc2ea_u+Cc1ea_u)*A94*2*Pi</f>
        <v>0.00025446900465</v>
      </c>
      <c r="AG94" s="0" t="n">
        <f aca="false">AC94*AE94/(AE94^2+AF94^2)+AD94*AF94/(AE94^2+AF94^2)</f>
        <v>2543.13682043389</v>
      </c>
      <c r="AH94" s="0" t="n">
        <f aca="false">AD94*AE94/(AE94^2+AF94^2)-AC94*AF94/(AE94^2+AF94^2)</f>
        <v>-4136.83952429483</v>
      </c>
      <c r="AJ94" s="0" t="n">
        <f aca="false">_Rfb1</f>
        <v>20000</v>
      </c>
      <c r="AK94" s="0" t="n">
        <f aca="false">_Rfb1*Rcea2_u*Cc3ea_u*A94*2*Pi</f>
        <v>44454.79263456</v>
      </c>
      <c r="AL94" s="0" t="n">
        <v>1</v>
      </c>
      <c r="AM94" s="0" t="n">
        <f aca="false">(_Rfb1+Rcea2_u)*Cc3ea_u*A94*2*Pi</f>
        <v>831.603199231728</v>
      </c>
      <c r="AN94" s="0" t="n">
        <f aca="false">AJ94*AL94/(AL94^2+AM94^2)+AK94*AM94/(AL94^2+AM94^2)</f>
        <v>53.4855785679449</v>
      </c>
      <c r="AO94" s="0" t="n">
        <f aca="false">AK94*AL94/(AL94^2+AM94^2)-AJ94*AM94/(AL94^2+AM94^2)</f>
        <v>-23.9856153028987</v>
      </c>
      <c r="AQ94" s="0" t="n">
        <f aca="false">Eadcg/(1+(Eadcg*A94/GBP)^2)</f>
        <v>12.5998132741145</v>
      </c>
      <c r="AR94" s="0" t="n">
        <f aca="false">-(A94*Eadcg*Eadcg/GBP)/(1+(Eadcg*A94/GBP)^2)</f>
        <v>-199.20304786375</v>
      </c>
      <c r="AT94" s="0" t="n">
        <f aca="false">-AR94*AH94+AG94*AQ94</f>
        <v>-792027.992694763</v>
      </c>
      <c r="AU94" s="0" t="n">
        <f aca="false">AQ94*AH94+AG94*AR94</f>
        <v>-558724.011316049</v>
      </c>
      <c r="AV94" s="0" t="n">
        <f aca="false">ATAN2(AT94,AU94)</f>
        <v>-2.52722855985438</v>
      </c>
      <c r="AW94" s="0" t="n">
        <f aca="false">AG94-AH94*AO94/_Rfb2+AG94*AN94/_Rfb2+AN94-AO94*AR94+AQ94*AN94</f>
        <v>-1490.91854514044</v>
      </c>
      <c r="AX94" s="0" t="n">
        <f aca="false">AH94+AH94*AN94/_Rfb2+AG94*AO94/_Rfb2+AO94+AO94*AQ94+AN94*AR94</f>
        <v>-15244.5466617464</v>
      </c>
      <c r="AY94" s="0" t="n">
        <f aca="false">ATAN2(AW94,AX94)</f>
        <v>-1.66828641260457</v>
      </c>
      <c r="BA94" s="0" t="n">
        <f aca="false">SQRT(AT94^2+AU94^2)/SQRT(AW94^2+AX94^2)</f>
        <v>63.279398323859</v>
      </c>
      <c r="BB94" s="0" t="n">
        <f aca="false">20*LOG(BA94)</f>
        <v>36.0252468226021</v>
      </c>
      <c r="BC94" s="0" t="n">
        <f aca="false">AV94-AY94</f>
        <v>-0.858942147249807</v>
      </c>
      <c r="BD94" s="0" t="n">
        <f aca="false">BC94*180/Pi-180</f>
        <v>-229.213759939553</v>
      </c>
      <c r="BF94" s="0" t="n">
        <f aca="false">20*LOG(BA94*J94*F94*C94)</f>
        <v>58.433570051683</v>
      </c>
      <c r="BG94" s="0" t="n">
        <f aca="false">(180/Pi)*(D94+H94+BC94)</f>
        <v>-88.9568344288906</v>
      </c>
      <c r="BH94" s="0" t="n">
        <f aca="false">IF(BG94&gt;180,BG94-180,BG94+180)</f>
        <v>91.0431655711094</v>
      </c>
      <c r="BI94" s="0" t="n">
        <f aca="false">IF(BH94&gt;180,BH94-360,BH94)</f>
        <v>91.0431655711094</v>
      </c>
      <c r="BJ94" s="0" t="n">
        <f aca="false">SUM((BF95&lt;0)*(BF94&gt;0))*A94</f>
        <v>0</v>
      </c>
      <c r="BK94" s="0" t="n">
        <f aca="false">IF(BJ94&gt;0,BI94,0)</f>
        <v>0</v>
      </c>
      <c r="BM94" s="0" t="n">
        <f aca="false">20*LOG(J94*F94*C94)</f>
        <v>22.408323229081</v>
      </c>
      <c r="BN94" s="0" t="n">
        <f aca="false">(H94+D94)*180/Pi</f>
        <v>-39.7430744893372</v>
      </c>
      <c r="BQ94" s="347" t="n">
        <f aca="false">20*LOG(BA94*7)</f>
        <v>52.9272076228872</v>
      </c>
      <c r="BR94" s="353"/>
      <c r="BS94" s="353"/>
      <c r="BT94" s="353" t="n">
        <v>691.831</v>
      </c>
      <c r="BU94" s="353" t="n">
        <v>18.0926</v>
      </c>
      <c r="BV94" s="353" t="n">
        <v>-263.5782</v>
      </c>
      <c r="BW94" s="349"/>
      <c r="BY94" s="353"/>
      <c r="BZ94" s="353"/>
      <c r="CA94" s="353"/>
      <c r="CC94" s="353"/>
    </row>
    <row r="95" customFormat="false" ht="12.75" hidden="false" customHeight="false" outlineLevel="0" collapsed="false">
      <c r="A95" s="0" t="n">
        <f aca="false">A94+500</f>
        <v>30500</v>
      </c>
      <c r="B95" s="0" t="n">
        <f aca="false">A95/1000</f>
        <v>30.5</v>
      </c>
      <c r="C95" s="0" t="n">
        <f aca="false">SQRT((A95/Fesr)^2+1)</f>
        <v>1.0000000183624</v>
      </c>
      <c r="D95" s="0" t="n">
        <f aca="false">ATAN(A95/Fesr)</f>
        <v>0.000191637149304055</v>
      </c>
      <c r="F95" s="0" t="n">
        <f aca="false">(Ro/(Ro+Rdcr))/SQRT((A95/(Q*Fo))^2+(1-(A95^2/Fo^2))^2)</f>
        <v>1.48276529267388</v>
      </c>
      <c r="G95" s="0" t="n">
        <f aca="false">-ATAN(A95*Fo/(Q*(Fo^2-A95^2)))</f>
        <v>-0.717528088997654</v>
      </c>
      <c r="H95" s="0" t="n">
        <f aca="false">IF(G95&gt;0,G95-Pi,G95)</f>
        <v>-0.717528088997654</v>
      </c>
      <c r="J95" s="0" t="n">
        <f aca="false">Vin/Vramp</f>
        <v>9</v>
      </c>
      <c r="M95" s="0" t="n">
        <f aca="false">1/(2*Pi*_Rfb1*(Cc1ea_u+Cc2ea_u)*A95)</f>
        <v>0.193266476349431</v>
      </c>
      <c r="N95" s="0" t="n">
        <f aca="false">-Pi/2</f>
        <v>-1.570796325</v>
      </c>
      <c r="O95" s="0" t="n">
        <f aca="false">SQRT(1+(A95/Fz1_u)^2)</f>
        <v>1.24705734560744</v>
      </c>
      <c r="P95" s="0" t="n">
        <f aca="false">ATAN2(Fz1_u,A95)</f>
        <v>0.640348238529722</v>
      </c>
      <c r="Q95" s="0" t="n">
        <f aca="false">SQRT(1+(A95/Fz2_u)^2)</f>
        <v>845.463843943809</v>
      </c>
      <c r="R95" s="0" t="n">
        <f aca="false">ATAN2(Fz2_u,A95)</f>
        <v>1.56961354382869</v>
      </c>
      <c r="S95" s="0" t="n">
        <f aca="false">1/SQRT(1+(A95/Fp1_u)^2)</f>
        <v>0.404668325147578</v>
      </c>
      <c r="T95" s="0" t="n">
        <f aca="false">-ATAN2(Fp1_u,A95)</f>
        <v>-1.15418022412492</v>
      </c>
      <c r="U95" s="0" t="n">
        <f aca="false">1/SQRT(1+(A95/Fp2_u)^2)</f>
        <v>0.996590650749926</v>
      </c>
      <c r="V95" s="0" t="n">
        <f aca="false">-ATAN2(Fp2_u,A95)</f>
        <v>-0.0825988897062453</v>
      </c>
      <c r="X95" s="0" t="n">
        <f aca="false">20*LOG(C95*J95*O95*Q95*F95*M95*S95*U95)</f>
        <v>60.8013788634045</v>
      </c>
      <c r="Y95" s="0" t="n">
        <f aca="false">(180/Pi)*(D95+H95+N95+P95+R95+T95+V95)</f>
        <v>-75.3410915631598</v>
      </c>
      <c r="Z95" s="0" t="n">
        <f aca="false">Y95+180</f>
        <v>104.65890843684</v>
      </c>
      <c r="AC95" s="0" t="n">
        <v>1</v>
      </c>
      <c r="AD95" s="0" t="n">
        <f aca="false">Rcea1_u*Cc1ea_u*A95*2*Pi</f>
        <v>0.7450852456152</v>
      </c>
      <c r="AE95" s="0" t="n">
        <f aca="false">-Rcea1_u*Cc1ea_u*Cc2ea_u*(A95*2*Pi)^2</f>
        <v>-2.14179021309206E-005</v>
      </c>
      <c r="AF95" s="0" t="n">
        <f aca="false">(Cc2ea_u+Cc1ea_u)*A95*2*Pi</f>
        <v>0.0002587101547275</v>
      </c>
      <c r="AG95" s="0" t="n">
        <f aca="false">AC95*AE95/(AE95^2+AF95^2)+AD95*AF95/(AE95^2+AF95^2)</f>
        <v>2542.57388841513</v>
      </c>
      <c r="AH95" s="0" t="n">
        <f aca="false">AD95*AE95/(AE95^2+AF95^2)-AC95*AF95/(AE95^2+AF95^2)</f>
        <v>-4075.82222589357</v>
      </c>
      <c r="AJ95" s="0" t="n">
        <f aca="false">_Rfb1</f>
        <v>20000</v>
      </c>
      <c r="AK95" s="0" t="n">
        <f aca="false">_Rfb1*Rcea2_u*Cc3ea_u*A95*2*Pi</f>
        <v>45195.705845136</v>
      </c>
      <c r="AL95" s="0" t="n">
        <v>1</v>
      </c>
      <c r="AM95" s="0" t="n">
        <f aca="false">(_Rfb1+Rcea2_u)*Cc3ea_u*A95*2*Pi</f>
        <v>845.463252552257</v>
      </c>
      <c r="AN95" s="0" t="n">
        <f aca="false">AJ95*AL95/(AL95^2+AM95^2)+AK95*AM95/(AL95^2+AM95^2)</f>
        <v>53.4846406608844</v>
      </c>
      <c r="AO95" s="0" t="n">
        <f aca="false">AK95*AL95/(AL95^2+AM95^2)-AJ95*AM95/(AL95^2+AM95^2)</f>
        <v>-23.5924096039955</v>
      </c>
      <c r="AQ95" s="0" t="n">
        <f aca="false">Eadcg/(1+(Eadcg*A95/GBP)^2)</f>
        <v>12.1916705386804</v>
      </c>
      <c r="AR95" s="0" t="n">
        <f aca="false">-(A95*Eadcg*Eadcg/GBP)/(1+(Eadcg*A95/GBP)^2)</f>
        <v>-195.962816403479</v>
      </c>
      <c r="AT95" s="0" t="n">
        <f aca="false">-AR95*AH95+AG95*AQ95</f>
        <v>-767711.379378193</v>
      </c>
      <c r="AU95" s="0" t="n">
        <f aca="false">AQ95*AH95+AG95*AR95</f>
        <v>-547941.0218401</v>
      </c>
      <c r="AV95" s="0" t="n">
        <f aca="false">ATAN2(AT95,AU95)</f>
        <v>-2.5217091842768</v>
      </c>
      <c r="AW95" s="0" t="n">
        <f aca="false">AG95-AH95*AO95/_Rfb2+AG95*AN95/_Rfb2+AN95-AO95*AR95+AQ95*AN95</f>
        <v>-1357.18580234304</v>
      </c>
      <c r="AX95" s="0" t="n">
        <f aca="false">AH95+AH95*AN95/_Rfb2+AG95*AO95/_Rfb2+AO95+AO95*AQ95+AN95*AR95</f>
        <v>-14993.1370381361</v>
      </c>
      <c r="AY95" s="0" t="n">
        <f aca="false">ATAN2(AW95,AX95)</f>
        <v>-1.66107076441339</v>
      </c>
      <c r="BA95" s="0" t="n">
        <f aca="false">SQRT(AT95^2+AU95^2)/SQRT(AW95^2+AX95^2)</f>
        <v>62.6524046830799</v>
      </c>
      <c r="BB95" s="0" t="n">
        <f aca="false">20*LOG(BA95)</f>
        <v>35.9387548890616</v>
      </c>
      <c r="BC95" s="0" t="n">
        <f aca="false">AV95-AY95</f>
        <v>-0.860638419863408</v>
      </c>
      <c r="BD95" s="0" t="n">
        <f aca="false">BC95*180/Pi-180</f>
        <v>-229.310949201327</v>
      </c>
      <c r="BF95" s="0" t="n">
        <f aca="false">20*LOG(BA95*J95*F95*C95)</f>
        <v>58.4450534748536</v>
      </c>
      <c r="BG95" s="0" t="n">
        <f aca="false">(180/Pi)*(D95+H95+BC95)</f>
        <v>-90.4113004300912</v>
      </c>
      <c r="BH95" s="0" t="n">
        <f aca="false">IF(BG95&gt;180,BG95-180,BG95+180)</f>
        <v>89.5886995699088</v>
      </c>
      <c r="BI95" s="0" t="n">
        <f aca="false">IF(BH95&gt;180,BH95-360,BH95)</f>
        <v>89.5886995699088</v>
      </c>
      <c r="BJ95" s="0" t="n">
        <f aca="false">SUM((BF96&lt;0)*(BF95&gt;0))*A95</f>
        <v>0</v>
      </c>
      <c r="BK95" s="0" t="n">
        <f aca="false">IF(BJ95&gt;0,BI95,0)</f>
        <v>0</v>
      </c>
      <c r="BM95" s="0" t="n">
        <f aca="false">20*LOG(J95*F95*C95)</f>
        <v>22.5062985857919</v>
      </c>
      <c r="BN95" s="0" t="n">
        <f aca="false">(H95+D95)*180/Pi</f>
        <v>-41.1003512287639</v>
      </c>
      <c r="BQ95" s="347" t="n">
        <f aca="false">20*LOG(BA95*7)</f>
        <v>52.8407156893468</v>
      </c>
      <c r="BR95" s="353"/>
      <c r="BS95" s="353"/>
      <c r="BT95" s="353" t="n">
        <v>707.946</v>
      </c>
      <c r="BU95" s="353" t="n">
        <v>17.887</v>
      </c>
      <c r="BV95" s="353" t="n">
        <v>-262.8499</v>
      </c>
      <c r="BW95" s="349"/>
      <c r="BY95" s="353"/>
      <c r="BZ95" s="353"/>
      <c r="CA95" s="353"/>
      <c r="CC95" s="353"/>
    </row>
    <row r="96" customFormat="false" ht="12.75" hidden="false" customHeight="false" outlineLevel="0" collapsed="false">
      <c r="A96" s="0" t="n">
        <f aca="false">A95+500</f>
        <v>31000</v>
      </c>
      <c r="B96" s="0" t="n">
        <f aca="false">A96/1000</f>
        <v>31</v>
      </c>
      <c r="C96" s="0" t="n">
        <f aca="false">SQRT((A96/Fesr)^2+1)</f>
        <v>1.00000001896938</v>
      </c>
      <c r="D96" s="0" t="n">
        <f aca="false">ATAN(A96/Fesr)</f>
        <v>0.000194778741836779</v>
      </c>
      <c r="F96" s="0" t="n">
        <f aca="false">(Ro/(Ro+Rdcr))/SQRT((A96/(Q*Fo))^2+(1-(A96^2/Fo^2))^2)</f>
        <v>1.49935289735346</v>
      </c>
      <c r="G96" s="0" t="n">
        <f aca="false">-ATAN(A96*Fo/(Q*(Fo^2-A96^2)))</f>
        <v>-0.742021866808838</v>
      </c>
      <c r="H96" s="0" t="n">
        <f aca="false">IF(G96&gt;0,G96-Pi,G96)</f>
        <v>-0.742021866808838</v>
      </c>
      <c r="J96" s="0" t="n">
        <f aca="false">Vin/Vramp</f>
        <v>9</v>
      </c>
      <c r="M96" s="0" t="n">
        <f aca="false">1/(2*Pi*_Rfb1*(Cc1ea_u+Cc2ea_u)*A96)</f>
        <v>0.190149275117988</v>
      </c>
      <c r="N96" s="0" t="n">
        <f aca="false">-Pi/2</f>
        <v>-1.570796325</v>
      </c>
      <c r="O96" s="0" t="n">
        <f aca="false">SQRT(1+(A96/Fz1_u)^2)</f>
        <v>1.25439344833354</v>
      </c>
      <c r="P96" s="0" t="n">
        <f aca="false">ATAN2(Fz1_u,A96)</f>
        <v>0.648156607730669</v>
      </c>
      <c r="Q96" s="0" t="n">
        <f aca="false">SQRT(1+(A96/Fz2_u)^2)</f>
        <v>859.323887725771</v>
      </c>
      <c r="R96" s="0" t="n">
        <f aca="false">ATAN2(Fz2_u,A96)</f>
        <v>1.56963262095594</v>
      </c>
      <c r="S96" s="0" t="n">
        <f aca="false">1/SQRT(1+(A96/Fp1_u)^2)</f>
        <v>0.399188637729738</v>
      </c>
      <c r="T96" s="0" t="n">
        <f aca="false">-ATAN2(Fp1_u,A96)</f>
        <v>-1.1601645787056</v>
      </c>
      <c r="U96" s="0" t="n">
        <f aca="false">1/SQRT(1+(A96/Fp2_u)^2)</f>
        <v>0.996478547166258</v>
      </c>
      <c r="V96" s="0" t="n">
        <f aca="false">-ATAN2(Fp2_u,A96)</f>
        <v>-0.0839466681700851</v>
      </c>
      <c r="X96" s="0" t="n">
        <f aca="false">20*LOG(C96*J96*O96*Q96*F96*M96*S96*U96)</f>
        <v>60.8295568267717</v>
      </c>
      <c r="Y96" s="0" t="n">
        <f aca="false">(180/Pi)*(D96+H96+N96+P96+R96+T96+V96)</f>
        <v>-76.7159222969578</v>
      </c>
      <c r="Z96" s="0" t="n">
        <f aca="false">Y96+180</f>
        <v>103.284077703042</v>
      </c>
      <c r="AC96" s="0" t="n">
        <v>1</v>
      </c>
      <c r="AD96" s="0" t="n">
        <f aca="false">Rcea1_u*Cc1ea_u*A96*2*Pi</f>
        <v>0.7572997578384</v>
      </c>
      <c r="AE96" s="0" t="n">
        <f aca="false">-Rcea1_u*Cc1ea_u*Cc2ea_u*(A96*2*Pi)^2</f>
        <v>-2.21258843835687E-005</v>
      </c>
      <c r="AF96" s="0" t="n">
        <f aca="false">(Cc2ea_u+Cc1ea_u)*A96*2*Pi</f>
        <v>0.000262951304805</v>
      </c>
      <c r="AG96" s="0" t="n">
        <f aca="false">AC96*AE96/(AE96^2+AF96^2)+AD96*AF96/(AE96^2+AF96^2)</f>
        <v>2542.00190710419</v>
      </c>
      <c r="AH96" s="0" t="n">
        <f aca="false">AD96*AE96/(AE96^2+AF96^2)-AC96*AF96/(AE96^2+AF96^2)</f>
        <v>-4016.88077221252</v>
      </c>
      <c r="AJ96" s="0" t="n">
        <f aca="false">_Rfb1</f>
        <v>20000</v>
      </c>
      <c r="AK96" s="0" t="n">
        <f aca="false">_Rfb1*Rcea2_u*Cc3ea_u*A96*2*Pi</f>
        <v>45936.619055712</v>
      </c>
      <c r="AL96" s="0" t="n">
        <v>1</v>
      </c>
      <c r="AM96" s="0" t="n">
        <f aca="false">(_Rfb1+Rcea2_u)*Cc3ea_u*A96*2*Pi</f>
        <v>859.323305872786</v>
      </c>
      <c r="AN96" s="0" t="n">
        <f aca="false">AJ96*AL96/(AL96^2+AM96^2)+AK96*AM96/(AL96^2+AM96^2)</f>
        <v>53.4837477693447</v>
      </c>
      <c r="AO96" s="0" t="n">
        <f aca="false">AK96*AL96/(AL96^2+AM96^2)-AJ96*AM96/(AL96^2+AM96^2)</f>
        <v>-23.2118879075107</v>
      </c>
      <c r="AQ96" s="0" t="n">
        <f aca="false">Eadcg/(1+(Eadcg*A96/GBP)^2)</f>
        <v>11.8030186380676</v>
      </c>
      <c r="AR96" s="0" t="n">
        <f aca="false">-(A96*Eadcg*Eadcg/GBP)/(1+(Eadcg*A96/GBP)^2)</f>
        <v>-192.82591549011</v>
      </c>
      <c r="AT96" s="0" t="n">
        <f aca="false">-AR96*AH96+AG96*AQ96</f>
        <v>-744555.416428946</v>
      </c>
      <c r="AU96" s="0" t="n">
        <f aca="false">AQ96*AH96+AG96*AR96</f>
        <v>-537575.163536292</v>
      </c>
      <c r="AV96" s="0" t="n">
        <f aca="false">ATAN2(AT96,AU96)</f>
        <v>-2.5162482412642</v>
      </c>
      <c r="AW96" s="0" t="n">
        <f aca="false">AG96-AH96*AO96/_Rfb2+AG96*AN96/_Rfb2+AN96-AO96*AR96+AQ96*AN96</f>
        <v>-1229.87582821791</v>
      </c>
      <c r="AX96" s="0" t="n">
        <f aca="false">AH96+AH96*AN96/_Rfb2+AG96*AO96/_Rfb2+AO96+AO96*AQ96+AN96*AR96</f>
        <v>-14750.3447587992</v>
      </c>
      <c r="AY96" s="0" t="n">
        <f aca="false">ATAN2(AW96,AX96)</f>
        <v>-1.6539833702525</v>
      </c>
      <c r="BA96" s="0" t="n">
        <f aca="false">SQRT(AT96^2+AU96^2)/SQRT(AW96^2+AX96^2)</f>
        <v>62.0436436501437</v>
      </c>
      <c r="BB96" s="0" t="n">
        <f aca="false">20*LOG(BA96)</f>
        <v>35.8539458958826</v>
      </c>
      <c r="BC96" s="0" t="n">
        <f aca="false">AV96-AY96</f>
        <v>-0.862264871011705</v>
      </c>
      <c r="BD96" s="0" t="n">
        <f aca="false">BC96*180/Pi-180</f>
        <v>-229.404137987815</v>
      </c>
      <c r="BF96" s="0" t="n">
        <f aca="false">20*LOG(BA96*J96*F96*C96)</f>
        <v>58.4568735139467</v>
      </c>
      <c r="BG96" s="0" t="n">
        <f aca="false">(180/Pi)*(D96+H96+BC96)</f>
        <v>-91.9076993111017</v>
      </c>
      <c r="BH96" s="0" t="n">
        <f aca="false">IF(BG96&gt;180,BG96-180,BG96+180)</f>
        <v>88.0923006888983</v>
      </c>
      <c r="BI96" s="0" t="n">
        <f aca="false">IF(BH96&gt;180,BH96-360,BH96)</f>
        <v>88.0923006888983</v>
      </c>
      <c r="BJ96" s="0" t="n">
        <f aca="false">SUM((BF97&lt;0)*(BF96&gt;0))*A96</f>
        <v>0</v>
      </c>
      <c r="BK96" s="0" t="n">
        <f aca="false">IF(BJ96&gt;0,BI96,0)</f>
        <v>0</v>
      </c>
      <c r="BM96" s="0" t="n">
        <f aca="false">20*LOG(J96*F96*C96)</f>
        <v>22.6029276180641</v>
      </c>
      <c r="BN96" s="0" t="n">
        <f aca="false">(H96+D96)*180/Pi</f>
        <v>-42.5035613232862</v>
      </c>
      <c r="BQ96" s="347" t="n">
        <f aca="false">20*LOG(BA96*7)</f>
        <v>52.7559066961677</v>
      </c>
      <c r="BR96" s="353"/>
      <c r="BS96" s="353"/>
      <c r="BT96" s="353" t="n">
        <v>724.436</v>
      </c>
      <c r="BU96" s="353" t="n">
        <v>17.7536</v>
      </c>
      <c r="BV96" s="353" t="n">
        <v>-262.8169</v>
      </c>
      <c r="BW96" s="349"/>
      <c r="BY96" s="353"/>
      <c r="BZ96" s="353"/>
      <c r="CA96" s="353"/>
      <c r="CC96" s="353"/>
    </row>
    <row r="97" customFormat="false" ht="12.75" hidden="false" customHeight="false" outlineLevel="0" collapsed="false">
      <c r="A97" s="0" t="n">
        <f aca="false">A96+500</f>
        <v>31500</v>
      </c>
      <c r="B97" s="0" t="n">
        <f aca="false">A97/1000</f>
        <v>31.5</v>
      </c>
      <c r="C97" s="0" t="n">
        <f aca="false">SQRT((A97/Fesr)^2+1)</f>
        <v>1.00000001958623</v>
      </c>
      <c r="D97" s="0" t="n">
        <f aca="false">ATAN(A97/Fesr)</f>
        <v>0.000197920334365658</v>
      </c>
      <c r="F97" s="0" t="n">
        <f aca="false">(Ro/(Ro+Rdcr))/SQRT((A97/(Q*Fo))^2+(1-(A97^2/Fo^2))^2)</f>
        <v>1.51581990993769</v>
      </c>
      <c r="G97" s="0" t="n">
        <f aca="false">-ATAN(A97*Fo/(Q*(Fo^2-A97^2)))</f>
        <v>-0.767336912103487</v>
      </c>
      <c r="H97" s="0" t="n">
        <f aca="false">IF(G97&gt;0,G97-Pi,G97)</f>
        <v>-0.767336912103487</v>
      </c>
      <c r="J97" s="0" t="n">
        <f aca="false">Vin/Vramp</f>
        <v>9</v>
      </c>
      <c r="M97" s="0" t="n">
        <f aca="false">1/(2*Pi*_Rfb1*(Cc1ea_u+Cc2ea_u)*A97)</f>
        <v>0.187131032655798</v>
      </c>
      <c r="N97" s="0" t="n">
        <f aca="false">-Pi/2</f>
        <v>-1.570796325</v>
      </c>
      <c r="O97" s="0" t="n">
        <f aca="false">SQRT(1+(A97/Fz1_u)^2)</f>
        <v>1.26180514019734</v>
      </c>
      <c r="P97" s="0" t="n">
        <f aca="false">ATAN2(Fz1_u,A97)</f>
        <v>0.655873712027904</v>
      </c>
      <c r="Q97" s="0" t="n">
        <f aca="false">SQRT(1+(A97/Fz2_u)^2)</f>
        <v>873.183931810544</v>
      </c>
      <c r="R97" s="0" t="n">
        <f aca="false">ATAN2(Fz2_u,A97)</f>
        <v>1.56965109246091</v>
      </c>
      <c r="S97" s="0" t="n">
        <f aca="false">1/SQRT(1+(A97/Fp1_u)^2)</f>
        <v>0.393841826594061</v>
      </c>
      <c r="T97" s="0" t="n">
        <f aca="false">-ATAN2(Fp1_u,A97)</f>
        <v>-1.16598882599628</v>
      </c>
      <c r="U97" s="0" t="n">
        <f aca="false">1/SQRT(1+(A97/Fp2_u)^2)</f>
        <v>0.996364659509572</v>
      </c>
      <c r="V97" s="0" t="n">
        <f aca="false">-ATAN2(Fp2_u,A97)</f>
        <v>-0.0852941410056202</v>
      </c>
      <c r="X97" s="0" t="n">
        <f aca="false">20*LOG(C97*J97*O97*Q97*F97*M97*S97*U97)</f>
        <v>60.8574823748245</v>
      </c>
      <c r="Y97" s="0" t="n">
        <f aca="false">(180/Pi)*(D97+H97+N97+P97+R97+T97+V97)</f>
        <v>-78.1338810016623</v>
      </c>
      <c r="Z97" s="0" t="n">
        <f aca="false">Y97+180</f>
        <v>101.866118998338</v>
      </c>
      <c r="AC97" s="0" t="n">
        <v>1</v>
      </c>
      <c r="AD97" s="0" t="n">
        <f aca="false">Rcea1_u*Cc1ea_u*A97*2*Pi</f>
        <v>0.7695142700616</v>
      </c>
      <c r="AE97" s="0" t="n">
        <f aca="false">-Rcea1_u*Cc1ea_u*Cc2ea_u*(A97*2*Pi)^2</f>
        <v>-2.28453785427638E-005</v>
      </c>
      <c r="AF97" s="0" t="n">
        <f aca="false">(Cc2ea_u+Cc1ea_u)*A97*2*Pi</f>
        <v>0.0002671924548825</v>
      </c>
      <c r="AG97" s="0" t="n">
        <f aca="false">AC97*AE97/(AE97^2+AF97^2)+AD97*AF97/(AE97^2+AF97^2)</f>
        <v>2541.42088888224</v>
      </c>
      <c r="AH97" s="0" t="n">
        <f aca="false">AD97*AE97/(AE97^2+AF97^2)-AC97*AF97/(AE97^2+AF97^2)</f>
        <v>-3959.9161686968</v>
      </c>
      <c r="AJ97" s="0" t="n">
        <f aca="false">_Rfb1</f>
        <v>20000</v>
      </c>
      <c r="AK97" s="0" t="n">
        <f aca="false">_Rfb1*Rcea2_u*Cc3ea_u*A97*2*Pi</f>
        <v>46677.532266288</v>
      </c>
      <c r="AL97" s="0" t="n">
        <v>1</v>
      </c>
      <c r="AM97" s="0" t="n">
        <f aca="false">(_Rfb1+Rcea2_u)*Cc3ea_u*A97*2*Pi</f>
        <v>873.183359193314</v>
      </c>
      <c r="AN97" s="0" t="n">
        <f aca="false">AJ97*AL97/(AL97^2+AM97^2)+AK97*AM97/(AL97^2+AM97^2)</f>
        <v>53.4828970580114</v>
      </c>
      <c r="AO97" s="0" t="n">
        <f aca="false">AK97*AL97/(AL97^2+AM97^2)-AJ97*AM97/(AL97^2+AM97^2)</f>
        <v>-22.8434462165764</v>
      </c>
      <c r="AQ97" s="0" t="n">
        <f aca="false">Eadcg/(1+(Eadcg*A97/GBP)^2)</f>
        <v>11.4326374579116</v>
      </c>
      <c r="AR97" s="0" t="n">
        <f aca="false">-(A97*Eadcg*Eadcg/GBP)/(1+(Eadcg*A97/GBP)^2)</f>
        <v>-189.787498120062</v>
      </c>
      <c r="AT97" s="0" t="n">
        <f aca="false">-AR97*AH97+AG97*AQ97</f>
        <v>-722487.438771593</v>
      </c>
      <c r="AU97" s="0" t="n">
        <f aca="false">AQ97*AH97+AG97*AR97</f>
        <v>-527602.198091457</v>
      </c>
      <c r="AV97" s="0" t="n">
        <f aca="false">ATAN2(AT97,AU97)</f>
        <v>-2.51084663928419</v>
      </c>
      <c r="AW97" s="0" t="n">
        <f aca="false">AG97-AH97*AO97/_Rfb2+AG97*AN97/_Rfb2+AN97-AO97*AR97+AQ97*AN97</f>
        <v>-1108.5871587892</v>
      </c>
      <c r="AX97" s="0" t="n">
        <f aca="false">AH97+AH97*AN97/_Rfb2+AG97*AO97/_Rfb2+AO97+AO97*AQ97+AN97*AR97</f>
        <v>-14515.7348487385</v>
      </c>
      <c r="AY97" s="0" t="n">
        <f aca="false">ATAN2(AW97,AX97)</f>
        <v>-1.64701977461163</v>
      </c>
      <c r="BA97" s="0" t="n">
        <f aca="false">SQRT(AT97^2+AU97^2)/SQRT(AW97^2+AX97^2)</f>
        <v>61.452377121202</v>
      </c>
      <c r="BB97" s="0" t="n">
        <f aca="false">20*LOG(BA97)</f>
        <v>35.7707737414074</v>
      </c>
      <c r="BC97" s="0" t="n">
        <f aca="false">AV97-AY97</f>
        <v>-0.863826864672564</v>
      </c>
      <c r="BD97" s="0" t="n">
        <f aca="false">BC97*180/Pi-180</f>
        <v>-229.493633632311</v>
      </c>
      <c r="BF97" s="0" t="n">
        <f aca="false">20*LOG(BA97*J97*F97*C97)</f>
        <v>58.4685762427794</v>
      </c>
      <c r="BG97" s="0" t="n">
        <f aca="false">(180/Pi)*(D97+H97+BC97)</f>
        <v>-93.4474602108276</v>
      </c>
      <c r="BH97" s="0" t="n">
        <f aca="false">IF(BG97&gt;180,BG97-180,BG97+180)</f>
        <v>86.5525397891724</v>
      </c>
      <c r="BI97" s="0" t="n">
        <f aca="false">IF(BH97&gt;180,BH97-360,BH97)</f>
        <v>86.5525397891724</v>
      </c>
      <c r="BJ97" s="0" t="n">
        <f aca="false">SUM((BF98&lt;0)*(BF97&gt;0))*A97</f>
        <v>0</v>
      </c>
      <c r="BK97" s="0" t="n">
        <f aca="false">IF(BJ97&gt;0,BI97,0)</f>
        <v>0</v>
      </c>
      <c r="BM97" s="0" t="n">
        <f aca="false">20*LOG(J97*F97*C97)</f>
        <v>22.6978025013719</v>
      </c>
      <c r="BN97" s="0" t="n">
        <f aca="false">(H97+D97)*180/Pi</f>
        <v>-43.9538265785164</v>
      </c>
      <c r="BQ97" s="347" t="n">
        <f aca="false">20*LOG(BA97*7)</f>
        <v>52.6727345416926</v>
      </c>
      <c r="BR97" s="353"/>
      <c r="BS97" s="353"/>
      <c r="BT97" s="353" t="n">
        <v>741.31</v>
      </c>
      <c r="BU97" s="353" t="n">
        <v>17.4164</v>
      </c>
      <c r="BV97" s="353" t="n">
        <v>-262.1972</v>
      </c>
      <c r="BW97" s="349"/>
      <c r="BY97" s="353"/>
      <c r="BZ97" s="353"/>
      <c r="CA97" s="353"/>
      <c r="CC97" s="353"/>
    </row>
    <row r="98" customFormat="false" ht="12.75" hidden="false" customHeight="false" outlineLevel="0" collapsed="false">
      <c r="A98" s="0" t="n">
        <f aca="false">A97+500</f>
        <v>32000</v>
      </c>
      <c r="B98" s="0" t="n">
        <f aca="false">A98/1000</f>
        <v>32</v>
      </c>
      <c r="C98" s="0" t="n">
        <f aca="false">SQRT((A98/Fesr)^2+1)</f>
        <v>1.00000002021295</v>
      </c>
      <c r="D98" s="0" t="n">
        <f aca="false">ATAN(A98/Fesr)</f>
        <v>0.00020106192689063</v>
      </c>
      <c r="F98" s="0" t="n">
        <f aca="false">(Ro/(Ro+Rdcr))/SQRT((A98/(Q*Fo))^2+(1-(A98^2/Fo^2))^2)</f>
        <v>1.53208050327562</v>
      </c>
      <c r="G98" s="0" t="n">
        <f aca="false">-ATAN(A98*Fo/(Q*(Fo^2-A98^2)))</f>
        <v>-0.793490323342648</v>
      </c>
      <c r="H98" s="0" t="n">
        <f aca="false">IF(G98&gt;0,G98-Pi,G98)</f>
        <v>-0.793490323342648</v>
      </c>
      <c r="J98" s="0" t="n">
        <f aca="false">Vin/Vramp</f>
        <v>9</v>
      </c>
      <c r="M98" s="0" t="n">
        <f aca="false">1/(2*Pi*_Rfb1*(Cc1ea_u+Cc2ea_u)*A98)</f>
        <v>0.184207110270551</v>
      </c>
      <c r="N98" s="0" t="n">
        <f aca="false">-Pi/2</f>
        <v>-1.570796325</v>
      </c>
      <c r="O98" s="0" t="n">
        <f aca="false">SQRT(1+(A98/Fz1_u)^2)</f>
        <v>1.26929109705082</v>
      </c>
      <c r="P98" s="0" t="n">
        <f aca="false">ATAN2(Fz1_u,A98)</f>
        <v>0.663500239032458</v>
      </c>
      <c r="Q98" s="0" t="n">
        <f aca="false">SQRT(1+(A98/Fz2_u)^2)</f>
        <v>887.043976183934</v>
      </c>
      <c r="R98" s="0" t="n">
        <f aca="false">ATAN2(Fz2_u,A98)</f>
        <v>1.5696689867321</v>
      </c>
      <c r="S98" s="0" t="n">
        <f aca="false">1/SQRT(1+(A98/Fp1_u)^2)</f>
        <v>0.38862369032979</v>
      </c>
      <c r="T98" s="0" t="n">
        <f aca="false">-ATAN2(Fp1_u,A98)</f>
        <v>-1.17165892677863</v>
      </c>
      <c r="U98" s="0" t="n">
        <f aca="false">1/SQRT(1+(A98/Fp2_u)^2)</f>
        <v>0.996248989631988</v>
      </c>
      <c r="V98" s="0" t="n">
        <f aca="false">-ATAN2(Fp2_u,A98)</f>
        <v>-0.0866413034253118</v>
      </c>
      <c r="X98" s="0" t="n">
        <f aca="false">20*LOG(C98*J98*O98*Q98*F98*M98*S98*U98)</f>
        <v>60.8846808819779</v>
      </c>
      <c r="Y98" s="0" t="n">
        <f aca="false">(180/Pi)*(D98+H98+N98+P98+R98+T98+V98)</f>
        <v>-79.5962475765042</v>
      </c>
      <c r="Z98" s="0" t="n">
        <f aca="false">Y98+180</f>
        <v>100.403752423496</v>
      </c>
      <c r="AC98" s="0" t="n">
        <v>1</v>
      </c>
      <c r="AD98" s="0" t="n">
        <f aca="false">Rcea1_u*Cc1ea_u*A98*2*Pi</f>
        <v>0.7817287822848</v>
      </c>
      <c r="AE98" s="0" t="n">
        <f aca="false">-Rcea1_u*Cc1ea_u*Cc2ea_u*(A98*2*Pi)^2</f>
        <v>-2.3576384608506E-005</v>
      </c>
      <c r="AF98" s="0" t="n">
        <f aca="false">(Cc2ea_u+Cc1ea_u)*A98*2*Pi</f>
        <v>0.00027143360496</v>
      </c>
      <c r="AG98" s="0" t="n">
        <f aca="false">AC98*AE98/(AE98^2+AF98^2)+AD98*AF98/(AE98^2+AF98^2)</f>
        <v>2540.83084631746</v>
      </c>
      <c r="AH98" s="0" t="n">
        <f aca="false">AD98*AE98/(AE98^2+AF98^2)-AC98*AF98/(AE98^2+AF98^2)</f>
        <v>-3904.83560579807</v>
      </c>
      <c r="AJ98" s="0" t="n">
        <f aca="false">_Rfb1</f>
        <v>20000</v>
      </c>
      <c r="AK98" s="0" t="n">
        <f aca="false">_Rfb1*Rcea2_u*Cc3ea_u*A98*2*Pi</f>
        <v>47418.445476864</v>
      </c>
      <c r="AL98" s="0" t="n">
        <v>1</v>
      </c>
      <c r="AM98" s="0" t="n">
        <f aca="false">(_Rfb1+Rcea2_u)*Cc3ea_u*A98*2*Pi</f>
        <v>887.043412513843</v>
      </c>
      <c r="AN98" s="0" t="n">
        <f aca="false">AJ98*AL98/(AL98^2+AM98^2)+AK98*AM98/(AL98^2+AM98^2)</f>
        <v>53.4820859113336</v>
      </c>
      <c r="AO98" s="0" t="n">
        <f aca="false">AK98*AL98/(AL98^2+AM98^2)-AJ98*AM98/(AL98^2+AM98^2)</f>
        <v>-22.4865182838809</v>
      </c>
      <c r="AQ98" s="0" t="n">
        <f aca="false">Eadcg/(1+(Eadcg*A98/GBP)^2)</f>
        <v>11.0794007744284</v>
      </c>
      <c r="AR98" s="0" t="n">
        <f aca="false">-(A98*Eadcg*Eadcg/GBP)/(1+(Eadcg*A98/GBP)^2)</f>
        <v>-186.84301465996</v>
      </c>
      <c r="AT98" s="0" t="n">
        <f aca="false">-AR98*AH98+AG98*AQ98</f>
        <v>-701440.373092483</v>
      </c>
      <c r="AU98" s="0" t="n">
        <f aca="false">AQ98*AH98+AG98*AR98</f>
        <v>-517999.733701867</v>
      </c>
      <c r="AV98" s="0" t="n">
        <f aca="false">ATAN2(AT98,AU98)</f>
        <v>-2.50550516095104</v>
      </c>
      <c r="AW98" s="0" t="n">
        <f aca="false">AG98-AH98*AO98/_Rfb2+AG98*AN98/_Rfb2+AN98-AO98*AR98+AQ98*AN98</f>
        <v>-992.949219710148</v>
      </c>
      <c r="AX98" s="0" t="n">
        <f aca="false">AH98+AH98*AN98/_Rfb2+AG98*AO98/_Rfb2+AO98+AO98*AQ98+AN98*AR98</f>
        <v>-14288.9013708265</v>
      </c>
      <c r="AY98" s="0" t="n">
        <f aca="false">ATAN2(AW98,AX98)</f>
        <v>-1.6401757349605</v>
      </c>
      <c r="BA98" s="0" t="n">
        <f aca="false">SQRT(AT98^2+AU98^2)/SQRT(AW98^2+AX98^2)</f>
        <v>60.8779003269837</v>
      </c>
      <c r="BB98" s="0" t="n">
        <f aca="false">20*LOG(BA98)</f>
        <v>35.6891933049054</v>
      </c>
      <c r="BC98" s="0" t="n">
        <f aca="false">AV98-AY98</f>
        <v>-0.865329425990535</v>
      </c>
      <c r="BD98" s="0" t="n">
        <f aca="false">BC98*180/Pi-180</f>
        <v>-229.579724054389</v>
      </c>
      <c r="BF98" s="0" t="n">
        <f aca="false">20*LOG(BA98*J98*F98*C98)</f>
        <v>58.4796753878518</v>
      </c>
      <c r="BG98" s="0" t="n">
        <f aca="false">(180/Pi)*(D98+H98+BC98)</f>
        <v>-95.0318507184986</v>
      </c>
      <c r="BH98" s="0" t="n">
        <f aca="false">IF(BG98&gt;180,BG98-180,BG98+180)</f>
        <v>84.9681492815014</v>
      </c>
      <c r="BI98" s="0" t="n">
        <f aca="false">IF(BH98&gt;180,BH98-360,BH98)</f>
        <v>84.9681492815014</v>
      </c>
      <c r="BJ98" s="0" t="n">
        <f aca="false">SUM((BF99&lt;0)*(BF98&gt;0))*A98</f>
        <v>0</v>
      </c>
      <c r="BK98" s="0" t="n">
        <f aca="false">IF(BJ98&gt;0,BI98,0)</f>
        <v>0</v>
      </c>
      <c r="BM98" s="0" t="n">
        <f aca="false">20*LOG(J98*F98*C98)</f>
        <v>22.7904820829464</v>
      </c>
      <c r="BN98" s="0" t="n">
        <f aca="false">(H98+D98)*180/Pi</f>
        <v>-45.4521266641098</v>
      </c>
      <c r="BQ98" s="347" t="n">
        <f aca="false">20*LOG(BA98*7)</f>
        <v>52.5911541051906</v>
      </c>
      <c r="BR98" s="353"/>
      <c r="BS98" s="353"/>
      <c r="BT98" s="353" t="n">
        <v>758.578</v>
      </c>
      <c r="BU98" s="353" t="n">
        <v>17.2832</v>
      </c>
      <c r="BV98" s="353" t="n">
        <v>-262.5669</v>
      </c>
      <c r="BW98" s="349"/>
      <c r="BY98" s="353"/>
      <c r="BZ98" s="353"/>
      <c r="CA98" s="353"/>
      <c r="CC98" s="353"/>
    </row>
    <row r="99" customFormat="false" ht="12.75" hidden="false" customHeight="false" outlineLevel="0" collapsed="false">
      <c r="A99" s="0" t="n">
        <f aca="false">A98+500</f>
        <v>32500</v>
      </c>
      <c r="B99" s="0" t="n">
        <f aca="false">A99/1000</f>
        <v>32.5</v>
      </c>
      <c r="C99" s="0" t="n">
        <f aca="false">SQRT((A99/Fesr)^2+1)</f>
        <v>1.00000002084954</v>
      </c>
      <c r="D99" s="0" t="n">
        <f aca="false">ATAN(A99/Fesr)</f>
        <v>0.000204203519411634</v>
      </c>
      <c r="F99" s="0" t="n">
        <f aca="false">(Ro/(Ro+Rdcr))/SQRT((A99/(Q*Fo))^2+(1-(A99^2/Fo^2))^2)</f>
        <v>1.54803962493855</v>
      </c>
      <c r="G99" s="0" t="n">
        <f aca="false">-ATAN(A99*Fo/(Q*(Fo^2-A99^2)))</f>
        <v>-0.820496154145549</v>
      </c>
      <c r="H99" s="0" t="n">
        <f aca="false">IF(G99&gt;0,G99-Pi,G99)</f>
        <v>-0.820496154145549</v>
      </c>
      <c r="J99" s="0" t="n">
        <f aca="false">Vin/Vramp</f>
        <v>9</v>
      </c>
      <c r="M99" s="0" t="n">
        <f aca="false">1/(2*Pi*_Rfb1*(Cc1ea_u+Cc2ea_u)*A99)</f>
        <v>0.181373154727928</v>
      </c>
      <c r="N99" s="0" t="n">
        <f aca="false">-Pi/2</f>
        <v>-1.570796325</v>
      </c>
      <c r="O99" s="0" t="n">
        <f aca="false">SQRT(1+(A99/Fz1_u)^2)</f>
        <v>1.27685001268521</v>
      </c>
      <c r="P99" s="0" t="n">
        <f aca="false">ATAN2(Fz1_u,A99)</f>
        <v>0.671036902458178</v>
      </c>
      <c r="Q99" s="0" t="n">
        <f aca="false">SQRT(1+(A99/Fz2_u)^2)</f>
        <v>900.904020832621</v>
      </c>
      <c r="R99" s="0" t="n">
        <f aca="false">ATAN2(Fz2_u,A99)</f>
        <v>1.56968633041102</v>
      </c>
      <c r="S99" s="0" t="n">
        <f aca="false">1/SQRT(1+(A99/Fp1_u)^2)</f>
        <v>0.383530168693083</v>
      </c>
      <c r="T99" s="0" t="n">
        <f aca="false">-ATAN2(Fp1_u,A99)</f>
        <v>-1.17718057014031</v>
      </c>
      <c r="U99" s="0" t="n">
        <f aca="false">1/SQRT(1+(A99/Fp2_u)^2)</f>
        <v>0.996131539413452</v>
      </c>
      <c r="V99" s="0" t="n">
        <f aca="false">-ATAN2(Fp2_u,A99)</f>
        <v>-0.0879881506483334</v>
      </c>
      <c r="X99" s="0" t="n">
        <f aca="false">20*LOG(C99*J99*O99*Q99*F99*M99*S99*U99)</f>
        <v>60.9106446257746</v>
      </c>
      <c r="Y99" s="0" t="n">
        <f aca="false">(180/Pi)*(D99+H99+N99+P99+R99+T99+V99)</f>
        <v>-81.1041105021064</v>
      </c>
      <c r="Z99" s="0" t="n">
        <f aca="false">Y99+180</f>
        <v>98.8958894978936</v>
      </c>
      <c r="AC99" s="0" t="n">
        <v>1</v>
      </c>
      <c r="AD99" s="0" t="n">
        <f aca="false">Rcea1_u*Cc1ea_u*A99*2*Pi</f>
        <v>0.793943294508</v>
      </c>
      <c r="AE99" s="0" t="n">
        <f aca="false">-Rcea1_u*Cc1ea_u*Cc2ea_u*(A99*2*Pi)^2</f>
        <v>-2.43189025807954E-005</v>
      </c>
      <c r="AF99" s="0" t="n">
        <f aca="false">(Cc2ea_u+Cc1ea_u)*A99*2*Pi</f>
        <v>0.0002756747550375</v>
      </c>
      <c r="AG99" s="0" t="n">
        <f aca="false">AC99*AE99/(AE99^2+AF99^2)+AD99*AF99/(AE99^2+AF99^2)</f>
        <v>2540.23179216439</v>
      </c>
      <c r="AH99" s="0" t="n">
        <f aca="false">AD99*AE99/(AE99^2+AF99^2)-AC99*AF99/(AE99^2+AF99^2)</f>
        <v>-3851.55198321243</v>
      </c>
      <c r="AJ99" s="0" t="n">
        <f aca="false">_Rfb1</f>
        <v>20000</v>
      </c>
      <c r="AK99" s="0" t="n">
        <f aca="false">_Rfb1*Rcea2_u*Cc3ea_u*A99*2*Pi</f>
        <v>48159.35868744</v>
      </c>
      <c r="AL99" s="0" t="n">
        <v>1</v>
      </c>
      <c r="AM99" s="0" t="n">
        <f aca="false">(_Rfb1+Rcea2_u)*Cc3ea_u*A99*2*Pi</f>
        <v>900.903465834372</v>
      </c>
      <c r="AN99" s="0" t="n">
        <f aca="false">AJ99*AL99/(AL99^2+AM99^2)+AK99*AM99/(AL99^2+AM99^2)</f>
        <v>53.4813119133964</v>
      </c>
      <c r="AO99" s="0" t="n">
        <f aca="false">AK99*AL99/(AL99^2+AM99^2)-AJ99*AM99/(AL99^2+AM99^2)</f>
        <v>-22.1405727078796</v>
      </c>
      <c r="AQ99" s="0" t="n">
        <f aca="false">Eadcg/(1+(Eadcg*A99/GBP)^2)</f>
        <v>10.7422677255858</v>
      </c>
      <c r="AR99" s="0" t="n">
        <f aca="false">-(A99*Eadcg*Eadcg/GBP)/(1+(Eadcg*A99/GBP)^2)</f>
        <v>-183.98819046997</v>
      </c>
      <c r="AT99" s="0" t="n">
        <f aca="false">-AR99*AH99+AG99*AQ99</f>
        <v>-681352.229895806</v>
      </c>
      <c r="AU99" s="0" t="n">
        <f aca="false">AQ99*AH99+AG99*AR99</f>
        <v>-508747.053377294</v>
      </c>
      <c r="AV99" s="0" t="n">
        <f aca="false">ATAN2(AT99,AU99)</f>
        <v>-2.50022447254367</v>
      </c>
      <c r="AW99" s="0" t="n">
        <f aca="false">AG99-AH99*AO99/_Rfb2+AG99*AN99/_Rfb2+AN99-AO99*AR99+AQ99*AN99</f>
        <v>-882.61952058556</v>
      </c>
      <c r="AX99" s="0" t="n">
        <f aca="false">AH99+AH99*AN99/_Rfb2+AG99*AO99/_Rfb2+AO99+AO99*AQ99+AN99*AR99</f>
        <v>-14069.4650262964</v>
      </c>
      <c r="AY99" s="0" t="n">
        <f aca="false">ATAN2(AW99,AX99)</f>
        <v>-1.6334472105991</v>
      </c>
      <c r="BA99" s="0" t="n">
        <f aca="false">SQRT(AT99^2+AU99^2)/SQRT(AW99^2+AX99^2)</f>
        <v>60.319540315901</v>
      </c>
      <c r="BB99" s="0" t="n">
        <f aca="false">20*LOG(BA99)</f>
        <v>35.6091604639226</v>
      </c>
      <c r="BC99" s="0" t="n">
        <f aca="false">AV99-AY99</f>
        <v>-0.866777261944575</v>
      </c>
      <c r="BD99" s="0" t="n">
        <f aca="false">BC99*180/Pi-180</f>
        <v>-229.662678944077</v>
      </c>
      <c r="BF99" s="0" t="n">
        <f aca="false">20*LOG(BA99*J99*F99*C99)</f>
        <v>58.4896522950057</v>
      </c>
      <c r="BG99" s="0" t="n">
        <f aca="false">(180/Pi)*(D99+H99+BC99)</f>
        <v>-96.6619457372133</v>
      </c>
      <c r="BH99" s="0" t="n">
        <f aca="false">IF(BG99&gt;180,BG99-180,BG99+180)</f>
        <v>83.3380542627867</v>
      </c>
      <c r="BI99" s="0" t="n">
        <f aca="false">IF(BH99&gt;180,BH99-360,BH99)</f>
        <v>83.3380542627867</v>
      </c>
      <c r="BJ99" s="0" t="n">
        <f aca="false">SUM((BF100&lt;0)*(BF99&gt;0))*A99</f>
        <v>0</v>
      </c>
      <c r="BK99" s="0" t="n">
        <f aca="false">IF(BJ99&gt;0,BI99,0)</f>
        <v>0</v>
      </c>
      <c r="BM99" s="0" t="n">
        <f aca="false">20*LOG(J99*F99*C99)</f>
        <v>22.8804918310832</v>
      </c>
      <c r="BN99" s="0" t="n">
        <f aca="false">(H99+D99)*180/Pi</f>
        <v>-46.9992667931359</v>
      </c>
      <c r="BQ99" s="347" t="n">
        <f aca="false">20*LOG(BA99*7)</f>
        <v>52.5111212642077</v>
      </c>
      <c r="BR99" s="353"/>
      <c r="BS99" s="353"/>
      <c r="BT99" s="353" t="n">
        <v>776.247</v>
      </c>
      <c r="BU99" s="353" t="n">
        <v>17.0071</v>
      </c>
      <c r="BV99" s="353" t="n">
        <v>-262.7177</v>
      </c>
      <c r="BW99" s="349"/>
      <c r="BY99" s="353"/>
      <c r="BZ99" s="353"/>
      <c r="CA99" s="353"/>
      <c r="CC99" s="353"/>
    </row>
    <row r="100" customFormat="false" ht="12.75" hidden="false" customHeight="false" outlineLevel="0" collapsed="false">
      <c r="A100" s="0" t="n">
        <f aca="false">A99+500</f>
        <v>33000</v>
      </c>
      <c r="B100" s="0" t="n">
        <f aca="false">A100/1000</f>
        <v>33</v>
      </c>
      <c r="C100" s="0" t="n">
        <f aca="false">SQRT((A100/Fesr)^2+1)</f>
        <v>1.000000021496</v>
      </c>
      <c r="D100" s="0" t="n">
        <f aca="false">ATAN(A100/Fesr)</f>
        <v>0.000207345111928607</v>
      </c>
      <c r="F100" s="0" t="n">
        <f aca="false">(Ro/(Ro+Rdcr))/SQRT((A100/(Q*Fo))^2+(1-(A100^2/Fo^2))^2)</f>
        <v>1.56359294761271</v>
      </c>
      <c r="G100" s="0" t="n">
        <f aca="false">-ATAN(A100*Fo/(Q*(Fo^2-A100^2)))</f>
        <v>-0.848364801778058</v>
      </c>
      <c r="H100" s="0" t="n">
        <f aca="false">IF(G100&gt;0,G100-Pi,G100)</f>
        <v>-0.848364801778058</v>
      </c>
      <c r="J100" s="0" t="n">
        <f aca="false">Vin/Vramp</f>
        <v>9</v>
      </c>
      <c r="M100" s="0" t="n">
        <f aca="false">1/(2*Pi*_Rfb1*(Cc1ea_u+Cc2ea_u)*A100)</f>
        <v>0.178625076625989</v>
      </c>
      <c r="N100" s="0" t="n">
        <f aca="false">-Pi/2</f>
        <v>-1.570796325</v>
      </c>
      <c r="O100" s="0" t="n">
        <f aca="false">SQRT(1+(A100/Fz1_u)^2)</f>
        <v>1.28448059905693</v>
      </c>
      <c r="P100" s="0" t="n">
        <f aca="false">ATAN2(Fz1_u,A100)</f>
        <v>0.678484440136447</v>
      </c>
      <c r="Q100" s="0" t="n">
        <f aca="false">SQRT(1+(A100/Fz2_u)^2)</f>
        <v>914.76406574409</v>
      </c>
      <c r="R100" s="0" t="n">
        <f aca="false">ATAN2(Fz2_u,A100)</f>
        <v>1.56970314852454</v>
      </c>
      <c r="S100" s="0" t="n">
        <f aca="false">1/SQRT(1+(A100/Fp1_u)^2)</f>
        <v>0.37855733949715</v>
      </c>
      <c r="T100" s="0" t="n">
        <f aca="false">-ATAN2(Fp1_u,A100)</f>
        <v>-1.18255918737218</v>
      </c>
      <c r="U100" s="0" t="n">
        <f aca="false">1/SQRT(1+(A100/Fp2_u)^2)</f>
        <v>0.996012310761648</v>
      </c>
      <c r="V100" s="0" t="n">
        <f aca="false">-ATAN2(Fp2_u,A100)</f>
        <v>-0.0893346779006698</v>
      </c>
      <c r="X100" s="0" t="n">
        <f aca="false">20*LOG(C100*J100*O100*Q100*F100*M100*S100*U100)</f>
        <v>60.9348334400247</v>
      </c>
      <c r="Y100" s="0" t="n">
        <f aca="false">(180/Pi)*(D100+H100+N100+P100+R100+T100+V100)</f>
        <v>-82.6583327058771</v>
      </c>
      <c r="Z100" s="0" t="n">
        <f aca="false">Y100+180</f>
        <v>97.3416672941229</v>
      </c>
      <c r="AC100" s="0" t="n">
        <v>1</v>
      </c>
      <c r="AD100" s="0" t="n">
        <f aca="false">Rcea1_u*Cc1ea_u*A100*2*Pi</f>
        <v>0.8061578067312</v>
      </c>
      <c r="AE100" s="0" t="n">
        <f aca="false">-Rcea1_u*Cc1ea_u*Cc2ea_u*(A100*2*Pi)^2</f>
        <v>-2.50729324596319E-005</v>
      </c>
      <c r="AF100" s="0" t="n">
        <f aca="false">(Cc2ea_u+Cc1ea_u)*A100*2*Pi</f>
        <v>0.000279915905115</v>
      </c>
      <c r="AG100" s="0" t="n">
        <f aca="false">AC100*AE100/(AE100^2+AF100^2)+AD100*AF100/(AE100^2+AF100^2)</f>
        <v>2539.62373936322</v>
      </c>
      <c r="AH100" s="0" t="n">
        <f aca="false">AD100*AE100/(AE100^2+AF100^2)-AC100*AF100/(AE100^2+AF100^2)</f>
        <v>-3799.98347736951</v>
      </c>
      <c r="AJ100" s="0" t="n">
        <f aca="false">_Rfb1</f>
        <v>20000</v>
      </c>
      <c r="AK100" s="0" t="n">
        <f aca="false">_Rfb1*Rcea2_u*Cc3ea_u*A100*2*Pi</f>
        <v>48900.271898016</v>
      </c>
      <c r="AL100" s="0" t="n">
        <v>1</v>
      </c>
      <c r="AM100" s="0" t="n">
        <f aca="false">(_Rfb1+Rcea2_u)*Cc3ea_u*A100*2*Pi</f>
        <v>914.763519154901</v>
      </c>
      <c r="AN100" s="0" t="n">
        <f aca="false">AJ100*AL100/(AL100^2+AM100^2)+AK100*AM100/(AL100^2+AM100^2)</f>
        <v>53.4805728299106</v>
      </c>
      <c r="AO100" s="0" t="n">
        <f aca="false">AK100*AL100/(AL100^2+AM100^2)-AJ100*AM100/(AL100^2+AM100^2)</f>
        <v>-21.8051102929832</v>
      </c>
      <c r="AQ100" s="0" t="n">
        <f aca="false">Eadcg/(1+(Eadcg*A100/GBP)^2)</f>
        <v>10.4202751716535</v>
      </c>
      <c r="AR100" s="0" t="n">
        <f aca="false">-(A100*Eadcg*Eadcg/GBP)/(1+(Eadcg*A100/GBP)^2)</f>
        <v>-181.219005510226</v>
      </c>
      <c r="AT100" s="0" t="n">
        <f aca="false">-AR100*AH100+AG100*AQ100</f>
        <v>-662165.648527566</v>
      </c>
      <c r="AU100" s="0" t="n">
        <f aca="false">AQ100*AH100+AG100*AR100</f>
        <v>-499824.961899493</v>
      </c>
      <c r="AV100" s="0" t="n">
        <f aca="false">ATAN2(AT100,AU100)</f>
        <v>-2.49500513278043</v>
      </c>
      <c r="AW100" s="0" t="n">
        <f aca="false">AG100-AH100*AO100/_Rfb2+AG100*AN100/_Rfb2+AN100-AO100*AR100+AQ100*AN100</f>
        <v>-777.281141833652</v>
      </c>
      <c r="AX100" s="0" t="n">
        <f aca="false">AH100+AH100*AN100/_Rfb2+AG100*AO100/_Rfb2+AO100+AO100*AQ100+AN100*AR100</f>
        <v>-13857.0709904013</v>
      </c>
      <c r="AY100" s="0" t="n">
        <f aca="false">ATAN2(AW100,AX100)</f>
        <v>-1.62683035205811</v>
      </c>
      <c r="BA100" s="0" t="n">
        <f aca="false">SQRT(AT100^2+AU100^2)/SQRT(AW100^2+AX100^2)</f>
        <v>59.7766544899578</v>
      </c>
      <c r="BB100" s="0" t="n">
        <f aca="false">20*LOG(BA100)</f>
        <v>35.5306321059328</v>
      </c>
      <c r="BC100" s="0" t="n">
        <f aca="false">AV100-AY100</f>
        <v>-0.868174780722325</v>
      </c>
      <c r="BD100" s="0" t="n">
        <f aca="false">BC100*180/Pi-180</f>
        <v>-229.742750871924</v>
      </c>
      <c r="BF100" s="0" t="n">
        <f aca="false">20*LOG(BA100*J100*F100*C100)</f>
        <v>58.4979565401223</v>
      </c>
      <c r="BG100" s="0" t="n">
        <f aca="false">(180/Pi)*(D100+H100+BC100)</f>
        <v>-98.3385935569724</v>
      </c>
      <c r="BH100" s="0" t="n">
        <f aca="false">IF(BG100&gt;180,BG100-180,BG100+180)</f>
        <v>81.6614064430276</v>
      </c>
      <c r="BI100" s="0" t="n">
        <f aca="false">IF(BH100&gt;180,BH100-360,BH100)</f>
        <v>81.6614064430276</v>
      </c>
      <c r="BJ100" s="0" t="n">
        <f aca="false">SUM((BF101&lt;0)*(BF100&gt;0))*A100</f>
        <v>0</v>
      </c>
      <c r="BK100" s="0" t="n">
        <f aca="false">IF(BJ100&gt;0,BI100,0)</f>
        <v>0</v>
      </c>
      <c r="BM100" s="0" t="n">
        <f aca="false">20*LOG(J100*F100*C100)</f>
        <v>22.9673244341895</v>
      </c>
      <c r="BN100" s="0" t="n">
        <f aca="false">(H100+D100)*180/Pi</f>
        <v>-48.5958426850481</v>
      </c>
      <c r="BQ100" s="347" t="n">
        <f aca="false">20*LOG(BA100*7)</f>
        <v>52.4325929062179</v>
      </c>
      <c r="BR100" s="353"/>
      <c r="BS100" s="353"/>
      <c r="BT100" s="353" t="n">
        <v>794.328</v>
      </c>
      <c r="BU100" s="353" t="n">
        <v>16.8354</v>
      </c>
      <c r="BV100" s="353" t="n">
        <v>-262.7938</v>
      </c>
      <c r="BW100" s="349"/>
      <c r="BY100" s="353"/>
      <c r="BZ100" s="353"/>
      <c r="CA100" s="353"/>
      <c r="CC100" s="353"/>
    </row>
    <row r="101" customFormat="false" ht="12.75" hidden="false" customHeight="false" outlineLevel="0" collapsed="false">
      <c r="A101" s="0" t="n">
        <f aca="false">A100+500</f>
        <v>33500</v>
      </c>
      <c r="B101" s="0" t="n">
        <f aca="false">A101/1000</f>
        <v>33.5</v>
      </c>
      <c r="C101" s="0" t="n">
        <f aca="false">SQRT((A101/Fesr)^2+1)</f>
        <v>1.00000002215233</v>
      </c>
      <c r="D101" s="0" t="n">
        <f aca="false">ATAN(A101/Fesr)</f>
        <v>0.000210486704441486</v>
      </c>
      <c r="F101" s="0" t="n">
        <f aca="false">(Ro/(Ro+Rdcr))/SQRT((A101/(Q*Fo))^2+(1-(A101^2/Fo^2))^2)</f>
        <v>1.5786270489856</v>
      </c>
      <c r="G101" s="0" t="n">
        <f aca="false">-ATAN(A101*Fo/(Q*(Fo^2-A101^2)))</f>
        <v>-0.877102356030899</v>
      </c>
      <c r="H101" s="0" t="n">
        <f aca="false">IF(G101&gt;0,G101-Pi,G101)</f>
        <v>-0.877102356030899</v>
      </c>
      <c r="J101" s="0" t="n">
        <f aca="false">Vin/Vramp</f>
        <v>9</v>
      </c>
      <c r="M101" s="0" t="n">
        <f aca="false">1/(2*Pi*_Rfb1*(Cc1ea_u+Cc2ea_u)*A101)</f>
        <v>0.175959030706198</v>
      </c>
      <c r="N101" s="0" t="n">
        <f aca="false">-Pi/2</f>
        <v>-1.570796325</v>
      </c>
      <c r="O101" s="0" t="n">
        <f aca="false">SQRT(1+(A101/Fz1_u)^2)</f>
        <v>1.29218158647723</v>
      </c>
      <c r="P101" s="0" t="n">
        <f aca="false">ATAN2(Fz1_u,A101)</f>
        <v>0.685843612101743</v>
      </c>
      <c r="Q101" s="0" t="n">
        <f aca="false">SQRT(1+(A101/Fz2_u)^2)</f>
        <v>928.624110906576</v>
      </c>
      <c r="R101" s="0" t="n">
        <f aca="false">ATAN2(Fz2_u,A101)</f>
        <v>1.56971946460542</v>
      </c>
      <c r="S101" s="0" t="n">
        <f aca="false">1/SQRT(1+(A101/Fp1_u)^2)</f>
        <v>0.373701415258898</v>
      </c>
      <c r="T101" s="0" t="n">
        <f aca="false">-ATAN2(Fp1_u,A101)</f>
        <v>-1.18779996513986</v>
      </c>
      <c r="U101" s="0" t="n">
        <f aca="false">1/SQRT(1+(A101/Fp2_u)^2)</f>
        <v>0.995891305611917</v>
      </c>
      <c r="V101" s="0" t="n">
        <f aca="false">-ATAN2(Fp2_u,A101)</f>
        <v>-0.0906808804152147</v>
      </c>
      <c r="X101" s="0" t="n">
        <f aca="false">20*LOG(C101*J101*O101*Q101*F101*M101*S101*U101)</f>
        <v>60.9566761409704</v>
      </c>
      <c r="Y101" s="0" t="n">
        <f aca="false">(180/Pi)*(D101+H101+N101+P101+R101+T101+V101)</f>
        <v>-84.2595151129433</v>
      </c>
      <c r="Z101" s="0" t="n">
        <f aca="false">Y101+180</f>
        <v>95.7404848870567</v>
      </c>
      <c r="AC101" s="0" t="n">
        <v>1</v>
      </c>
      <c r="AD101" s="0" t="n">
        <f aca="false">Rcea1_u*Cc1ea_u*A101*2*Pi</f>
        <v>0.8183723189544</v>
      </c>
      <c r="AE101" s="0" t="n">
        <f aca="false">-Rcea1_u*Cc1ea_u*Cc2ea_u*(A101*2*Pi)^2</f>
        <v>-2.58384742450155E-005</v>
      </c>
      <c r="AF101" s="0" t="n">
        <f aca="false">(Cc2ea_u+Cc1ea_u)*A101*2*Pi</f>
        <v>0.0002841570551925</v>
      </c>
      <c r="AG101" s="0" t="n">
        <f aca="false">AC101*AE101/(AE101^2+AF101^2)+AD101*AF101/(AE101^2+AF101^2)</f>
        <v>2539.00670103913</v>
      </c>
      <c r="AH101" s="0" t="n">
        <f aca="false">AD101*AE101/(AE101^2+AF101^2)-AC101*AF101/(AE101^2+AF101^2)</f>
        <v>-3750.05314765398</v>
      </c>
      <c r="AJ101" s="0" t="n">
        <f aca="false">_Rfb1</f>
        <v>20000</v>
      </c>
      <c r="AK101" s="0" t="n">
        <f aca="false">_Rfb1*Rcea2_u*Cc3ea_u*A101*2*Pi</f>
        <v>49641.185108592</v>
      </c>
      <c r="AL101" s="0" t="n">
        <v>1</v>
      </c>
      <c r="AM101" s="0" t="n">
        <f aca="false">(_Rfb1+Rcea2_u)*Cc3ea_u*A101*2*Pi</f>
        <v>928.62357247543</v>
      </c>
      <c r="AN101" s="0" t="n">
        <f aca="false">AJ101*AL101/(AL101^2+AM101^2)+AK101*AM101/(AL101^2+AM101^2)</f>
        <v>53.4798665920708</v>
      </c>
      <c r="AO101" s="0" t="n">
        <f aca="false">AK101*AL101/(AL101^2+AM101^2)-AJ101*AM101/(AL101^2+AM101^2)</f>
        <v>-21.4796616461464</v>
      </c>
      <c r="AQ101" s="0" t="n">
        <f aca="false">Eadcg/(1+(Eadcg*A101/GBP)^2)</f>
        <v>10.1125308408105</v>
      </c>
      <c r="AR101" s="0" t="n">
        <f aca="false">-(A101*Eadcg*Eadcg/GBP)/(1+(Eadcg*A101/GBP)^2)</f>
        <v>-178.531675729088</v>
      </c>
      <c r="AT101" s="0" t="n">
        <f aca="false">-AR101*AH101+AG101*AQ101</f>
        <v>-643827.488954525</v>
      </c>
      <c r="AU101" s="0" t="n">
        <f aca="false">AQ101*AH101+AG101*AR101</f>
        <v>-491215.64913423</v>
      </c>
      <c r="AV101" s="0" t="n">
        <f aca="false">ATAN2(AT101,AU101)</f>
        <v>-2.48984760091973</v>
      </c>
      <c r="AW101" s="0" t="n">
        <f aca="false">AG101-AH101*AO101/_Rfb2+AG101*AN101/_Rfb2+AN101-AO101*AR101+AQ101*AN101</f>
        <v>-676.640479777827</v>
      </c>
      <c r="AX101" s="0" t="n">
        <f aca="false">AH101+AH101*AN101/_Rfb2+AG101*AO101/_Rfb2+AO101+AO101*AQ101+AN101*AR101</f>
        <v>-13651.3869567048</v>
      </c>
      <c r="AY101" s="0" t="n">
        <f aca="false">ATAN2(AW101,AX101)</f>
        <v>-1.62032149103586</v>
      </c>
      <c r="BA101" s="0" t="n">
        <f aca="false">SQRT(AT101^2+AU101^2)/SQRT(AW101^2+AX101^2)</f>
        <v>59.2486291951797</v>
      </c>
      <c r="BB101" s="0" t="n">
        <f aca="false">20*LOG(BA101)</f>
        <v>35.4535661350416</v>
      </c>
      <c r="BC101" s="0" t="n">
        <f aca="false">AV101-AY101</f>
        <v>-0.869526109883863</v>
      </c>
      <c r="BD101" s="0" t="n">
        <f aca="false">BC101*180/Pi-180</f>
        <v>-229.820176329702</v>
      </c>
      <c r="BF101" s="0" t="n">
        <f aca="false">20*LOG(BA101*J101*F101*C101)</f>
        <v>58.5040073152811</v>
      </c>
      <c r="BG101" s="0" t="n">
        <f aca="false">(180/Pi)*(D101+H101+BC101)</f>
        <v>-100.062379588855</v>
      </c>
      <c r="BH101" s="0" t="n">
        <f aca="false">IF(BG101&gt;180,BG101-180,BG101+180)</f>
        <v>79.9376204111448</v>
      </c>
      <c r="BI101" s="0" t="n">
        <f aca="false">IF(BH101&gt;180,BH101-360,BH101)</f>
        <v>79.9376204111448</v>
      </c>
      <c r="BJ101" s="0" t="n">
        <f aca="false">SUM((BF102&lt;0)*(BF101&gt;0))*A101</f>
        <v>0</v>
      </c>
      <c r="BK101" s="0" t="n">
        <f aca="false">IF(BJ101&gt;0,BI101,0)</f>
        <v>0</v>
      </c>
      <c r="BM101" s="0" t="n">
        <f aca="false">20*LOG(J101*F101*C101)</f>
        <v>23.0504411802395</v>
      </c>
      <c r="BN101" s="0" t="n">
        <f aca="false">(H101+D101)*180/Pi</f>
        <v>-50.2422032591534</v>
      </c>
      <c r="BQ101" s="347" t="n">
        <f aca="false">20*LOG(BA101*7)</f>
        <v>52.3555269353267</v>
      </c>
      <c r="BR101" s="353"/>
      <c r="BS101" s="353"/>
      <c r="BT101" s="353" t="n">
        <v>812.831</v>
      </c>
      <c r="BU101" s="353" t="n">
        <v>16.6614</v>
      </c>
      <c r="BV101" s="353" t="n">
        <v>-262.2369</v>
      </c>
      <c r="BW101" s="349"/>
      <c r="BY101" s="353"/>
      <c r="BZ101" s="353"/>
      <c r="CA101" s="353"/>
      <c r="CC101" s="353"/>
    </row>
    <row r="102" customFormat="false" ht="12.75" hidden="false" customHeight="false" outlineLevel="0" collapsed="false">
      <c r="A102" s="0" t="n">
        <f aca="false">A101+500</f>
        <v>34000</v>
      </c>
      <c r="B102" s="0" t="n">
        <f aca="false">A102/1000</f>
        <v>34</v>
      </c>
      <c r="C102" s="0" t="n">
        <f aca="false">SQRT((A102/Fesr)^2+1)</f>
        <v>1.00000002281853</v>
      </c>
      <c r="D102" s="0" t="n">
        <f aca="false">ATAN(A102/Fesr)</f>
        <v>0.000213628296950212</v>
      </c>
      <c r="F102" s="0" t="n">
        <f aca="false">(Ro/(Ro+Rdcr))/SQRT((A102/(Q*Fo))^2+(1-(A102^2/Fo^2))^2)</f>
        <v>1.5930198706963</v>
      </c>
      <c r="G102" s="0" t="n">
        <f aca="false">-ATAN(A102*Fo/(Q*(Fo^2-A102^2)))</f>
        <v>-0.906709920129876</v>
      </c>
      <c r="H102" s="0" t="n">
        <f aca="false">IF(G102&gt;0,G102-Pi,G102)</f>
        <v>-0.906709920129876</v>
      </c>
      <c r="J102" s="0" t="n">
        <f aca="false">Vin/Vramp</f>
        <v>9</v>
      </c>
      <c r="M102" s="0" t="n">
        <f aca="false">1/(2*Pi*_Rfb1*(Cc1ea_u+Cc2ea_u)*A102)</f>
        <v>0.173371397901695</v>
      </c>
      <c r="N102" s="0" t="n">
        <f aca="false">-Pi/2</f>
        <v>-1.570796325</v>
      </c>
      <c r="O102" s="0" t="n">
        <f aca="false">SQRT(1+(A102/Fz1_u)^2)</f>
        <v>1.29995172376733</v>
      </c>
      <c r="P102" s="0" t="n">
        <f aca="false">ATAN2(Fz1_u,A102)</f>
        <v>0.693115198748281</v>
      </c>
      <c r="Q102" s="0" t="n">
        <f aca="false">SQRT(1+(A102/Fz2_u)^2)</f>
        <v>942.484156309005</v>
      </c>
      <c r="R102" s="0" t="n">
        <f aca="false">ATAN2(Fz2_u,A102)</f>
        <v>1.56973530080211</v>
      </c>
      <c r="S102" s="0" t="n">
        <f aca="false">1/SQRT(1+(A102/Fp1_u)^2)</f>
        <v>0.368958739663177</v>
      </c>
      <c r="T102" s="0" t="n">
        <f aca="false">-ATAN2(Fp1_u,A102)</f>
        <v>-1.19290785796107</v>
      </c>
      <c r="U102" s="0" t="n">
        <f aca="false">1/SQRT(1+(A102/Fp2_u)^2)</f>
        <v>0.99576852592717</v>
      </c>
      <c r="V102" s="0" t="n">
        <f aca="false">-ATAN2(Fp2_u,A102)</f>
        <v>-0.092026753431869</v>
      </c>
      <c r="X102" s="0" t="n">
        <f aca="false">20*LOG(C102*J102*O102*Q102*F102*M102*S102*U102)</f>
        <v>60.9755728586167</v>
      </c>
      <c r="Y102" s="0" t="n">
        <f aca="false">(180/Pi)*(D102+H102+N102+P102+R102+T102+V102)</f>
        <v>-85.9079585514008</v>
      </c>
      <c r="Z102" s="0" t="n">
        <f aca="false">Y102+180</f>
        <v>94.0920414485992</v>
      </c>
      <c r="AC102" s="0" t="n">
        <v>1</v>
      </c>
      <c r="AD102" s="0" t="n">
        <f aca="false">Rcea1_u*Cc1ea_u*A102*2*Pi</f>
        <v>0.8305868311776</v>
      </c>
      <c r="AE102" s="0" t="n">
        <f aca="false">-Rcea1_u*Cc1ea_u*Cc2ea_u*(A102*2*Pi)^2</f>
        <v>-2.66155279369463E-005</v>
      </c>
      <c r="AF102" s="0" t="n">
        <f aca="false">(Cc2ea_u+Cc1ea_u)*A102*2*Pi</f>
        <v>0.00028839820527</v>
      </c>
      <c r="AG102" s="0" t="n">
        <f aca="false">AC102*AE102/(AE102^2+AF102^2)+AD102*AF102/(AE102^2+AF102^2)</f>
        <v>2538.38069050155</v>
      </c>
      <c r="AH102" s="0" t="n">
        <f aca="false">AD102*AE102/(AE102^2+AF102^2)-AC102*AF102/(AE102^2+AF102^2)</f>
        <v>-3701.68857737236</v>
      </c>
      <c r="AJ102" s="0" t="n">
        <f aca="false">_Rfb1</f>
        <v>20000</v>
      </c>
      <c r="AK102" s="0" t="n">
        <f aca="false">_Rfb1*Rcea2_u*Cc3ea_u*A102*2*Pi</f>
        <v>50382.098319168</v>
      </c>
      <c r="AL102" s="0" t="n">
        <v>1</v>
      </c>
      <c r="AM102" s="0" t="n">
        <f aca="false">(_Rfb1+Rcea2_u)*Cc3ea_u*A102*2*Pi</f>
        <v>942.483625795958</v>
      </c>
      <c r="AN102" s="0" t="n">
        <f aca="false">AJ102*AL102/(AL102^2+AM102^2)+AK102*AM102/(AL102^2+AM102^2)</f>
        <v>53.4791912820621</v>
      </c>
      <c r="AO102" s="0" t="n">
        <f aca="false">AK102*AL102/(AL102^2+AM102^2)-AJ102*AM102/(AL102^2+AM102^2)</f>
        <v>-21.1637849855189</v>
      </c>
      <c r="AQ102" s="0" t="n">
        <f aca="false">Eadcg/(1+(Eadcg*A102/GBP)^2)</f>
        <v>9.81820716904001</v>
      </c>
      <c r="AR102" s="0" t="n">
        <f aca="false">-(A102*Eadcg*Eadcg/GBP)/(1+(Eadcg*A102/GBP)^2)</f>
        <v>-175.922636054859</v>
      </c>
      <c r="AT102" s="0" t="n">
        <f aca="false">-AR102*AH102+AG102*AQ102</f>
        <v>-626288.464892271</v>
      </c>
      <c r="AU102" s="0" t="n">
        <f aca="false">AQ102*AH102+AG102*AR102</f>
        <v>-482902.567711697</v>
      </c>
      <c r="AV102" s="0" t="n">
        <f aca="false">ATAN2(AT102,AU102)</f>
        <v>-2.48475224424796</v>
      </c>
      <c r="AW102" s="0" t="n">
        <f aca="false">AG102-AH102*AO102/_Rfb2+AG102*AN102/_Rfb2+AN102-AO102*AR102+AQ102*AN102</f>
        <v>-580.425220115488</v>
      </c>
      <c r="AX102" s="0" t="n">
        <f aca="false">AH102+AH102*AN102/_Rfb2+AG102*AO102/_Rfb2+AO102+AO102*AQ102+AN102*AR102</f>
        <v>-13452.1013668376</v>
      </c>
      <c r="AY102" s="0" t="n">
        <f aca="false">ATAN2(AW102,AX102)</f>
        <v>-1.61391713085511</v>
      </c>
      <c r="BA102" s="0" t="n">
        <f aca="false">SQRT(AT102^2+AU102^2)/SQRT(AW102^2+AX102^2)</f>
        <v>58.7348783674482</v>
      </c>
      <c r="BB102" s="0" t="n">
        <f aca="false">20*LOG(BA102)</f>
        <v>35.3779214744026</v>
      </c>
      <c r="BC102" s="0" t="n">
        <f aca="false">AV102-AY102</f>
        <v>-0.870835113392853</v>
      </c>
      <c r="BD102" s="0" t="n">
        <f aca="false">BC102*180/Pi-180</f>
        <v>-229.89517670622</v>
      </c>
      <c r="BF102" s="0" t="n">
        <f aca="false">20*LOG(BA102*J102*F102*C102)</f>
        <v>58.5071957224194</v>
      </c>
      <c r="BG102" s="0" t="n">
        <f aca="false">(180/Pi)*(D102+H102+BC102)</f>
        <v>-101.833588431855</v>
      </c>
      <c r="BH102" s="0" t="n">
        <f aca="false">IF(BG102&gt;180,BG102-180,BG102+180)</f>
        <v>78.1664115681452</v>
      </c>
      <c r="BI102" s="0" t="n">
        <f aca="false">IF(BH102&gt;180,BH102-360,BH102)</f>
        <v>78.1664115681452</v>
      </c>
      <c r="BJ102" s="0" t="n">
        <f aca="false">SUM((BF103&lt;0)*(BF102&gt;0))*A102</f>
        <v>0</v>
      </c>
      <c r="BK102" s="0" t="n">
        <f aca="false">IF(BJ102&gt;0,BI102,0)</f>
        <v>0</v>
      </c>
      <c r="BM102" s="0" t="n">
        <f aca="false">20*LOG(J102*F102*C102)</f>
        <v>23.1292742480169</v>
      </c>
      <c r="BN102" s="0" t="n">
        <f aca="false">(H102+D102)*180/Pi</f>
        <v>-51.9384117256343</v>
      </c>
      <c r="BQ102" s="347" t="n">
        <f aca="false">20*LOG(BA102*7)</f>
        <v>52.2798822746877</v>
      </c>
      <c r="BR102" s="353"/>
      <c r="BS102" s="353"/>
      <c r="BT102" s="353" t="n">
        <v>831.764</v>
      </c>
      <c r="BU102" s="353" t="n">
        <v>16.5098</v>
      </c>
      <c r="BV102" s="353" t="n">
        <v>-262.3432</v>
      </c>
      <c r="BW102" s="349"/>
      <c r="BY102" s="353"/>
      <c r="BZ102" s="353"/>
      <c r="CA102" s="353"/>
      <c r="CC102" s="353"/>
    </row>
    <row r="103" customFormat="false" ht="12.75" hidden="false" customHeight="false" outlineLevel="0" collapsed="false">
      <c r="A103" s="0" t="n">
        <f aca="false">A102+500</f>
        <v>34500</v>
      </c>
      <c r="B103" s="0" t="n">
        <f aca="false">A103/1000</f>
        <v>34.5</v>
      </c>
      <c r="C103" s="0" t="n">
        <f aca="false">SQRT((A103/Fesr)^2+1)</f>
        <v>1.00000002349459</v>
      </c>
      <c r="D103" s="0" t="n">
        <f aca="false">ATAN(A103/Fesr)</f>
        <v>0.00021676988945472</v>
      </c>
      <c r="F103" s="0" t="n">
        <f aca="false">(Ro/(Ro+Rdcr))/SQRT((A103/(Q*Fo))^2+(1-(A103^2/Fo^2))^2)</f>
        <v>1.60664150503654</v>
      </c>
      <c r="G103" s="0" t="n">
        <f aca="false">-ATAN(A103*Fo/(Q*(Fo^2-A103^2)))</f>
        <v>-0.937182919640448</v>
      </c>
      <c r="H103" s="0" t="n">
        <f aca="false">IF(G103&gt;0,G103-Pi,G103)</f>
        <v>-0.937182919640448</v>
      </c>
      <c r="J103" s="0" t="n">
        <f aca="false">Vin/Vramp</f>
        <v>9</v>
      </c>
      <c r="M103" s="0" t="n">
        <f aca="false">1/(2*Pi*_Rfb1*(Cc1ea_u+Cc2ea_u)*A103)</f>
        <v>0.170858768946598</v>
      </c>
      <c r="N103" s="0" t="n">
        <f aca="false">-Pi/2</f>
        <v>-1.570796325</v>
      </c>
      <c r="O103" s="0" t="n">
        <f aca="false">SQRT(1+(A103/Fz1_u)^2)</f>
        <v>1.30778977838114</v>
      </c>
      <c r="P103" s="0" t="n">
        <f aca="false">ATAN2(Fz1_u,A103)</f>
        <v>0.700299999057687</v>
      </c>
      <c r="Q103" s="0" t="n">
        <f aca="false">SQRT(1+(A103/Fz2_u)^2)</f>
        <v>956.344201940943</v>
      </c>
      <c r="R103" s="0" t="n">
        <f aca="false">ATAN2(Fz2_u,A103)</f>
        <v>1.56975067797912</v>
      </c>
      <c r="S103" s="0" t="n">
        <f aca="false">1/SQRT(1+(A103/Fp1_u)^2)</f>
        <v>0.364325783896428</v>
      </c>
      <c r="T103" s="0" t="n">
        <f aca="false">-ATAN2(Fp1_u,A103)</f>
        <v>-1.19788760002041</v>
      </c>
      <c r="U103" s="0" t="n">
        <f aca="false">1/SQRT(1+(A103/Fp2_u)^2)</f>
        <v>0.995643973697797</v>
      </c>
      <c r="V103" s="0" t="n">
        <f aca="false">-ATAN2(Fp2_u,A103)</f>
        <v>-0.0933722921976383</v>
      </c>
      <c r="X103" s="0" t="n">
        <f aca="false">20*LOG(C103*J103*O103*Q103*F103*M103*S103*U103)</f>
        <v>60.9908983982668</v>
      </c>
      <c r="Y103" s="0" t="n">
        <f aca="false">(180/Pi)*(D103+H103+N103+P103+R103+T103+V103)</f>
        <v>-87.6036249282035</v>
      </c>
      <c r="Z103" s="0" t="n">
        <f aca="false">Y103+180</f>
        <v>92.3963750717966</v>
      </c>
      <c r="AC103" s="0" t="n">
        <v>1</v>
      </c>
      <c r="AD103" s="0" t="n">
        <f aca="false">Rcea1_u*Cc1ea_u*A103*2*Pi</f>
        <v>0.8428013434008</v>
      </c>
      <c r="AE103" s="0" t="n">
        <f aca="false">-Rcea1_u*Cc1ea_u*Cc2ea_u*(A103*2*Pi)^2</f>
        <v>-2.74040935354241E-005</v>
      </c>
      <c r="AF103" s="0" t="n">
        <f aca="false">(Cc2ea_u+Cc1ea_u)*A103*2*Pi</f>
        <v>0.0002926393553475</v>
      </c>
      <c r="AG103" s="0" t="n">
        <f aca="false">AC103*AE103/(AE103^2+AF103^2)+AD103*AF103/(AE103^2+AF103^2)</f>
        <v>2537.74572124349</v>
      </c>
      <c r="AH103" s="0" t="n">
        <f aca="false">AD103*AE103/(AE103^2+AF103^2)-AC103*AF103/(AE103^2+AF103^2)</f>
        <v>-3654.82154594015</v>
      </c>
      <c r="AJ103" s="0" t="n">
        <f aca="false">_Rfb1</f>
        <v>20000</v>
      </c>
      <c r="AK103" s="0" t="n">
        <f aca="false">_Rfb1*Rcea2_u*Cc3ea_u*A103*2*Pi</f>
        <v>51123.011529744</v>
      </c>
      <c r="AL103" s="0" t="n">
        <v>1</v>
      </c>
      <c r="AM103" s="0" t="n">
        <f aca="false">(_Rfb1+Rcea2_u)*Cc3ea_u*A103*2*Pi</f>
        <v>956.343679116487</v>
      </c>
      <c r="AN103" s="0" t="n">
        <f aca="false">AJ103*AL103/(AL103^2+AM103^2)+AK103*AM103/(AL103^2+AM103^2)</f>
        <v>53.478545120027</v>
      </c>
      <c r="AO103" s="0" t="n">
        <f aca="false">AK103*AL103/(AL103^2+AM103^2)-AJ103*AM103/(AL103^2+AM103^2)</f>
        <v>-20.8570641396485</v>
      </c>
      <c r="AQ103" s="0" t="n">
        <f aca="false">Eadcg/(1+(Eadcg*A103/GBP)^2)</f>
        <v>9.53653575517147</v>
      </c>
      <c r="AR103" s="0" t="n">
        <f aca="false">-(A103*Eadcg*Eadcg/GBP)/(1+(Eadcg*A103/GBP)^2)</f>
        <v>-173.38852483265</v>
      </c>
      <c r="AT103" s="0" t="n">
        <f aca="false">-AR103*AH103+AG103*AQ103</f>
        <v>-609502.813568976</v>
      </c>
      <c r="AU103" s="0" t="n">
        <f aca="false">AQ103*AH103+AG103*AR103</f>
        <v>-474870.323358409</v>
      </c>
      <c r="AV103" s="0" t="n">
        <f aca="false">ATAN2(AT103,AU103)</f>
        <v>-2.47971934500922</v>
      </c>
      <c r="AW103" s="0" t="n">
        <f aca="false">AG103-AH103*AO103/_Rfb2+AG103*AN103/_Rfb2+AN103-AO103*AR103+AQ103*AN103</f>
        <v>-488.382513734092</v>
      </c>
      <c r="AX103" s="0" t="n">
        <f aca="false">AH103+AH103*AN103/_Rfb2+AG103*AO103/_Rfb2+AO103+AO103*AQ103+AN103*AR103</f>
        <v>-13258.921805456</v>
      </c>
      <c r="AY103" s="0" t="n">
        <f aca="false">ATAN2(AW103,AX103)</f>
        <v>-1.60761393742107</v>
      </c>
      <c r="BA103" s="0" t="n">
        <f aca="false">SQRT(AT103^2+AU103^2)/SQRT(AW103^2+AX103^2)</f>
        <v>58.2348422339419</v>
      </c>
      <c r="BB103" s="0" t="n">
        <f aca="false">20*LOG(BA103)</f>
        <v>35.3036580649282</v>
      </c>
      <c r="BC103" s="0" t="n">
        <f aca="false">AV103-AY103</f>
        <v>-0.872105407588154</v>
      </c>
      <c r="BD103" s="0" t="n">
        <f aca="false">BC103*180/Pi-180</f>
        <v>-229.967959202434</v>
      </c>
      <c r="BF103" s="0" t="n">
        <f aca="false">20*LOG(BA103*J103*F103*C103)</f>
        <v>58.5068880994227</v>
      </c>
      <c r="BG103" s="0" t="n">
        <f aca="false">(180/Pi)*(D103+H103+BC103)</f>
        <v>-103.652165191132</v>
      </c>
      <c r="BH103" s="0" t="n">
        <f aca="false">IF(BG103&gt;180,BG103-180,BG103+180)</f>
        <v>76.3478348088679</v>
      </c>
      <c r="BI103" s="0" t="n">
        <f aca="false">IF(BH103&gt;180,BH103-360,BH103)</f>
        <v>76.3478348088679</v>
      </c>
      <c r="BJ103" s="0" t="n">
        <f aca="false">SUM((BF104&lt;0)*(BF103&gt;0))*A103</f>
        <v>0</v>
      </c>
      <c r="BK103" s="0" t="n">
        <f aca="false">IF(BJ103&gt;0,BI103,0)</f>
        <v>0</v>
      </c>
      <c r="BM103" s="0" t="n">
        <f aca="false">20*LOG(J103*F103*C103)</f>
        <v>23.2032300344945</v>
      </c>
      <c r="BN103" s="0" t="n">
        <f aca="false">(H103+D103)*180/Pi</f>
        <v>-53.6842059886977</v>
      </c>
      <c r="BQ103" s="347" t="n">
        <f aca="false">20*LOG(BA103*7)</f>
        <v>52.2056188652133</v>
      </c>
      <c r="BR103" s="353"/>
      <c r="BS103" s="353"/>
      <c r="BT103" s="353" t="n">
        <v>851.138</v>
      </c>
      <c r="BU103" s="353" t="n">
        <v>16.2768</v>
      </c>
      <c r="BV103" s="353" t="n">
        <v>-262.197</v>
      </c>
      <c r="BW103" s="349"/>
      <c r="BY103" s="353"/>
      <c r="BZ103" s="353"/>
      <c r="CA103" s="353"/>
      <c r="CC103" s="353"/>
    </row>
    <row r="104" customFormat="false" ht="12.75" hidden="false" customHeight="false" outlineLevel="0" collapsed="false">
      <c r="A104" s="0" t="n">
        <f aca="false">A103+500</f>
        <v>35000</v>
      </c>
      <c r="B104" s="0" t="n">
        <f aca="false">A104/1000</f>
        <v>35</v>
      </c>
      <c r="C104" s="0" t="n">
        <f aca="false">SQRT((A104/Fesr)^2+1)</f>
        <v>1.00000002418053</v>
      </c>
      <c r="D104" s="0" t="n">
        <f aca="false">ATAN(A104/Fesr)</f>
        <v>0.000219911481954949</v>
      </c>
      <c r="F104" s="0" t="n">
        <f aca="false">(Ro/(Ro+Rdcr))/SQRT((A104/(Q*Fo))^2+(1-(A104^2/Fo^2))^2)</f>
        <v>1.6193553534149</v>
      </c>
      <c r="G104" s="0" t="n">
        <f aca="false">-ATAN(A104*Fo/(Q*(Fo^2-A104^2)))</f>
        <v>-0.968510419945826</v>
      </c>
      <c r="H104" s="0" t="n">
        <f aca="false">IF(G104&gt;0,G104-Pi,G104)</f>
        <v>-0.968510419945826</v>
      </c>
      <c r="J104" s="0" t="n">
        <f aca="false">Vin/Vramp</f>
        <v>9</v>
      </c>
      <c r="M104" s="0" t="n">
        <f aca="false">1/(2*Pi*_Rfb1*(Cc1ea_u+Cc2ea_u)*A104)</f>
        <v>0.168417929390218</v>
      </c>
      <c r="N104" s="0" t="n">
        <f aca="false">-Pi/2</f>
        <v>-1.570796325</v>
      </c>
      <c r="O104" s="0" t="n">
        <f aca="false">SQRT(1+(A104/Fz1_u)^2)</f>
        <v>1.31569453649715</v>
      </c>
      <c r="P104" s="0" t="n">
        <f aca="false">ATAN2(Fz1_u,A104)</f>
        <v>0.707398828897383</v>
      </c>
      <c r="Q104" s="0" t="n">
        <f aca="false">SQRT(1+(A104/Fz2_u)^2)</f>
        <v>970.204247792555</v>
      </c>
      <c r="R104" s="0" t="n">
        <f aca="false">ATAN2(Fz2_u,A104)</f>
        <v>1.56976561580869</v>
      </c>
      <c r="S104" s="0" t="n">
        <f aca="false">1/SQRT(1+(A104/Fp1_u)^2)</f>
        <v>0.359799142893511</v>
      </c>
      <c r="T104" s="0" t="n">
        <f aca="false">-ATAN2(Fp1_u,A104)</f>
        <v>-1.20274371635283</v>
      </c>
      <c r="U104" s="0" t="n">
        <f aca="false">1/SQRT(1+(A104/Fp2_u)^2)</f>
        <v>0.995517650941585</v>
      </c>
      <c r="V104" s="0" t="n">
        <f aca="false">-ATAN2(Fp2_u,A104)</f>
        <v>-0.0947174919667298</v>
      </c>
      <c r="X104" s="0" t="n">
        <f aca="false">20*LOG(C104*J104*O104*Q104*F104*M104*S104*U104)</f>
        <v>61.0020067403373</v>
      </c>
      <c r="Y104" s="0" t="n">
        <f aca="false">(180/Pi)*(D104+H104+N104+P104+R104+T104+V104)</f>
        <v>-89.3460988565542</v>
      </c>
      <c r="Z104" s="0" t="n">
        <f aca="false">Y104+180</f>
        <v>90.6539011434458</v>
      </c>
      <c r="AC104" s="0" t="n">
        <v>1</v>
      </c>
      <c r="AD104" s="0" t="n">
        <f aca="false">Rcea1_u*Cc1ea_u*A104*2*Pi</f>
        <v>0.855015855624</v>
      </c>
      <c r="AE104" s="0" t="n">
        <f aca="false">-Rcea1_u*Cc1ea_u*Cc2ea_u*(A104*2*Pi)^2</f>
        <v>-2.82041710404491E-005</v>
      </c>
      <c r="AF104" s="0" t="n">
        <f aca="false">(Cc2ea_u+Cc1ea_u)*A104*2*Pi</f>
        <v>0.000296880505425</v>
      </c>
      <c r="AG104" s="0" t="n">
        <f aca="false">AC104*AE104/(AE104^2+AF104^2)+AD104*AF104/(AE104^2+AF104^2)</f>
        <v>2537.1018069408</v>
      </c>
      <c r="AH104" s="0" t="n">
        <f aca="false">AD104*AE104/(AE104^2+AF104^2)-AC104*AF104/(AE104^2+AF104^2)</f>
        <v>-3609.38772916733</v>
      </c>
      <c r="AJ104" s="0" t="n">
        <f aca="false">_Rfb1</f>
        <v>20000</v>
      </c>
      <c r="AK104" s="0" t="n">
        <f aca="false">_Rfb1*Rcea2_u*Cc3ea_u*A104*2*Pi</f>
        <v>51863.92474032</v>
      </c>
      <c r="AL104" s="0" t="n">
        <v>1</v>
      </c>
      <c r="AM104" s="0" t="n">
        <f aca="false">(_Rfb1+Rcea2_u)*Cc3ea_u*A104*2*Pi</f>
        <v>970.203732437016</v>
      </c>
      <c r="AN104" s="0" t="n">
        <f aca="false">AJ104*AL104/(AL104^2+AM104^2)+AK104*AM104/(AL104^2+AM104^2)</f>
        <v>53.4779264523253</v>
      </c>
      <c r="AO104" s="0" t="n">
        <f aca="false">AK104*AL104/(AL104^2+AM104^2)-AJ104*AM104/(AL104^2+AM104^2)</f>
        <v>-20.5591067181785</v>
      </c>
      <c r="AQ104" s="0" t="n">
        <f aca="false">Eadcg/(1+(Eadcg*A104/GBP)^2)</f>
        <v>9.26680236192095</v>
      </c>
      <c r="AR104" s="0" t="n">
        <f aca="false">-(A104*Eadcg*Eadcg/GBP)/(1+(Eadcg*A104/GBP)^2)</f>
        <v>-170.926169565632</v>
      </c>
      <c r="AT104" s="0" t="n">
        <f aca="false">-AR104*AH104+AG104*AQ104</f>
        <v>-593427.998006773</v>
      </c>
      <c r="AU104" s="0" t="n">
        <f aca="false">AQ104*AH104+AG104*AR104</f>
        <v>-467104.576392171</v>
      </c>
      <c r="AV104" s="0" t="n">
        <f aca="false">ATAN2(AT104,AU104)</f>
        <v>-2.47474910682534</v>
      </c>
      <c r="AW104" s="0" t="n">
        <f aca="false">AG104-AH104*AO104/_Rfb2+AG104*AN104/_Rfb2+AN104-AO104*AR104+AQ104*AN104</f>
        <v>-400.277332132039</v>
      </c>
      <c r="AX104" s="0" t="n">
        <f aca="false">AH104+AH104*AN104/_Rfb2+AG104*AO104/_Rfb2+AO104+AO104*AQ104+AN104*AR104</f>
        <v>-13071.573542634</v>
      </c>
      <c r="AY104" s="0" t="n">
        <f aca="false">ATAN2(AW104,AX104)</f>
        <v>-1.601408730661</v>
      </c>
      <c r="BA104" s="0" t="n">
        <f aca="false">SQRT(AT104^2+AU104^2)/SQRT(AW104^2+AX104^2)</f>
        <v>57.7479860698526</v>
      </c>
      <c r="BB104" s="0" t="n">
        <f aca="false">20*LOG(BA104)</f>
        <v>35.2307368608071</v>
      </c>
      <c r="BC104" s="0" t="n">
        <f aca="false">AV104-AY104</f>
        <v>-0.87334037616434</v>
      </c>
      <c r="BD104" s="0" t="n">
        <f aca="false">BC104*180/Pi-180</f>
        <v>-230.038717689762</v>
      </c>
      <c r="BF104" s="0" t="n">
        <f aca="false">20*LOG(BA104*J104*F104*C104)</f>
        <v>58.5024304866115</v>
      </c>
      <c r="BG104" s="0" t="n">
        <f aca="false">(180/Pi)*(D104+H104+BC104)</f>
        <v>-105.517677230712</v>
      </c>
      <c r="BH104" s="0" t="n">
        <f aca="false">IF(BG104&gt;180,BG104-180,BG104+180)</f>
        <v>74.4823227692878</v>
      </c>
      <c r="BI104" s="0" t="n">
        <f aca="false">IF(BH104&gt;180,BH104-360,BH104)</f>
        <v>74.4823227692878</v>
      </c>
      <c r="BJ104" s="0" t="n">
        <f aca="false">SUM((BF105&lt;0)*(BF104&gt;0))*A104</f>
        <v>0</v>
      </c>
      <c r="BK104" s="0" t="n">
        <f aca="false">IF(BJ104&gt;0,BI104,0)</f>
        <v>0</v>
      </c>
      <c r="BM104" s="0" t="n">
        <f aca="false">20*LOG(J104*F104*C104)</f>
        <v>23.2716936258044</v>
      </c>
      <c r="BN104" s="0" t="n">
        <f aca="false">(H104+D104)*180/Pi</f>
        <v>-55.4789595409503</v>
      </c>
      <c r="BQ104" s="347" t="n">
        <f aca="false">20*LOG(BA104*7)</f>
        <v>52.1326976610922</v>
      </c>
      <c r="BR104" s="353"/>
      <c r="BS104" s="353"/>
      <c r="BT104" s="353" t="n">
        <v>870.964</v>
      </c>
      <c r="BU104" s="353" t="n">
        <v>16.1061</v>
      </c>
      <c r="BV104" s="353" t="n">
        <v>-261.768</v>
      </c>
      <c r="BW104" s="349"/>
      <c r="BY104" s="353"/>
      <c r="BZ104" s="353"/>
      <c r="CA104" s="353"/>
      <c r="CC104" s="353"/>
    </row>
    <row r="105" customFormat="false" ht="12.75" hidden="false" customHeight="false" outlineLevel="0" collapsed="false">
      <c r="A105" s="0" t="n">
        <f aca="false">A104+500</f>
        <v>35500</v>
      </c>
      <c r="B105" s="0" t="n">
        <f aca="false">A105/1000</f>
        <v>35.5</v>
      </c>
      <c r="C105" s="0" t="n">
        <f aca="false">SQRT((A105/Fesr)^2+1)</f>
        <v>1.00000002487634</v>
      </c>
      <c r="D105" s="0" t="n">
        <f aca="false">ATAN(A105/Fesr)</f>
        <v>0.000223053074450838</v>
      </c>
      <c r="F105" s="0" t="n">
        <f aca="false">(Ro/(Ro+Rdcr))/SQRT((A105/(Q*Fo))^2+(1-(A105^2/Fo^2))^2)</f>
        <v>1.63101969121283</v>
      </c>
      <c r="G105" s="0" t="n">
        <f aca="false">-ATAN(A105*Fo/(Q*(Fo^2-A105^2)))</f>
        <v>-1.00067447751032</v>
      </c>
      <c r="H105" s="0" t="n">
        <f aca="false">IF(G105&gt;0,G105-Pi,G105)</f>
        <v>-1.00067447751032</v>
      </c>
      <c r="J105" s="0" t="n">
        <f aca="false">Vin/Vramp</f>
        <v>9</v>
      </c>
      <c r="M105" s="0" t="n">
        <f aca="false">1/(2*Pi*_Rfb1*(Cc1ea_u+Cc2ea_u)*A105)</f>
        <v>0.16604584587768</v>
      </c>
      <c r="N105" s="0" t="n">
        <f aca="false">-Pi/2</f>
        <v>-1.570796325</v>
      </c>
      <c r="O105" s="0" t="n">
        <f aca="false">SQRT(1+(A105/Fz1_u)^2)</f>
        <v>1.32366480308135</v>
      </c>
      <c r="P105" s="0" t="n">
        <f aca="false">ATAN2(Fz1_u,A105)</f>
        <v>0.714412519389175</v>
      </c>
      <c r="Q105" s="0" t="n">
        <f aca="false">SQRT(1+(A105/Fz2_u)^2)</f>
        <v>984.064293854558</v>
      </c>
      <c r="R105" s="0" t="n">
        <f aca="false">ATAN2(Fz2_u,A105)</f>
        <v>1.56978013285477</v>
      </c>
      <c r="S105" s="0" t="n">
        <f aca="false">1/SQRT(1+(A105/Fp1_u)^2)</f>
        <v>0.355375531534577</v>
      </c>
      <c r="T105" s="0" t="n">
        <f aca="false">-ATAN2(Fp1_u,A105)</f>
        <v>-1.20748053342684</v>
      </c>
      <c r="U105" s="0" t="n">
        <f aca="false">1/SQRT(1+(A105/Fp2_u)^2)</f>
        <v>0.995389559703621</v>
      </c>
      <c r="V105" s="0" t="n">
        <f aca="false">-ATAN2(Fp2_u,A105)</f>
        <v>-0.0960623480006494</v>
      </c>
      <c r="X105" s="0" t="n">
        <f aca="false">20*LOG(C105*J105*O105*Q105*F105*M105*S105*U105)</f>
        <v>61.0082367577893</v>
      </c>
      <c r="Y105" s="0" t="n">
        <f aca="false">(180/Pi)*(D105+H105+N105+P105+R105+T105+V105)</f>
        <v>-91.1345511810685</v>
      </c>
      <c r="Z105" s="0" t="n">
        <f aca="false">Y105+180</f>
        <v>88.8654488189315</v>
      </c>
      <c r="AC105" s="0" t="n">
        <v>1</v>
      </c>
      <c r="AD105" s="0" t="n">
        <f aca="false">Rcea1_u*Cc1ea_u*A105*2*Pi</f>
        <v>0.8672303678472</v>
      </c>
      <c r="AE105" s="0" t="n">
        <f aca="false">-Rcea1_u*Cc1ea_u*Cc2ea_u*(A105*2*Pi)^2</f>
        <v>-2.90157604520212E-005</v>
      </c>
      <c r="AF105" s="0" t="n">
        <f aca="false">(Cc2ea_u+Cc1ea_u)*A105*2*Pi</f>
        <v>0.0003011216555025</v>
      </c>
      <c r="AG105" s="0" t="n">
        <f aca="false">AC105*AE105/(AE105^2+AF105^2)+AD105*AF105/(AE105^2+AF105^2)</f>
        <v>2536.44896145144</v>
      </c>
      <c r="AH105" s="0" t="n">
        <f aca="false">AD105*AE105/(AE105^2+AF105^2)-AC105*AF105/(AE105^2+AF105^2)</f>
        <v>-3565.32642487196</v>
      </c>
      <c r="AJ105" s="0" t="n">
        <f aca="false">_Rfb1</f>
        <v>20000</v>
      </c>
      <c r="AK105" s="0" t="n">
        <f aca="false">_Rfb1*Rcea2_u*Cc3ea_u*A105*2*Pi</f>
        <v>52604.837950896</v>
      </c>
      <c r="AL105" s="0" t="n">
        <v>1</v>
      </c>
      <c r="AM105" s="0" t="n">
        <f aca="false">(_Rfb1+Rcea2_u)*Cc3ea_u*A105*2*Pi</f>
        <v>984.063785757545</v>
      </c>
      <c r="AN105" s="0" t="n">
        <f aca="false">AJ105*AL105/(AL105^2+AM105^2)+AK105*AM105/(AL105^2+AM105^2)</f>
        <v>53.4773337409441</v>
      </c>
      <c r="AO105" s="0" t="n">
        <f aca="false">AK105*AL105/(AL105^2+AM105^2)-AJ105*AM105/(AL105^2+AM105^2)</f>
        <v>-20.2695424371338</v>
      </c>
      <c r="AQ105" s="0" t="n">
        <f aca="false">Eadcg/(1+(Eadcg*A105/GBP)^2)</f>
        <v>9.00834240239966</v>
      </c>
      <c r="AR105" s="0" t="n">
        <f aca="false">-(A105*Eadcg*Eadcg/GBP)/(1+(Eadcg*A105/GBP)^2)</f>
        <v>-168.532573835294</v>
      </c>
      <c r="AT105" s="0" t="n">
        <f aca="false">-AR105*AH105+AG105*AQ105</f>
        <v>-578024.438215692</v>
      </c>
      <c r="AU105" s="0" t="n">
        <f aca="false">AQ105*AH105+AG105*AR105</f>
        <v>-459591.95308684</v>
      </c>
      <c r="AV105" s="0" t="n">
        <f aca="false">ATAN2(AT105,AU105)</f>
        <v>-2.46984166064985</v>
      </c>
      <c r="AW105" s="0" t="n">
        <f aca="false">AG105-AH105*AO105/_Rfb2+AG105*AN105/_Rfb2+AN105-AO105*AR105+AQ105*AN105</f>
        <v>-315.89098253491</v>
      </c>
      <c r="AX105" s="0" t="n">
        <f aca="false">AH105+AH105*AN105/_Rfb2+AG105*AO105/_Rfb2+AO105+AO105*AQ105+AN105*AR105</f>
        <v>-12889.798208075</v>
      </c>
      <c r="AY105" s="0" t="n">
        <f aca="false">ATAN2(AW105,AX105)</f>
        <v>-1.5952984764247</v>
      </c>
      <c r="BA105" s="0" t="n">
        <f aca="false">SQRT(AT105^2+AU105^2)/SQRT(AW105^2+AX105^2)</f>
        <v>57.2737990096174</v>
      </c>
      <c r="BB105" s="0" t="n">
        <f aca="false">20*LOG(BA105)</f>
        <v>35.1591198222782</v>
      </c>
      <c r="BC105" s="0" t="n">
        <f aca="false">AV105-AY105</f>
        <v>-0.874543184225147</v>
      </c>
      <c r="BD105" s="0" t="n">
        <f aca="false">BC105*180/Pi-180</f>
        <v>-230.107633515289</v>
      </c>
      <c r="BF105" s="0" t="n">
        <f aca="false">20*LOG(BA105*J105*F105*C105)</f>
        <v>58.4931543128538</v>
      </c>
      <c r="BG105" s="0" t="n">
        <f aca="false">(180/Pi)*(D105+H105+BC105)</f>
        <v>-107.429277808815</v>
      </c>
      <c r="BH105" s="0" t="n">
        <f aca="false">IF(BG105&gt;180,BG105-180,BG105+180)</f>
        <v>72.5707221911847</v>
      </c>
      <c r="BI105" s="0" t="n">
        <f aca="false">IF(BH105&gt;180,BH105-360,BH105)</f>
        <v>72.5707221911847</v>
      </c>
      <c r="BJ105" s="0" t="n">
        <f aca="false">SUM((BF106&lt;0)*(BF105&gt;0))*A105</f>
        <v>0</v>
      </c>
      <c r="BK105" s="0" t="n">
        <f aca="false">IF(BJ105&gt;0,BI105,0)</f>
        <v>0</v>
      </c>
      <c r="BM105" s="0" t="n">
        <f aca="false">20*LOG(J105*F105*C105)</f>
        <v>23.3340344905756</v>
      </c>
      <c r="BN105" s="0" t="n">
        <f aca="false">(H105+D105)*180/Pi</f>
        <v>-57.321644293526</v>
      </c>
      <c r="BQ105" s="347" t="n">
        <f aca="false">20*LOG(BA105*7)</f>
        <v>52.0610806225633</v>
      </c>
      <c r="BR105" s="353"/>
      <c r="BS105" s="353"/>
      <c r="BT105" s="353" t="n">
        <v>891.251</v>
      </c>
      <c r="BU105" s="353" t="n">
        <v>15.8824</v>
      </c>
      <c r="BV105" s="353" t="n">
        <v>-261.3831</v>
      </c>
      <c r="BW105" s="349"/>
      <c r="BY105" s="353"/>
      <c r="BZ105" s="353"/>
      <c r="CA105" s="353"/>
      <c r="CC105" s="353"/>
    </row>
    <row r="106" customFormat="false" ht="12.75" hidden="false" customHeight="false" outlineLevel="0" collapsed="false">
      <c r="A106" s="0" t="n">
        <f aca="false">A105+500</f>
        <v>36000</v>
      </c>
      <c r="B106" s="0" t="n">
        <f aca="false">A106/1000</f>
        <v>36</v>
      </c>
      <c r="C106" s="0" t="n">
        <f aca="false">SQRT((A106/Fesr)^2+1)</f>
        <v>1.00000002558201</v>
      </c>
      <c r="D106" s="0" t="n">
        <f aca="false">ATAN(A106/Fesr)</f>
        <v>0.000226194666942323</v>
      </c>
      <c r="F106" s="0" t="n">
        <f aca="false">(Ro/(Ro+Rdcr))/SQRT((A106/(Q*Fo))^2+(1-(A106^2/Fo^2))^2)</f>
        <v>1.64148965884482</v>
      </c>
      <c r="G106" s="0" t="n">
        <f aca="false">-ATAN(A106*Fo/(Q*(Fo^2-A106^2)))</f>
        <v>-1.03364955440072</v>
      </c>
      <c r="H106" s="0" t="n">
        <f aca="false">IF(G106&gt;0,G106-Pi,G106)</f>
        <v>-1.03364955440072</v>
      </c>
      <c r="J106" s="0" t="n">
        <f aca="false">Vin/Vramp</f>
        <v>9</v>
      </c>
      <c r="M106" s="0" t="n">
        <f aca="false">1/(2*Pi*_Rfb1*(Cc1ea_u+Cc2ea_u)*A106)</f>
        <v>0.163739653573823</v>
      </c>
      <c r="N106" s="0" t="n">
        <f aca="false">-Pi/2</f>
        <v>-1.570796325</v>
      </c>
      <c r="O106" s="0" t="n">
        <f aca="false">SQRT(1+(A106/Fz1_u)^2)</f>
        <v>1.33169940192299</v>
      </c>
      <c r="P106" s="0" t="n">
        <f aca="false">ATAN2(Fz1_u,A106)</f>
        <v>0.721341915347284</v>
      </c>
      <c r="Q106" s="0" t="n">
        <f aca="false">SQRT(1+(A106/Fz2_u)^2)</f>
        <v>997.924340118188</v>
      </c>
      <c r="R106" s="0" t="n">
        <f aca="false">ATAN2(Fz2_u,A106)</f>
        <v>1.56979424664998</v>
      </c>
      <c r="S106" s="0" t="n">
        <f aca="false">1/SQRT(1+(A106/Fp1_u)^2)</f>
        <v>0.351051780822845</v>
      </c>
      <c r="T106" s="0" t="n">
        <f aca="false">-ATAN2(Fp1_u,A106)</f>
        <v>-1.21210218915732</v>
      </c>
      <c r="U106" s="0" t="n">
        <f aca="false">1/SQRT(1+(A106/Fp2_u)^2)</f>
        <v>0.995259702056207</v>
      </c>
      <c r="V106" s="0" t="n">
        <f aca="false">-ATAN2(Fp2_u,A106)</f>
        <v>-0.0974068555682974</v>
      </c>
      <c r="X106" s="0" t="n">
        <f aca="false">20*LOG(C106*J106*O106*Q106*F106*M106*S106*U106)</f>
        <v>61.0089191886218</v>
      </c>
      <c r="Y106" s="0" t="n">
        <f aca="false">(180/Pi)*(D106+H106+N106+P106+R106+T106+V106)</f>
        <v>-92.9677060911073</v>
      </c>
      <c r="Z106" s="0" t="n">
        <f aca="false">Y106+180</f>
        <v>87.0322939088927</v>
      </c>
      <c r="AC106" s="0" t="n">
        <v>1</v>
      </c>
      <c r="AD106" s="0" t="n">
        <f aca="false">Rcea1_u*Cc1ea_u*A106*2*Pi</f>
        <v>0.8794448800704</v>
      </c>
      <c r="AE106" s="0" t="n">
        <f aca="false">-Rcea1_u*Cc1ea_u*Cc2ea_u*(A106*2*Pi)^2</f>
        <v>-2.98388617701404E-005</v>
      </c>
      <c r="AF106" s="0" t="n">
        <f aca="false">(Cc2ea_u+Cc1ea_u)*A106*2*Pi</f>
        <v>0.00030536280558</v>
      </c>
      <c r="AG106" s="0" t="n">
        <f aca="false">AC106*AE106/(AE106^2+AF106^2)+AD106*AF106/(AE106^2+AF106^2)</f>
        <v>2535.78719881474</v>
      </c>
      <c r="AH106" s="0" t="n">
        <f aca="false">AD106*AE106/(AE106^2+AF106^2)-AC106*AF106/(AE106^2+AF106^2)</f>
        <v>-3522.58030135932</v>
      </c>
      <c r="AJ106" s="0" t="n">
        <f aca="false">_Rfb1</f>
        <v>20000</v>
      </c>
      <c r="AK106" s="0" t="n">
        <f aca="false">_Rfb1*Rcea2_u*Cc3ea_u*A106*2*Pi</f>
        <v>53345.751161472</v>
      </c>
      <c r="AL106" s="0" t="n">
        <v>1</v>
      </c>
      <c r="AM106" s="0" t="n">
        <f aca="false">(_Rfb1+Rcea2_u)*Cc3ea_u*A106*2*Pi</f>
        <v>997.923839078073</v>
      </c>
      <c r="AN106" s="0" t="n">
        <f aca="false">AJ106*AL106/(AL106^2+AM106^2)+AK106*AM106/(AL106^2+AM106^2)</f>
        <v>53.4767655539299</v>
      </c>
      <c r="AO106" s="0" t="n">
        <f aca="false">AK106*AL106/(AL106^2+AM106^2)-AJ106*AM106/(AL106^2+AM106^2)</f>
        <v>-19.9880215837649</v>
      </c>
      <c r="AQ106" s="0" t="n">
        <f aca="false">Eadcg/(1+(Eadcg*A106/GBP)^2)</f>
        <v>8.76053685899745</v>
      </c>
      <c r="AR106" s="0" t="n">
        <f aca="false">-(A106*Eadcg*Eadcg/GBP)/(1+(Eadcg*A106/GBP)^2)</f>
        <v>-166.2049052889</v>
      </c>
      <c r="AT106" s="0" t="n">
        <f aca="false">-AR106*AH106+AG106*AQ106</f>
        <v>-563255.268138179</v>
      </c>
      <c r="AU106" s="0" t="n">
        <f aca="false">AQ106*AH106+AG106*AR106</f>
        <v>-452319.965780645</v>
      </c>
      <c r="AV106" s="0" t="n">
        <f aca="false">ATAN2(AT106,AU106)</f>
        <v>-2.46499707029468</v>
      </c>
      <c r="AW106" s="0" t="n">
        <f aca="false">AG106-AH106*AO106/_Rfb2+AG106*AN106/_Rfb2+AN106-AO106*AR106+AQ106*AN106</f>
        <v>-235.019765244083</v>
      </c>
      <c r="AX106" s="0" t="n">
        <f aca="false">AH106+AH106*AN106/_Rfb2+AG106*AO106/_Rfb2+AO106+AO106*AQ106+AN106*AR106</f>
        <v>-12713.3525833958</v>
      </c>
      <c r="AY106" s="0" t="n">
        <f aca="false">ATAN2(AW106,AX106)</f>
        <v>-1.58928027882492</v>
      </c>
      <c r="BA106" s="0" t="n">
        <f aca="false">SQRT(AT106^2+AU106^2)/SQRT(AW106^2+AX106^2)</f>
        <v>56.8117929115817</v>
      </c>
      <c r="BB106" s="0" t="n">
        <f aca="false">20*LOG(BA106)</f>
        <v>35.088769906059</v>
      </c>
      <c r="BC106" s="0" t="n">
        <f aca="false">AV106-AY106</f>
        <v>-0.875716791469755</v>
      </c>
      <c r="BD106" s="0" t="n">
        <f aca="false">BC106*180/Pi-180</f>
        <v>-230.174876257288</v>
      </c>
      <c r="BF106" s="0" t="n">
        <f aca="false">20*LOG(BA106*J106*F106*C106)</f>
        <v>58.4783833386382</v>
      </c>
      <c r="BG106" s="0" t="n">
        <f aca="false">(180/Pi)*(D106+H106+BC106)</f>
        <v>-109.385673287921</v>
      </c>
      <c r="BH106" s="0" t="n">
        <f aca="false">IF(BG106&gt;180,BG106-180,BG106+180)</f>
        <v>70.6143267120786</v>
      </c>
      <c r="BI106" s="0" t="n">
        <f aca="false">IF(BH106&gt;180,BH106-360,BH106)</f>
        <v>70.6143267120786</v>
      </c>
      <c r="BJ106" s="0" t="n">
        <f aca="false">SUM((BF107&lt;0)*(BF106&gt;0))*A106</f>
        <v>0</v>
      </c>
      <c r="BK106" s="0" t="n">
        <f aca="false">IF(BJ106&gt;0,BI106,0)</f>
        <v>0</v>
      </c>
      <c r="BM106" s="0" t="n">
        <f aca="false">20*LOG(J106*F106*C106)</f>
        <v>23.3896134325791</v>
      </c>
      <c r="BN106" s="0" t="n">
        <f aca="false">(H106+D106)*180/Pi</f>
        <v>-59.2107970306333</v>
      </c>
      <c r="BQ106" s="347" t="n">
        <f aca="false">20*LOG(BA106*7)</f>
        <v>51.9907307063442</v>
      </c>
      <c r="BR106" s="353"/>
      <c r="BS106" s="353"/>
      <c r="BT106" s="353" t="n">
        <v>912.011</v>
      </c>
      <c r="BU106" s="353" t="n">
        <v>15.6715</v>
      </c>
      <c r="BV106" s="353" t="n">
        <v>-261.7487</v>
      </c>
      <c r="BW106" s="349"/>
      <c r="BY106" s="353"/>
      <c r="BZ106" s="353"/>
      <c r="CA106" s="353"/>
      <c r="CC106" s="353"/>
    </row>
    <row r="107" customFormat="false" ht="12.75" hidden="false" customHeight="false" outlineLevel="0" collapsed="false">
      <c r="A107" s="0" t="n">
        <f aca="false">A106+500</f>
        <v>36500</v>
      </c>
      <c r="B107" s="0" t="n">
        <f aca="false">A107/1000</f>
        <v>36.5</v>
      </c>
      <c r="C107" s="0" t="n">
        <f aca="false">SQRT((A107/Fesr)^2+1)</f>
        <v>1.00000002629756</v>
      </c>
      <c r="D107" s="0" t="n">
        <f aca="false">ATAN(A107/Fesr)</f>
        <v>0.000229336259429344</v>
      </c>
      <c r="F107" s="0" t="n">
        <f aca="false">(Ro/(Ro+Rdcr))/SQRT((A107/(Q*Fo))^2+(1-(A107^2/Fo^2))^2)</f>
        <v>1.65061967825104</v>
      </c>
      <c r="G107" s="0" t="n">
        <f aca="false">-ATAN(A107*Fo/(Q*(Fo^2-A107^2)))</f>
        <v>-1.06740202894361</v>
      </c>
      <c r="H107" s="0" t="n">
        <f aca="false">IF(G107&gt;0,G107-Pi,G107)</f>
        <v>-1.06740202894361</v>
      </c>
      <c r="J107" s="0" t="n">
        <f aca="false">Vin/Vramp</f>
        <v>9</v>
      </c>
      <c r="M107" s="0" t="n">
        <f aca="false">1/(2*Pi*_Rfb1*(Cc1ea_u+Cc2ea_u)*A107)</f>
        <v>0.161496644620757</v>
      </c>
      <c r="N107" s="0" t="n">
        <f aca="false">-Pi/2</f>
        <v>-1.570796325</v>
      </c>
      <c r="O107" s="0" t="n">
        <f aca="false">SQRT(1+(A107/Fz1_u)^2)</f>
        <v>1.33979717564465</v>
      </c>
      <c r="P107" s="0" t="n">
        <f aca="false">ATAN2(Fz1_u,A107)</f>
        <v>0.728187873784899</v>
      </c>
      <c r="Q107" s="0" t="n">
        <f aca="false">SQRT(1+(A107/Fz2_u)^2)</f>
        <v>1011.78438657516</v>
      </c>
      <c r="R107" s="0" t="n">
        <f aca="false">ATAN2(Fz2_u,A107)</f>
        <v>1.56980797376625</v>
      </c>
      <c r="S107" s="0" t="n">
        <f aca="false">1/SQRT(1+(A107/Fp1_u)^2)</f>
        <v>0.346824834068996</v>
      </c>
      <c r="T107" s="0" t="n">
        <f aca="false">-ATAN2(Fp1_u,A107)</f>
        <v>-1.21661264237741</v>
      </c>
      <c r="U107" s="0" t="n">
        <f aca="false">1/SQRT(1+(A107/Fp2_u)^2)</f>
        <v>0.995128080098764</v>
      </c>
      <c r="V107" s="0" t="n">
        <f aca="false">-ATAN2(Fp2_u,A107)</f>
        <v>-0.0987510099460654</v>
      </c>
      <c r="X107" s="0" t="n">
        <f aca="false">20*LOG(C107*J107*O107*Q107*F107*M107*S107*U107)</f>
        <v>61.0033848453657</v>
      </c>
      <c r="Y107" s="0" t="n">
        <f aca="false">(180/Pi)*(D107+H107+N107+P107+R107+T107+V107)</f>
        <v>-94.8438137077288</v>
      </c>
      <c r="Z107" s="0" t="n">
        <f aca="false">Y107+180</f>
        <v>85.1561862922712</v>
      </c>
      <c r="AC107" s="0" t="n">
        <v>1</v>
      </c>
      <c r="AD107" s="0" t="n">
        <f aca="false">Rcea1_u*Cc1ea_u*A107*2*Pi</f>
        <v>0.8916593922936</v>
      </c>
      <c r="AE107" s="0" t="n">
        <f aca="false">-Rcea1_u*Cc1ea_u*Cc2ea_u*(A107*2*Pi)^2</f>
        <v>-3.06734749948068E-005</v>
      </c>
      <c r="AF107" s="0" t="n">
        <f aca="false">(Cc2ea_u+Cc1ea_u)*A107*2*Pi</f>
        <v>0.0003096039556575</v>
      </c>
      <c r="AG107" s="0" t="n">
        <f aca="false">AC107*AE107/(AE107^2+AF107^2)+AD107*AF107/(AE107^2+AF107^2)</f>
        <v>2535.11653325069</v>
      </c>
      <c r="AH107" s="0" t="n">
        <f aca="false">AD107*AE107/(AE107^2+AF107^2)-AC107*AF107/(AE107^2+AF107^2)</f>
        <v>-3481.09516657423</v>
      </c>
      <c r="AJ107" s="0" t="n">
        <f aca="false">_Rfb1</f>
        <v>20000</v>
      </c>
      <c r="AK107" s="0" t="n">
        <f aca="false">_Rfb1*Rcea2_u*Cc3ea_u*A107*2*Pi</f>
        <v>54086.664372048</v>
      </c>
      <c r="AL107" s="0" t="n">
        <v>1</v>
      </c>
      <c r="AM107" s="0" t="n">
        <f aca="false">(_Rfb1+Rcea2_u)*Cc3ea_u*A107*2*Pi</f>
        <v>1011.7838923986</v>
      </c>
      <c r="AN107" s="0" t="n">
        <f aca="false">AJ107*AL107/(AL107^2+AM107^2)+AK107*AM107/(AL107^2+AM107^2)</f>
        <v>53.4762205567311</v>
      </c>
      <c r="AO107" s="0" t="n">
        <f aca="false">AK107*AL107/(AL107^2+AM107^2)-AJ107*AM107/(AL107^2+AM107^2)</f>
        <v>-19.7142136075686</v>
      </c>
      <c r="AQ107" s="0" t="n">
        <f aca="false">Eadcg/(1+(Eadcg*A107/GBP)^2)</f>
        <v>8.52280858798651</v>
      </c>
      <c r="AR107" s="0" t="n">
        <f aca="false">-(A107*Eadcg*Eadcg/GBP)/(1+(Eadcg*A107/GBP)^2)</f>
        <v>-163.940484594215</v>
      </c>
      <c r="AT107" s="0" t="n">
        <f aca="false">-AR107*AH107+AG107*AQ107</f>
        <v>-549086.115565622</v>
      </c>
      <c r="AU107" s="0" t="n">
        <f aca="false">AQ107*AH107+AG107*AR107</f>
        <v>-445276.940745201</v>
      </c>
      <c r="AV107" s="0" t="n">
        <f aca="false">ATAN2(AT107,AU107)</f>
        <v>-2.46021533756464</v>
      </c>
      <c r="AW107" s="0" t="n">
        <f aca="false">AG107-AH107*AO107/_Rfb2+AG107*AN107/_Rfb2+AN107-AO107*AR107+AQ107*AN107</f>
        <v>-157.473757872111</v>
      </c>
      <c r="AX107" s="0" t="n">
        <f aca="false">AH107+AH107*AN107/_Rfb2+AG107*AO107/_Rfb2+AO107+AO107*AQ107+AN107*AR107</f>
        <v>-12542.0075003529</v>
      </c>
      <c r="AY107" s="0" t="n">
        <f aca="false">ATAN2(AW107,AX107)</f>
        <v>-1.58335137299682</v>
      </c>
      <c r="BA107" s="0" t="n">
        <f aca="false">SQRT(AT107^2+AU107^2)/SQRT(AW107^2+AX107^2)</f>
        <v>56.3615012747534</v>
      </c>
      <c r="BB107" s="0" t="n">
        <f aca="false">20*LOG(BA107)</f>
        <v>35.0196510537775</v>
      </c>
      <c r="BC107" s="0" t="n">
        <f aca="false">AV107-AY107</f>
        <v>-0.876863964567822</v>
      </c>
      <c r="BD107" s="0" t="n">
        <f aca="false">BC107*180/Pi-180</f>
        <v>-230.240604434253</v>
      </c>
      <c r="BF107" s="0" t="n">
        <f aca="false">20*LOG(BA107*J107*F107*C107)</f>
        <v>58.4574418379434</v>
      </c>
      <c r="BG107" s="0" t="n">
        <f aca="false">(180/Pi)*(D107+H107+BC107)</f>
        <v>-111.385095806536</v>
      </c>
      <c r="BH107" s="0" t="n">
        <f aca="false">IF(BG107&gt;180,BG107-180,BG107+180)</f>
        <v>68.6149041934639</v>
      </c>
      <c r="BI107" s="0" t="n">
        <f aca="false">IF(BH107&gt;180,BH107-360,BH107)</f>
        <v>68.6149041934639</v>
      </c>
      <c r="BJ107" s="0" t="n">
        <f aca="false">SUM((BF108&lt;0)*(BF107&gt;0))*A107</f>
        <v>0</v>
      </c>
      <c r="BK107" s="0" t="n">
        <f aca="false">IF(BJ107&gt;0,BI107,0)</f>
        <v>0</v>
      </c>
      <c r="BM107" s="0" t="n">
        <f aca="false">20*LOG(J107*F107*C107)</f>
        <v>23.4377907841659</v>
      </c>
      <c r="BN107" s="0" t="n">
        <f aca="false">(H107+D107)*180/Pi</f>
        <v>-61.1444913722828</v>
      </c>
      <c r="BQ107" s="347" t="n">
        <f aca="false">20*LOG(BA107*7)</f>
        <v>51.9216118540626</v>
      </c>
      <c r="BR107" s="353"/>
      <c r="BS107" s="353"/>
      <c r="BT107" s="353" t="n">
        <v>933.254</v>
      </c>
      <c r="BU107" s="353" t="n">
        <v>15.4714</v>
      </c>
      <c r="BV107" s="353" t="n">
        <v>-261.2073</v>
      </c>
      <c r="BW107" s="349"/>
      <c r="BY107" s="353"/>
      <c r="BZ107" s="353"/>
      <c r="CA107" s="353"/>
      <c r="CC107" s="353"/>
    </row>
    <row r="108" customFormat="false" ht="12.75" hidden="false" customHeight="false" outlineLevel="0" collapsed="false">
      <c r="A108" s="0" t="n">
        <f aca="false">A107+500</f>
        <v>37000</v>
      </c>
      <c r="B108" s="0" t="n">
        <f aca="false">A108/1000</f>
        <v>37</v>
      </c>
      <c r="C108" s="0" t="n">
        <f aca="false">SQRT((A108/Fesr)^2+1)</f>
        <v>1.00000002702298</v>
      </c>
      <c r="D108" s="0" t="n">
        <f aca="false">ATAN(A108/Fesr)</f>
        <v>0.000232477851911838</v>
      </c>
      <c r="F108" s="0" t="n">
        <f aca="false">(Ro/(Ro+Rdcr))/SQRT((A108/(Q*Fo))^2+(1-(A108^2/Fo^2))^2)</f>
        <v>1.65826626795826</v>
      </c>
      <c r="G108" s="0" t="n">
        <f aca="false">-ATAN(A108*Fo/(Q*(Fo^2-A108^2)))</f>
        <v>-1.10188983739086</v>
      </c>
      <c r="H108" s="0" t="n">
        <f aca="false">IF(G108&gt;0,G108-Pi,G108)</f>
        <v>-1.10188983739086</v>
      </c>
      <c r="J108" s="0" t="n">
        <f aca="false">Vin/Vramp</f>
        <v>9</v>
      </c>
      <c r="M108" s="0" t="n">
        <f aca="false">1/(2*Pi*_Rfb1*(Cc1ea_u+Cc2ea_u)*A108)</f>
        <v>0.159314257531288</v>
      </c>
      <c r="N108" s="0" t="n">
        <f aca="false">-Pi/2</f>
        <v>-1.570796325</v>
      </c>
      <c r="O108" s="0" t="n">
        <f aca="false">SQRT(1+(A108/Fz1_u)^2)</f>
        <v>1.34795698568851</v>
      </c>
      <c r="P108" s="0" t="n">
        <f aca="false">ATAN2(Fz1_u,A108)</f>
        <v>0.734951262488176</v>
      </c>
      <c r="Q108" s="0" t="n">
        <f aca="false">SQRT(1+(A108/Fz2_u)^2)</f>
        <v>1025.64443321763</v>
      </c>
      <c r="R108" s="0" t="n">
        <f aca="false">ATAN2(Fz2_u,A108)</f>
        <v>1.56982132987974</v>
      </c>
      <c r="S108" s="0" t="n">
        <f aca="false">1/SQRT(1+(A108/Fp1_u)^2)</f>
        <v>0.342691743103495</v>
      </c>
      <c r="T108" s="0" t="n">
        <f aca="false">-ATAN2(Fp1_u,A108)</f>
        <v>-1.22101568179771</v>
      </c>
      <c r="U108" s="0" t="n">
        <f aca="false">1/SQRT(1+(A108/Fp2_u)^2)</f>
        <v>0.994994695957741</v>
      </c>
      <c r="V108" s="0" t="n">
        <f aca="false">-ATAN2(Fp2_u,A108)</f>
        <v>-0.100094806417931</v>
      </c>
      <c r="X108" s="0" t="n">
        <f aca="false">20*LOG(C108*J108*O108*Q108*F108*M108*S108*U108)</f>
        <v>60.9909739753199</v>
      </c>
      <c r="Y108" s="0" t="n">
        <f aca="false">(180/Pi)*(D108+H108+N108+P108+R108+T108+V108)</f>
        <v>-96.7606301439497</v>
      </c>
      <c r="Z108" s="0" t="n">
        <f aca="false">Y108+180</f>
        <v>83.2393698560503</v>
      </c>
      <c r="AC108" s="0" t="n">
        <v>1</v>
      </c>
      <c r="AD108" s="0" t="n">
        <f aca="false">Rcea1_u*Cc1ea_u*A108*2*Pi</f>
        <v>0.9038739045168</v>
      </c>
      <c r="AE108" s="0" t="n">
        <f aca="false">-Rcea1_u*Cc1ea_u*Cc2ea_u*(A108*2*Pi)^2</f>
        <v>-3.15196001260203E-005</v>
      </c>
      <c r="AF108" s="0" t="n">
        <f aca="false">(Cc2ea_u+Cc1ea_u)*A108*2*Pi</f>
        <v>0.000313845105735</v>
      </c>
      <c r="AG108" s="0" t="n">
        <f aca="false">AC108*AE108/(AE108^2+AF108^2)+AD108*AF108/(AE108^2+AF108^2)</f>
        <v>2534.43697915914</v>
      </c>
      <c r="AH108" s="0" t="n">
        <f aca="false">AD108*AE108/(AE108^2+AF108^2)-AC108*AF108/(AE108^2+AF108^2)</f>
        <v>-3440.81975597068</v>
      </c>
      <c r="AJ108" s="0" t="n">
        <f aca="false">_Rfb1</f>
        <v>20000</v>
      </c>
      <c r="AK108" s="0" t="n">
        <f aca="false">_Rfb1*Rcea2_u*Cc3ea_u*A108*2*Pi</f>
        <v>54827.577582624</v>
      </c>
      <c r="AL108" s="0" t="n">
        <v>1</v>
      </c>
      <c r="AM108" s="0" t="n">
        <f aca="false">(_Rfb1+Rcea2_u)*Cc3ea_u*A108*2*Pi</f>
        <v>1025.64394571913</v>
      </c>
      <c r="AN108" s="0" t="n">
        <f aca="false">AJ108*AL108/(AL108^2+AM108^2)+AK108*AM108/(AL108^2+AM108^2)</f>
        <v>53.4756975043552</v>
      </c>
      <c r="AO108" s="0" t="n">
        <f aca="false">AK108*AL108/(AL108^2+AM108^2)-AJ108*AM108/(AL108^2+AM108^2)</f>
        <v>-19.4478058255491</v>
      </c>
      <c r="AQ108" s="0" t="n">
        <f aca="false">Eadcg/(1+(Eadcg*A108/GBP)^2)</f>
        <v>8.2946189687742</v>
      </c>
      <c r="AR108" s="0" t="n">
        <f aca="false">-(A108*Eadcg*Eadcg/GBP)/(1+(Eadcg*A108/GBP)^2)</f>
        <v>-161.736775272128</v>
      </c>
      <c r="AT108" s="0" t="n">
        <f aca="false">-AR108*AH108+AG108*AQ108</f>
        <v>-535484.902580832</v>
      </c>
      <c r="AU108" s="0" t="n">
        <f aca="false">AQ108*AH108+AG108*AR108</f>
        <v>-438451.95295564</v>
      </c>
      <c r="AV108" s="0" t="n">
        <f aca="false">ATAN2(AT108,AU108)</f>
        <v>-2.45549640703115</v>
      </c>
      <c r="AW108" s="0" t="n">
        <f aca="false">AG108-AH108*AO108/_Rfb2+AG108*AN108/_Rfb2+AN108-AO108*AR108+AQ108*AN108</f>
        <v>-83.0757129553236</v>
      </c>
      <c r="AX108" s="0" t="n">
        <f aca="false">AH108+AH108*AN108/_Rfb2+AG108*AO108/_Rfb2+AO108+AO108*AQ108+AN108*AR108</f>
        <v>-12375.5468342883</v>
      </c>
      <c r="AY108" s="0" t="n">
        <f aca="false">ATAN2(AW108,AX108)</f>
        <v>-1.57750911825561</v>
      </c>
      <c r="BA108" s="0" t="n">
        <f aca="false">SQRT(AT108^2+AU108^2)/SQRT(AW108^2+AX108^2)</f>
        <v>55.9224782061241</v>
      </c>
      <c r="BB108" s="0" t="n">
        <f aca="false">20*LOG(BA108)</f>
        <v>34.9517281787142</v>
      </c>
      <c r="BC108" s="0" t="n">
        <f aca="false">AV108-AY108</f>
        <v>-0.877987288775532</v>
      </c>
      <c r="BD108" s="0" t="n">
        <f aca="false">BC108*180/Pi-180</f>
        <v>-230.304966170454</v>
      </c>
      <c r="BF108" s="0" t="n">
        <f aca="false">20*LOG(BA108*J108*F108*C108)</f>
        <v>58.4296639325408</v>
      </c>
      <c r="BG108" s="0" t="n">
        <f aca="false">(180/Pi)*(D108+H108+BC108)</f>
        <v>-113.425283413687</v>
      </c>
      <c r="BH108" s="0" t="n">
        <f aca="false">IF(BG108&gt;180,BG108-180,BG108+180)</f>
        <v>66.574716586313</v>
      </c>
      <c r="BI108" s="0" t="n">
        <f aca="false">IF(BH108&gt;180,BH108-360,BH108)</f>
        <v>66.574716586313</v>
      </c>
      <c r="BJ108" s="0" t="n">
        <f aca="false">SUM((BF109&lt;0)*(BF108&gt;0))*A108</f>
        <v>0</v>
      </c>
      <c r="BK108" s="0" t="n">
        <f aca="false">IF(BJ108&gt;0,BI108,0)</f>
        <v>0</v>
      </c>
      <c r="BM108" s="0" t="n">
        <f aca="false">20*LOG(J108*F108*C108)</f>
        <v>23.4779357538267</v>
      </c>
      <c r="BN108" s="0" t="n">
        <f aca="false">(H108+D108)*180/Pi</f>
        <v>-63.1203172432334</v>
      </c>
      <c r="BQ108" s="347" t="n">
        <f aca="false">20*LOG(BA108*7)</f>
        <v>51.8536889789993</v>
      </c>
      <c r="BR108" s="353"/>
      <c r="BS108" s="353"/>
      <c r="BT108" s="353" t="n">
        <v>954.993</v>
      </c>
      <c r="BU108" s="353" t="n">
        <v>15.3525</v>
      </c>
      <c r="BV108" s="353" t="n">
        <v>-261.2661</v>
      </c>
      <c r="BW108" s="349"/>
      <c r="BY108" s="353"/>
      <c r="BZ108" s="353"/>
      <c r="CA108" s="353"/>
      <c r="CC108" s="353"/>
    </row>
    <row r="109" customFormat="false" ht="12.75" hidden="false" customHeight="false" outlineLevel="0" collapsed="false">
      <c r="A109" s="0" t="n">
        <f aca="false">A108+500</f>
        <v>37500</v>
      </c>
      <c r="B109" s="0" t="n">
        <f aca="false">A109/1000</f>
        <v>37.5</v>
      </c>
      <c r="C109" s="0" t="n">
        <f aca="false">SQRT((A109/Fesr)^2+1)</f>
        <v>1.00000002775826</v>
      </c>
      <c r="D109" s="0" t="n">
        <f aca="false">ATAN(A109/Fesr)</f>
        <v>0.000235619444389742</v>
      </c>
      <c r="F109" s="0" t="n">
        <f aca="false">(Ro/(Ro+Rdcr))/SQRT((A109/(Q*Fo))^2+(1-(A109^2/Fo^2))^2)</f>
        <v>1.66429119929002</v>
      </c>
      <c r="G109" s="0" t="n">
        <f aca="false">-ATAN(A109*Fo/(Q*(Fo^2-A109^2)))</f>
        <v>-1.13706228147671</v>
      </c>
      <c r="H109" s="0" t="n">
        <f aca="false">IF(G109&gt;0,G109-Pi,G109)</f>
        <v>-1.13706228147671</v>
      </c>
      <c r="J109" s="0" t="n">
        <f aca="false">Vin/Vramp</f>
        <v>9</v>
      </c>
      <c r="M109" s="0" t="n">
        <f aca="false">1/(2*Pi*_Rfb1*(Cc1ea_u+Cc2ea_u)*A109)</f>
        <v>0.157190067430871</v>
      </c>
      <c r="N109" s="0" t="n">
        <f aca="false">-Pi/2</f>
        <v>-1.570796325</v>
      </c>
      <c r="O109" s="0" t="n">
        <f aca="false">SQRT(1+(A109/Fz1_u)^2)</f>
        <v>1.35617771228007</v>
      </c>
      <c r="P109" s="0" t="n">
        <f aca="false">ATAN2(Fz1_u,A109)</f>
        <v>0.741632958656434</v>
      </c>
      <c r="Q109" s="0" t="n">
        <f aca="false">SQRT(1+(A109/Fz2_u)^2)</f>
        <v>1039.50448003818</v>
      </c>
      <c r="R109" s="0" t="n">
        <f aca="false">ATAN2(Fz2_u,A109)</f>
        <v>1.56983432983053</v>
      </c>
      <c r="S109" s="0" t="n">
        <f aca="false">1/SQRT(1+(A109/Fp1_u)^2)</f>
        <v>0.338649664534298</v>
      </c>
      <c r="T109" s="0" t="n">
        <f aca="false">-ATAN2(Fp1_u,A109)</f>
        <v>-1.22531493448001</v>
      </c>
      <c r="U109" s="0" t="n">
        <f aca="false">1/SQRT(1+(A109/Fp2_u)^2)</f>
        <v>0.994859551786522</v>
      </c>
      <c r="V109" s="0" t="n">
        <f aca="false">-ATAN2(Fp2_u,A109)</f>
        <v>-0.101438240275553</v>
      </c>
      <c r="X109" s="0" t="n">
        <f aca="false">20*LOG(C109*J109*O109*Q109*F109*M109*S109*U109)</f>
        <v>60.9710466070046</v>
      </c>
      <c r="Y109" s="0" t="n">
        <f aca="false">(180/Pi)*(D109+H109+N109+P109+R109+T109+V109)</f>
        <v>-98.7154070385814</v>
      </c>
      <c r="Z109" s="0" t="n">
        <f aca="false">Y109+180</f>
        <v>81.2845929614186</v>
      </c>
      <c r="AC109" s="0" t="n">
        <v>1</v>
      </c>
      <c r="AD109" s="0" t="n">
        <f aca="false">Rcea1_u*Cc1ea_u*A109*2*Pi</f>
        <v>0.91608841674</v>
      </c>
      <c r="AE109" s="0" t="n">
        <f aca="false">-Rcea1_u*Cc1ea_u*Cc2ea_u*(A109*2*Pi)^2</f>
        <v>-3.23772371637809E-005</v>
      </c>
      <c r="AF109" s="0" t="n">
        <f aca="false">(Cc2ea_u+Cc1ea_u)*A109*2*Pi</f>
        <v>0.0003180862558125</v>
      </c>
      <c r="AG109" s="0" t="n">
        <f aca="false">AC109*AE109/(AE109^2+AF109^2)+AD109*AF109/(AE109^2+AF109^2)</f>
        <v>2533.74855111905</v>
      </c>
      <c r="AH109" s="0" t="n">
        <f aca="false">AD109*AE109/(AE109^2+AF109^2)-AC109*AF109/(AE109^2+AF109^2)</f>
        <v>-3401.70553735207</v>
      </c>
      <c r="AJ109" s="0" t="n">
        <f aca="false">_Rfb1</f>
        <v>20000</v>
      </c>
      <c r="AK109" s="0" t="n">
        <f aca="false">_Rfb1*Rcea2_u*Cc3ea_u*A109*2*Pi</f>
        <v>55568.4907932</v>
      </c>
      <c r="AL109" s="0" t="n">
        <v>1</v>
      </c>
      <c r="AM109" s="0" t="n">
        <f aca="false">(_Rfb1+Rcea2_u)*Cc3ea_u*A109*2*Pi</f>
        <v>1039.50399903966</v>
      </c>
      <c r="AN109" s="0" t="n">
        <f aca="false">AJ109*AL109/(AL109^2+AM109^2)+AK109*AM109/(AL109^2+AM109^2)</f>
        <v>53.4751952342516</v>
      </c>
      <c r="AO109" s="0" t="n">
        <f aca="false">AK109*AL109/(AL109^2+AM109^2)-AJ109*AM109/(AL109^2+AM109^2)</f>
        <v>-19.1885022310575</v>
      </c>
      <c r="AQ109" s="0" t="n">
        <f aca="false">Eadcg/(1+(Eadcg*A109/GBP)^2)</f>
        <v>8.07546486158404</v>
      </c>
      <c r="AR109" s="0" t="n">
        <f aca="false">-(A109*Eadcg*Eadcg/GBP)/(1+(Eadcg*A109/GBP)^2)</f>
        <v>-159.591374327055</v>
      </c>
      <c r="AT109" s="0" t="n">
        <f aca="false">-AR109*AH109+AG109*AQ109</f>
        <v>-522421.664369317</v>
      </c>
      <c r="AU109" s="0" t="n">
        <f aca="false">AQ109*AH109+AG109*AR109</f>
        <v>-431834.767008615</v>
      </c>
      <c r="AV109" s="0" t="n">
        <f aca="false">ATAN2(AT109,AU109)</f>
        <v>-2.45084017047357</v>
      </c>
      <c r="AW109" s="0" t="n">
        <f aca="false">AG109-AH109*AO109/_Rfb2+AG109*AN109/_Rfb2+AN109-AO109*AR109+AQ109*AN109</f>
        <v>-11.6600570296591</v>
      </c>
      <c r="AX109" s="0" t="n">
        <f aca="false">AH109+AH109*AN109/_Rfb2+AG109*AO109/_Rfb2+AO109+AO109*AQ109+AN109*AR109</f>
        <v>-12213.7665832977</v>
      </c>
      <c r="AY109" s="0" t="n">
        <f aca="false">ATAN2(AW109,AX109)</f>
        <v>-1.57175099163214</v>
      </c>
      <c r="BA109" s="0" t="n">
        <f aca="false">SQRT(AT109^2+AU109^2)/SQRT(AW109^2+AX109^2)</f>
        <v>55.4942974368955</v>
      </c>
      <c r="BB109" s="0" t="n">
        <f aca="false">20*LOG(BA109)</f>
        <v>34.8849671511269</v>
      </c>
      <c r="BC109" s="0" t="n">
        <f aca="false">AV109-AY109</f>
        <v>-0.879089178841428</v>
      </c>
      <c r="BD109" s="0" t="n">
        <f aca="false">BC109*180/Pi-180</f>
        <v>-230.368099820789</v>
      </c>
      <c r="BF109" s="0" t="n">
        <f aca="false">20*LOG(BA109*J109*F109*C109)</f>
        <v>58.3944039141069</v>
      </c>
      <c r="BG109" s="0" t="n">
        <f aca="false">(180/Pi)*(D109+H109+BC109)</f>
        <v>-115.503469667614</v>
      </c>
      <c r="BH109" s="0" t="n">
        <f aca="false">IF(BG109&gt;180,BG109-180,BG109+180)</f>
        <v>64.4965303323859</v>
      </c>
      <c r="BI109" s="0" t="n">
        <f aca="false">IF(BH109&gt;180,BH109-360,BH109)</f>
        <v>64.4965303323859</v>
      </c>
      <c r="BJ109" s="0" t="n">
        <f aca="false">SUM((BF110&lt;0)*(BF109&gt;0))*A109</f>
        <v>0</v>
      </c>
      <c r="BK109" s="0" t="n">
        <f aca="false">IF(BJ109&gt;0,BI109,0)</f>
        <v>0</v>
      </c>
      <c r="BM109" s="0" t="n">
        <f aca="false">20*LOG(J109*F109*C109)</f>
        <v>23.5094367629799</v>
      </c>
      <c r="BN109" s="0" t="n">
        <f aca="false">(H109+D109)*180/Pi</f>
        <v>-65.1353698468251</v>
      </c>
      <c r="BQ109" s="347" t="n">
        <f aca="false">20*LOG(BA109*7)</f>
        <v>51.7869279514121</v>
      </c>
      <c r="BR109" s="353"/>
      <c r="BS109" s="353"/>
      <c r="BT109" s="353" t="n">
        <v>977.237</v>
      </c>
      <c r="BU109" s="353" t="n">
        <v>15.0807</v>
      </c>
      <c r="BV109" s="353" t="n">
        <v>-260.9324</v>
      </c>
      <c r="BW109" s="349"/>
      <c r="BY109" s="353"/>
      <c r="BZ109" s="353"/>
      <c r="CA109" s="353"/>
      <c r="CC109" s="353"/>
    </row>
    <row r="110" customFormat="false" ht="12.75" hidden="false" customHeight="false" outlineLevel="0" collapsed="false">
      <c r="A110" s="0" t="n">
        <f aca="false">A109+500</f>
        <v>38000</v>
      </c>
      <c r="B110" s="0" t="n">
        <f aca="false">A110/1000</f>
        <v>38</v>
      </c>
      <c r="C110" s="0" t="n">
        <f aca="false">SQRT((A110/Fesr)^2+1)</f>
        <v>1.00000002850342</v>
      </c>
      <c r="D110" s="0" t="n">
        <f aca="false">ATAN(A110/Fesr)</f>
        <v>0.000238761036862996</v>
      </c>
      <c r="F110" s="0" t="n">
        <f aca="false">(Ro/(Ro+Rdcr))/SQRT((A110/(Q*Fo))^2+(1-(A110^2/Fo^2))^2)</f>
        <v>1.66856490324526</v>
      </c>
      <c r="G110" s="0" t="n">
        <f aca="false">-ATAN(A110*Fo/(Q*(Fo^2-A110^2)))</f>
        <v>-1.1728600342598</v>
      </c>
      <c r="H110" s="0" t="n">
        <f aca="false">IF(G110&gt;0,G110-Pi,G110)</f>
        <v>-1.1728600342598</v>
      </c>
      <c r="J110" s="0" t="n">
        <f aca="false">Vin/Vramp</f>
        <v>9</v>
      </c>
      <c r="M110" s="0" t="n">
        <f aca="false">1/(2*Pi*_Rfb1*(Cc1ea_u+Cc2ea_u)*A110)</f>
        <v>0.155121777069938</v>
      </c>
      <c r="N110" s="0" t="n">
        <f aca="false">-Pi/2</f>
        <v>-1.570796325</v>
      </c>
      <c r="O110" s="0" t="n">
        <f aca="false">SQRT(1+(A110/Fz1_u)^2)</f>
        <v>1.36445825437118</v>
      </c>
      <c r="P110" s="0" t="n">
        <f aca="false">ATAN2(Fz1_u,A110)</f>
        <v>0.748233847607203</v>
      </c>
      <c r="Q110" s="0" t="n">
        <f aca="false">SQRT(1+(A110/Fz2_u)^2)</f>
        <v>1053.36452702978</v>
      </c>
      <c r="R110" s="0" t="n">
        <f aca="false">ATAN2(Fz2_u,A110)</f>
        <v>1.56984698767767</v>
      </c>
      <c r="S110" s="0" t="n">
        <f aca="false">1/SQRT(1+(A110/Fp1_u)^2)</f>
        <v>0.334695856064184</v>
      </c>
      <c r="T110" s="0" t="n">
        <f aca="false">-ATAN2(Fp1_u,A110)</f>
        <v>-1.22951387385178</v>
      </c>
      <c r="U110" s="0" t="n">
        <f aca="false">1/SQRT(1+(A110/Fp2_u)^2)</f>
        <v>0.994722649765326</v>
      </c>
      <c r="V110" s="0" t="n">
        <f aca="false">-ATAN2(Fp2_u,A110)</f>
        <v>-0.102781306818368</v>
      </c>
      <c r="X110" s="0" t="n">
        <f aca="false">20*LOG(C110*J110*O110*Q110*F110*M110*S110*U110)</f>
        <v>60.9429936345799</v>
      </c>
      <c r="Y110" s="0" t="n">
        <f aca="false">(180/Pi)*(D110+H110+N110+P110+R110+T110+V110)</f>
        <v>-100.704892421199</v>
      </c>
      <c r="Z110" s="0" t="n">
        <f aca="false">Y110+180</f>
        <v>79.2951075788015</v>
      </c>
      <c r="AC110" s="0" t="n">
        <v>1</v>
      </c>
      <c r="AD110" s="0" t="n">
        <f aca="false">Rcea1_u*Cc1ea_u*A110*2*Pi</f>
        <v>0.9283029289632</v>
      </c>
      <c r="AE110" s="0" t="n">
        <f aca="false">-Rcea1_u*Cc1ea_u*Cc2ea_u*(A110*2*Pi)^2</f>
        <v>-3.32463861080886E-005</v>
      </c>
      <c r="AF110" s="0" t="n">
        <f aca="false">(Cc2ea_u+Cc1ea_u)*A110*2*Pi</f>
        <v>0.00032232740589</v>
      </c>
      <c r="AG110" s="0" t="n">
        <f aca="false">AC110*AE110/(AE110^2+AF110^2)+AD110*AF110/(AE110^2+AF110^2)</f>
        <v>2533.05126388775</v>
      </c>
      <c r="AH110" s="0" t="n">
        <f aca="false">AD110*AE110/(AE110^2+AF110^2)-AC110*AF110/(AE110^2+AF110^2)</f>
        <v>-3363.70653111886</v>
      </c>
      <c r="AJ110" s="0" t="n">
        <f aca="false">_Rfb1</f>
        <v>20000</v>
      </c>
      <c r="AK110" s="0" t="n">
        <f aca="false">_Rfb1*Rcea2_u*Cc3ea_u*A110*2*Pi</f>
        <v>56309.404003776</v>
      </c>
      <c r="AL110" s="0" t="n">
        <v>1</v>
      </c>
      <c r="AM110" s="0" t="n">
        <f aca="false">(_Rfb1+Rcea2_u)*Cc3ea_u*A110*2*Pi</f>
        <v>1053.36405236019</v>
      </c>
      <c r="AN110" s="0" t="n">
        <f aca="false">AJ110*AL110/(AL110^2+AM110^2)+AK110*AM110/(AL110^2+AM110^2)</f>
        <v>53.4747126598466</v>
      </c>
      <c r="AO110" s="0" t="n">
        <f aca="false">AK110*AL110/(AL110^2+AM110^2)-AJ110*AM110/(AL110^2+AM110^2)</f>
        <v>-18.9360223966705</v>
      </c>
      <c r="AQ110" s="0" t="n">
        <f aca="false">Eadcg/(1+(Eadcg*A110/GBP)^2)</f>
        <v>7.86487584156783</v>
      </c>
      <c r="AR110" s="0" t="n">
        <f aca="false">-(A110*Eadcg*Eadcg/GBP)/(1+(Eadcg*A110/GBP)^2)</f>
        <v>-157.502003603237</v>
      </c>
      <c r="AT110" s="0" t="n">
        <f aca="false">-AR110*AH110+AG110*AQ110</f>
        <v>-509868.384493713</v>
      </c>
      <c r="AU110" s="0" t="n">
        <f aca="false">AQ110*AH110+AG110*AR110</f>
        <v>-425415.783526753</v>
      </c>
      <c r="AV110" s="0" t="n">
        <f aca="false">ATAN2(AT110,AU110)</f>
        <v>-2.44624647101397</v>
      </c>
      <c r="AW110" s="0" t="n">
        <f aca="false">AG110-AH110*AO110/_Rfb2+AG110*AN110/_Rfb2+AN110-AO110*AR110+AQ110*AN110</f>
        <v>56.9280193554007</v>
      </c>
      <c r="AX110" s="0" t="n">
        <f aca="false">AH110+AH110*AN110/_Rfb2+AG110*AO110/_Rfb2+AO110+AO110*AQ110+AN110*AR110</f>
        <v>-12056.4740246916</v>
      </c>
      <c r="AY110" s="0" t="n">
        <f aca="false">ATAN2(AW110,AX110)</f>
        <v>-1.56607458176642</v>
      </c>
      <c r="BA110" s="0" t="n">
        <f aca="false">SQRT(AT110^2+AU110^2)/SQRT(AW110^2+AX110^2)</f>
        <v>55.0765513858608</v>
      </c>
      <c r="BB110" s="0" t="n">
        <f aca="false">20*LOG(BA110)</f>
        <v>34.8193347823951</v>
      </c>
      <c r="BC110" s="0" t="n">
        <f aca="false">AV110-AY110</f>
        <v>-0.880171889247552</v>
      </c>
      <c r="BD110" s="0" t="n">
        <f aca="false">BC110*180/Pi-180</f>
        <v>-230.430134557566</v>
      </c>
      <c r="BF110" s="0" t="n">
        <f aca="false">20*LOG(BA110*J110*F110*C110)</f>
        <v>58.3510473057981</v>
      </c>
      <c r="BG110" s="0" t="n">
        <f aca="false">(180/Pi)*(D110+H110+BC110)</f>
        <v>-117.616384557269</v>
      </c>
      <c r="BH110" s="0" t="n">
        <f aca="false">IF(BG110&gt;180,BG110-180,BG110+180)</f>
        <v>62.3836154427313</v>
      </c>
      <c r="BI110" s="0" t="n">
        <f aca="false">IF(BH110&gt;180,BH110-360,BH110)</f>
        <v>62.3836154427313</v>
      </c>
      <c r="BJ110" s="0" t="n">
        <f aca="false">SUM((BF111&lt;0)*(BF110&gt;0))*A110</f>
        <v>0</v>
      </c>
      <c r="BK110" s="0" t="n">
        <f aca="false">IF(BJ110&gt;0,BI110,0)</f>
        <v>0</v>
      </c>
      <c r="BM110" s="0" t="n">
        <f aca="false">20*LOG(J110*F110*C110)</f>
        <v>23.531712523403</v>
      </c>
      <c r="BN110" s="0" t="n">
        <f aca="false">(H110+D110)*180/Pi</f>
        <v>-67.186249999703</v>
      </c>
      <c r="BQ110" s="347" t="n">
        <f aca="false">20*LOG(BA110*7)</f>
        <v>51.7212955826802</v>
      </c>
      <c r="BR110" s="353"/>
      <c r="BS110" s="353"/>
      <c r="BT110" s="353" t="n">
        <v>1000</v>
      </c>
      <c r="BU110" s="353" t="n">
        <v>14.8838</v>
      </c>
      <c r="BV110" s="353" t="n">
        <v>-260.5154</v>
      </c>
      <c r="BW110" s="349"/>
      <c r="BY110" s="353"/>
      <c r="BZ110" s="353"/>
      <c r="CA110" s="353"/>
      <c r="CC110" s="353"/>
    </row>
    <row r="111" customFormat="false" ht="12.75" hidden="false" customHeight="false" outlineLevel="0" collapsed="false">
      <c r="A111" s="0" t="n">
        <f aca="false">A110+500</f>
        <v>38500</v>
      </c>
      <c r="B111" s="0" t="n">
        <f aca="false">A111/1000</f>
        <v>38.5</v>
      </c>
      <c r="C111" s="0" t="n">
        <f aca="false">SQRT((A111/Fesr)^2+1)</f>
        <v>1.00000002925844</v>
      </c>
      <c r="D111" s="0" t="n">
        <f aca="false">ATAN(A111/Fesr)</f>
        <v>0.000241902629331537</v>
      </c>
      <c r="F111" s="0" t="n">
        <f aca="false">(Ro/(Ro+Rdcr))/SQRT((A111/(Q*Fo))^2+(1-(A111^2/Fo^2))^2)</f>
        <v>1.67097000485997</v>
      </c>
      <c r="G111" s="0" t="n">
        <f aca="false">-ATAN(A111*Fo/(Q*(Fo^2-A111^2)))</f>
        <v>-1.20921537128325</v>
      </c>
      <c r="H111" s="0" t="n">
        <f aca="false">IF(G111&gt;0,G111-Pi,G111)</f>
        <v>-1.20921537128325</v>
      </c>
      <c r="J111" s="0" t="n">
        <f aca="false">Vin/Vramp</f>
        <v>9</v>
      </c>
      <c r="M111" s="0" t="n">
        <f aca="false">1/(2*Pi*_Rfb1*(Cc1ea_u+Cc2ea_u)*A111)</f>
        <v>0.153107208536562</v>
      </c>
      <c r="N111" s="0" t="n">
        <f aca="false">-Pi/2</f>
        <v>-1.570796325</v>
      </c>
      <c r="O111" s="0" t="n">
        <f aca="false">SQRT(1+(A111/Fz1_u)^2)</f>
        <v>1.37279752956356</v>
      </c>
      <c r="P111" s="0" t="n">
        <f aca="false">ATAN2(Fz1_u,A111)</f>
        <v>0.754754821544673</v>
      </c>
      <c r="Q111" s="0" t="n">
        <f aca="false">SQRT(1+(A111/Fz2_u)^2)</f>
        <v>1067.22457418577</v>
      </c>
      <c r="R111" s="0" t="n">
        <f aca="false">ATAN2(Fz2_u,A111)</f>
        <v>1.56985931674985</v>
      </c>
      <c r="S111" s="0" t="n">
        <f aca="false">1/SQRT(1+(A111/Fp1_u)^2)</f>
        <v>0.330827672879112</v>
      </c>
      <c r="T111" s="0" t="n">
        <f aca="false">-ATAN2(Fp1_u,A111)</f>
        <v>-1.23361582728628</v>
      </c>
      <c r="U111" s="0" t="n">
        <f aca="false">1/SQRT(1+(A111/Fp2_u)^2)</f>
        <v>0.994583992101115</v>
      </c>
      <c r="V111" s="0" t="n">
        <f aca="false">-ATAN2(Fp2_u,A111)</f>
        <v>-0.10412400135368</v>
      </c>
      <c r="X111" s="0" t="n">
        <f aca="false">20*LOG(C111*J111*O111*Q111*F111*M111*S111*U111)</f>
        <v>60.9062483093087</v>
      </c>
      <c r="Y111" s="0" t="n">
        <f aca="false">(180/Pi)*(D111+H111+N111+P111+R111+T111+V111)</f>
        <v>-102.725344458609</v>
      </c>
      <c r="Z111" s="0" t="n">
        <f aca="false">Y111+180</f>
        <v>77.274655541391</v>
      </c>
      <c r="AC111" s="0" t="n">
        <v>1</v>
      </c>
      <c r="AD111" s="0" t="n">
        <f aca="false">Rcea1_u*Cc1ea_u*A111*2*Pi</f>
        <v>0.9405174411864</v>
      </c>
      <c r="AE111" s="0" t="n">
        <f aca="false">-Rcea1_u*Cc1ea_u*Cc2ea_u*(A111*2*Pi)^2</f>
        <v>-3.41270469589434E-005</v>
      </c>
      <c r="AF111" s="0" t="n">
        <f aca="false">(Cc2ea_u+Cc1ea_u)*A111*2*Pi</f>
        <v>0.0003265685559675</v>
      </c>
      <c r="AG111" s="0" t="n">
        <f aca="false">AC111*AE111/(AE111^2+AF111^2)+AD111*AF111/(AE111^2+AF111^2)</f>
        <v>2532.34513240011</v>
      </c>
      <c r="AH111" s="0" t="n">
        <f aca="false">AD111*AE111/(AE111^2+AF111^2)-AC111*AF111/(AE111^2+AF111^2)</f>
        <v>-3326.779144523</v>
      </c>
      <c r="AJ111" s="0" t="n">
        <f aca="false">_Rfb1</f>
        <v>20000</v>
      </c>
      <c r="AK111" s="0" t="n">
        <f aca="false">_Rfb1*Rcea2_u*Cc3ea_u*A111*2*Pi</f>
        <v>57050.317214352</v>
      </c>
      <c r="AL111" s="0" t="n">
        <v>1</v>
      </c>
      <c r="AM111" s="0" t="n">
        <f aca="false">(_Rfb1+Rcea2_u)*Cc3ea_u*A111*2*Pi</f>
        <v>1067.22410568072</v>
      </c>
      <c r="AN111" s="0" t="n">
        <f aca="false">AJ111*AL111/(AL111^2+AM111^2)+AK111*AM111/(AL111^2+AM111^2)</f>
        <v>53.474248764662</v>
      </c>
      <c r="AO111" s="0" t="n">
        <f aca="false">AK111*AL111/(AL111^2+AM111^2)-AJ111*AM111/(AL111^2+AM111^2)</f>
        <v>-18.6901004625572</v>
      </c>
      <c r="AQ111" s="0" t="n">
        <f aca="false">Eadcg/(1+(Eadcg*A111/GBP)^2)</f>
        <v>7.66241168103497</v>
      </c>
      <c r="AR111" s="0" t="n">
        <f aca="false">-(A111*Eadcg*Eadcg/GBP)/(1+(Eadcg*A111/GBP)^2)</f>
        <v>-155.466501802359</v>
      </c>
      <c r="AT111" s="0" t="n">
        <f aca="false">-AR111*AH111+AG111*AQ111</f>
        <v>-497798.844945121</v>
      </c>
      <c r="AU111" s="0" t="n">
        <f aca="false">AQ111*AH111+AG111*AR111</f>
        <v>-419185.990467693</v>
      </c>
      <c r="AV111" s="0" t="n">
        <f aca="false">ATAN2(AT111,AU111)</f>
        <v>-2.44171510696845</v>
      </c>
      <c r="AW111" s="0" t="n">
        <f aca="false">AG111-AH111*AO111/_Rfb2+AG111*AN111/_Rfb2+AN111-AO111*AR111+AQ111*AN111</f>
        <v>122.833389998298</v>
      </c>
      <c r="AX111" s="0" t="n">
        <f aca="false">AH111+AH111*AN111/_Rfb2+AG111*AO111/_Rfb2+AO111+AO111*AQ111+AN111*AR111</f>
        <v>-11903.4869412611</v>
      </c>
      <c r="AY111" s="0" t="n">
        <f aca="false">ATAN2(AW111,AX111)</f>
        <v>-1.56047758314007</v>
      </c>
      <c r="BA111" s="0" t="n">
        <f aca="false">SQRT(AT111^2+AU111^2)/SQRT(AW111^2+AX111^2)</f>
        <v>54.6688502681313</v>
      </c>
      <c r="BB111" s="0" t="n">
        <f aca="false">20*LOG(BA111)</f>
        <v>34.7547988081927</v>
      </c>
      <c r="BC111" s="0" t="n">
        <f aca="false">AV111-AY111</f>
        <v>-0.881237523828373</v>
      </c>
      <c r="BD111" s="0" t="n">
        <f aca="false">BC111*180/Pi-180</f>
        <v>-230.49119092162</v>
      </c>
      <c r="BF111" s="0" t="n">
        <f aca="false">20*LOG(BA111*J111*F111*C111)</f>
        <v>58.2990223322774</v>
      </c>
      <c r="BG111" s="0" t="n">
        <f aca="false">(180/Pi)*(D111+H111+BC111)</f>
        <v>-119.760268297933</v>
      </c>
      <c r="BH111" s="0" t="n">
        <f aca="false">IF(BG111&gt;180,BG111-180,BG111+180)</f>
        <v>60.2397317020674</v>
      </c>
      <c r="BI111" s="0" t="n">
        <f aca="false">IF(BH111&gt;180,BH111-360,BH111)</f>
        <v>60.2397317020674</v>
      </c>
      <c r="BJ111" s="0" t="n">
        <f aca="false">SUM((BF112&lt;0)*(BF111&gt;0))*A111</f>
        <v>0</v>
      </c>
      <c r="BK111" s="0" t="n">
        <f aca="false">IF(BJ111&gt;0,BI111,0)</f>
        <v>0</v>
      </c>
      <c r="BM111" s="0" t="n">
        <f aca="false">20*LOG(J111*F111*C111)</f>
        <v>23.5442235240847</v>
      </c>
      <c r="BN111" s="0" t="n">
        <f aca="false">(H111+D111)*180/Pi</f>
        <v>-69.2690773763129</v>
      </c>
      <c r="BQ111" s="347" t="n">
        <f aca="false">20*LOG(BA111*7)</f>
        <v>51.6567596084778</v>
      </c>
      <c r="BR111" s="353"/>
      <c r="BS111" s="353"/>
      <c r="BT111" s="353" t="n">
        <v>1023.293</v>
      </c>
      <c r="BU111" s="353" t="n">
        <v>14.7437</v>
      </c>
      <c r="BV111" s="353" t="n">
        <v>-261.1239</v>
      </c>
      <c r="BW111" s="349"/>
      <c r="BY111" s="353"/>
      <c r="BZ111" s="353"/>
      <c r="CA111" s="353"/>
      <c r="CC111" s="353"/>
    </row>
    <row r="112" customFormat="false" ht="12.75" hidden="false" customHeight="false" outlineLevel="0" collapsed="false">
      <c r="A112" s="0" t="n">
        <f aca="false">A111+500</f>
        <v>39000</v>
      </c>
      <c r="B112" s="0" t="n">
        <f aca="false">A112/1000</f>
        <v>39</v>
      </c>
      <c r="C112" s="0" t="n">
        <f aca="false">SQRT((A112/Fesr)^2+1)</f>
        <v>1.00000003002334</v>
      </c>
      <c r="D112" s="0" t="n">
        <f aca="false">ATAN(A112/Fesr)</f>
        <v>0.000245044221795303</v>
      </c>
      <c r="F112" s="0" t="n">
        <f aca="false">(Ro/(Ro+Rdcr))/SQRT((A112/(Q*Fo))^2+(1-(A112^2/Fo^2))^2)</f>
        <v>1.6714048331208</v>
      </c>
      <c r="G112" s="0" t="n">
        <f aca="false">-ATAN(A112*Fo/(Q*(Fo^2-A112^2)))</f>
        <v>-1.24605264573073</v>
      </c>
      <c r="H112" s="0" t="n">
        <f aca="false">IF(G112&gt;0,G112-Pi,G112)</f>
        <v>-1.24605264573073</v>
      </c>
      <c r="J112" s="0" t="n">
        <f aca="false">Vin/Vramp</f>
        <v>9</v>
      </c>
      <c r="M112" s="0" t="n">
        <f aca="false">1/(2*Pi*_Rfb1*(Cc1ea_u+Cc2ea_u)*A112)</f>
        <v>0.151144295606606</v>
      </c>
      <c r="N112" s="0" t="n">
        <f aca="false">-Pi/2</f>
        <v>-1.570796325</v>
      </c>
      <c r="O112" s="0" t="n">
        <f aca="false">SQRT(1+(A112/Fz1_u)^2)</f>
        <v>1.38119447401431</v>
      </c>
      <c r="P112" s="0" t="n">
        <f aca="false">ATAN2(Fz1_u,A112)</f>
        <v>0.761196778389967</v>
      </c>
      <c r="Q112" s="0" t="n">
        <f aca="false">SQRT(1+(A112/Fz2_u)^2)</f>
        <v>1081.08462149983</v>
      </c>
      <c r="R112" s="0" t="n">
        <f aca="false">ATAN2(Fz2_u,A112)</f>
        <v>1.56987132969225</v>
      </c>
      <c r="S112" s="0" t="n">
        <f aca="false">1/SQRT(1+(A112/Fp1_u)^2)</f>
        <v>0.327042564116674</v>
      </c>
      <c r="T112" s="0" t="n">
        <f aca="false">-ATAN2(Fp1_u,A112)</f>
        <v>-1.23762398327243</v>
      </c>
      <c r="U112" s="0" t="n">
        <f aca="false">1/SQRT(1+(A112/Fp2_u)^2)</f>
        <v>0.994443581027497</v>
      </c>
      <c r="V112" s="0" t="n">
        <f aca="false">-ATAN2(Fp2_u,A112)</f>
        <v>-0.105466319196762</v>
      </c>
      <c r="X112" s="0" t="n">
        <f aca="false">20*LOG(C112*J112*O112*Q112*F112*M112*S112*U112)</f>
        <v>60.8602977336293</v>
      </c>
      <c r="Y112" s="0" t="n">
        <f aca="false">(180/Pi)*(D112+H112+N112+P112+R112+T112+V112)</f>
        <v>-104.772559154435</v>
      </c>
      <c r="Z112" s="0" t="n">
        <f aca="false">Y112+180</f>
        <v>75.227440845565</v>
      </c>
      <c r="AC112" s="0" t="n">
        <v>1</v>
      </c>
      <c r="AD112" s="0" t="n">
        <f aca="false">Rcea1_u*Cc1ea_u*A112*2*Pi</f>
        <v>0.9527319534096</v>
      </c>
      <c r="AE112" s="0" t="n">
        <f aca="false">-Rcea1_u*Cc1ea_u*Cc2ea_u*(A112*2*Pi)^2</f>
        <v>-3.50192197163454E-005</v>
      </c>
      <c r="AF112" s="0" t="n">
        <f aca="false">(Cc2ea_u+Cc1ea_u)*A112*2*Pi</f>
        <v>0.000330809706045</v>
      </c>
      <c r="AG112" s="0" t="n">
        <f aca="false">AC112*AE112/(AE112^2+AF112^2)+AD112*AF112/(AE112^2+AF112^2)</f>
        <v>2531.63017176779</v>
      </c>
      <c r="AH112" s="0" t="n">
        <f aca="false">AD112*AE112/(AE112^2+AF112^2)-AC112*AF112/(AE112^2+AF112^2)</f>
        <v>-3290.88201867201</v>
      </c>
      <c r="AJ112" s="0" t="n">
        <f aca="false">_Rfb1</f>
        <v>20000</v>
      </c>
      <c r="AK112" s="0" t="n">
        <f aca="false">_Rfb1*Rcea2_u*Cc3ea_u*A112*2*Pi</f>
        <v>57791.230424928</v>
      </c>
      <c r="AL112" s="0" t="n">
        <v>1</v>
      </c>
      <c r="AM112" s="0" t="n">
        <f aca="false">(_Rfb1+Rcea2_u)*Cc3ea_u*A112*2*Pi</f>
        <v>1081.08415900125</v>
      </c>
      <c r="AN112" s="0" t="n">
        <f aca="false">AJ112*AL112/(AL112^2+AM112^2)+AK112*AM112/(AL112^2+AM112^2)</f>
        <v>53.4738025969577</v>
      </c>
      <c r="AO112" s="0" t="n">
        <f aca="false">AK112*AL112/(AL112^2+AM112^2)-AJ112*AM112/(AL112^2+AM112^2)</f>
        <v>-18.4504842026642</v>
      </c>
      <c r="AQ112" s="0" t="n">
        <f aca="false">Eadcg/(1+(Eadcg*A112/GBP)^2)</f>
        <v>7.46766005470394</v>
      </c>
      <c r="AR112" s="0" t="n">
        <f aca="false">-(A112*Eadcg*Eadcg/GBP)/(1+(Eadcg*A112/GBP)^2)</f>
        <v>-153.48281710433</v>
      </c>
      <c r="AT112" s="0" t="n">
        <f aca="false">-AR112*AH112+AG112*AQ112</f>
        <v>-486188.489476772</v>
      </c>
      <c r="AU112" s="0" t="n">
        <f aca="false">AQ112*AH112+AG112*AR112</f>
        <v>-413136.918824819</v>
      </c>
      <c r="AV112" s="0" t="n">
        <f aca="false">ATAN2(AT112,AU112)</f>
        <v>-2.43724583543629</v>
      </c>
      <c r="AW112" s="0" t="n">
        <f aca="false">AG112-AH112*AO112/_Rfb2+AG112*AN112/_Rfb2+AN112-AO112*AR112+AQ112*AN112</f>
        <v>186.191748037196</v>
      </c>
      <c r="AX112" s="0" t="n">
        <f aca="false">AH112+AH112*AN112/_Rfb2+AG112*AO112/_Rfb2+AO112+AO112*AQ112+AN112*AR112</f>
        <v>-11754.6329106742</v>
      </c>
      <c r="AY112" s="0" t="n">
        <f aca="false">ATAN2(AW112,AX112)</f>
        <v>-1.55495779062915</v>
      </c>
      <c r="BA112" s="0" t="n">
        <f aca="false">SQRT(AT112^2+AU112^2)/SQRT(AW112^2+AX112^2)</f>
        <v>54.270821247371</v>
      </c>
      <c r="BB112" s="0" t="n">
        <f aca="false">20*LOG(BA112)</f>
        <v>34.6913278708757</v>
      </c>
      <c r="BC112" s="0" t="n">
        <f aca="false">AV112-AY112</f>
        <v>-0.882288044807139</v>
      </c>
      <c r="BD112" s="0" t="n">
        <f aca="false">BC112*180/Pi-180</f>
        <v>-230.551381340062</v>
      </c>
      <c r="BF112" s="0" t="n">
        <f aca="false">20*LOG(BA112*J112*F112*C112)</f>
        <v>58.2378113936694</v>
      </c>
      <c r="BG112" s="0" t="n">
        <f aca="false">(180/Pi)*(D112+H112+BC112)</f>
        <v>-121.930899073402</v>
      </c>
      <c r="BH112" s="0" t="n">
        <f aca="false">IF(BG112&gt;180,BG112-180,BG112+180)</f>
        <v>58.0691009265977</v>
      </c>
      <c r="BI112" s="0" t="n">
        <f aca="false">IF(BH112&gt;180,BH112-360,BH112)</f>
        <v>58.0691009265977</v>
      </c>
      <c r="BJ112" s="0" t="n">
        <f aca="false">SUM((BF113&lt;0)*(BF112&gt;0))*A112</f>
        <v>0</v>
      </c>
      <c r="BK112" s="0" t="n">
        <f aca="false">IF(BJ112&gt;0,BI112,0)</f>
        <v>0</v>
      </c>
      <c r="BM112" s="0" t="n">
        <f aca="false">20*LOG(J112*F112*C112)</f>
        <v>23.5464835227937</v>
      </c>
      <c r="BN112" s="0" t="n">
        <f aca="false">(H112+D112)*180/Pi</f>
        <v>-71.3795177333406</v>
      </c>
      <c r="BQ112" s="347" t="n">
        <f aca="false">20*LOG(BA112*7)</f>
        <v>51.5932886711608</v>
      </c>
      <c r="BR112" s="353"/>
      <c r="BS112" s="353"/>
      <c r="BT112" s="353" t="n">
        <v>1047.129</v>
      </c>
      <c r="BU112" s="353" t="n">
        <v>14.5866</v>
      </c>
      <c r="BV112" s="353" t="n">
        <v>-260.4077</v>
      </c>
      <c r="BW112" s="349"/>
      <c r="BY112" s="353"/>
      <c r="BZ112" s="353"/>
      <c r="CA112" s="353"/>
      <c r="CC112" s="353"/>
    </row>
    <row r="113" customFormat="false" ht="12.75" hidden="false" customHeight="false" outlineLevel="0" collapsed="false">
      <c r="A113" s="0" t="n">
        <f aca="false">A112+500</f>
        <v>39500</v>
      </c>
      <c r="B113" s="0" t="n">
        <f aca="false">A113/1000</f>
        <v>39.5</v>
      </c>
      <c r="C113" s="0" t="n">
        <f aca="false">SQRT((A113/Fesr)^2+1)</f>
        <v>1.0000000307981</v>
      </c>
      <c r="D113" s="0" t="n">
        <f aca="false">ATAN(A113/Fesr)</f>
        <v>0.000248185814254232</v>
      </c>
      <c r="F113" s="0" t="n">
        <f aca="false">(Ro/(Ro+Rdcr))/SQRT((A113/(Q*Fo))^2+(1-(A113^2/Fo^2))^2)</f>
        <v>1.66978673367416</v>
      </c>
      <c r="G113" s="0" t="n">
        <f aca="false">-ATAN(A113*Fo/(Q*(Fo^2-A113^2)))</f>
        <v>-1.28328901511373</v>
      </c>
      <c r="H113" s="0" t="n">
        <f aca="false">IF(G113&gt;0,G113-Pi,G113)</f>
        <v>-1.28328901511373</v>
      </c>
      <c r="J113" s="0" t="n">
        <f aca="false">Vin/Vramp</f>
        <v>9</v>
      </c>
      <c r="M113" s="0" t="n">
        <f aca="false">1/(2*Pi*_Rfb1*(Cc1ea_u+Cc2ea_u)*A113)</f>
        <v>0.149231076674877</v>
      </c>
      <c r="N113" s="0" t="n">
        <f aca="false">-Pi/2</f>
        <v>-1.570796325</v>
      </c>
      <c r="O113" s="0" t="n">
        <f aca="false">SQRT(1+(A113/Fz1_u)^2)</f>
        <v>1.38964804232483</v>
      </c>
      <c r="P113" s="0" t="n">
        <f aca="false">ATAN2(Fz1_u,A113)</f>
        <v>0.767560620671634</v>
      </c>
      <c r="Q113" s="0" t="n">
        <f aca="false">SQRT(1+(A113/Fz2_u)^2)</f>
        <v>1094.94466896595</v>
      </c>
      <c r="R113" s="0" t="n">
        <f aca="false">ATAN2(Fz2_u,A113)</f>
        <v>1.56988303850978</v>
      </c>
      <c r="S113" s="0" t="n">
        <f aca="false">1/SQRT(1+(A113/Fp1_u)^2)</f>
        <v>0.323338069421617</v>
      </c>
      <c r="T113" s="0" t="n">
        <f aca="false">-ATAN2(Fp1_u,A113)</f>
        <v>-1.24154139819689</v>
      </c>
      <c r="U113" s="0" t="n">
        <f aca="false">1/SQRT(1+(A113/Fp2_u)^2)</f>
        <v>0.994301418804623</v>
      </c>
      <c r="V113" s="0" t="n">
        <f aca="false">-ATAN2(Fp2_u,A113)</f>
        <v>-0.106808255670941</v>
      </c>
      <c r="X113" s="0" t="n">
        <f aca="false">20*LOG(C113*J113*O113*Q113*F113*M113*S113*U113)</f>
        <v>60.8046938979216</v>
      </c>
      <c r="Y113" s="0" t="n">
        <f aca="false">(180/Pi)*(D113+H113+N113+P113+R113+T113+V113)</f>
        <v>-106.841912434911</v>
      </c>
      <c r="Z113" s="0" t="n">
        <f aca="false">Y113+180</f>
        <v>73.1580875650886</v>
      </c>
      <c r="AC113" s="0" t="n">
        <v>1</v>
      </c>
      <c r="AD113" s="0" t="n">
        <f aca="false">Rcea1_u*Cc1ea_u*A113*2*Pi</f>
        <v>0.9649464656328</v>
      </c>
      <c r="AE113" s="0" t="n">
        <f aca="false">-Rcea1_u*Cc1ea_u*Cc2ea_u*(A113*2*Pi)^2</f>
        <v>-3.59229043802945E-005</v>
      </c>
      <c r="AF113" s="0" t="n">
        <f aca="false">(Cc2ea_u+Cc1ea_u)*A113*2*Pi</f>
        <v>0.0003350508561225</v>
      </c>
      <c r="AG113" s="0" t="n">
        <f aca="false">AC113*AE113/(AE113^2+AF113^2)+AD113*AF113/(AE113^2+AF113^2)</f>
        <v>2530.90639727843</v>
      </c>
      <c r="AH113" s="0" t="n">
        <f aca="false">AD113*AE113/(AE113^2+AF113^2)-AC113*AF113/(AE113^2+AF113^2)</f>
        <v>-3255.97588715324</v>
      </c>
      <c r="AJ113" s="0" t="n">
        <f aca="false">_Rfb1</f>
        <v>20000</v>
      </c>
      <c r="AK113" s="0" t="n">
        <f aca="false">_Rfb1*Rcea2_u*Cc3ea_u*A113*2*Pi</f>
        <v>58532.143635504</v>
      </c>
      <c r="AL113" s="0" t="n">
        <v>1</v>
      </c>
      <c r="AM113" s="0" t="n">
        <f aca="false">(_Rfb1+Rcea2_u)*Cc3ea_u*A113*2*Pi</f>
        <v>1094.94421232178</v>
      </c>
      <c r="AN113" s="0" t="n">
        <f aca="false">AJ113*AL113/(AL113^2+AM113^2)+AK113*AM113/(AL113^2+AM113^2)</f>
        <v>53.4733732648467</v>
      </c>
      <c r="AO113" s="0" t="n">
        <f aca="false">AK113*AL113/(AL113^2+AM113^2)-AJ113*AM113/(AL113^2+AM113^2)</f>
        <v>-18.2169341618232</v>
      </c>
      <c r="AQ113" s="0" t="n">
        <f aca="false">Eadcg/(1+(Eadcg*A113/GBP)^2)</f>
        <v>7.28023444569838</v>
      </c>
      <c r="AR113" s="0" t="n">
        <f aca="false">-(A113*Eadcg*Eadcg/GBP)/(1+(Eadcg*A113/GBP)^2)</f>
        <v>-151.54900033888</v>
      </c>
      <c r="AT113" s="0" t="n">
        <f aca="false">-AR113*AH113+AG113*AQ113</f>
        <v>-475014.298893267</v>
      </c>
      <c r="AU113" s="0" t="n">
        <f aca="false">AQ113*AH113+AG113*AR113</f>
        <v>-407260.602266839</v>
      </c>
      <c r="AV113" s="0" t="n">
        <f aca="false">ATAN2(AT113,AU113)</f>
        <v>-2.43283837564624</v>
      </c>
      <c r="AW113" s="0" t="n">
        <f aca="false">AG113-AH113*AO113/_Rfb2+AG113*AN113/_Rfb2+AN113-AO113*AR113+AQ113*AN113</f>
        <v>247.13029490028</v>
      </c>
      <c r="AX113" s="0" t="n">
        <f aca="false">AH113+AH113*AN113/_Rfb2+AG113*AO113/_Rfb2+AO113+AO113*AQ113+AN113*AR113</f>
        <v>-11609.7486520541</v>
      </c>
      <c r="AY113" s="0" t="n">
        <f aca="false">ATAN2(AW113,AX113)</f>
        <v>-1.54951309435958</v>
      </c>
      <c r="BA113" s="0" t="n">
        <f aca="false">SQRT(AT113^2+AU113^2)/SQRT(AW113^2+AX113^2)</f>
        <v>53.8821076296981</v>
      </c>
      <c r="BB113" s="0" t="n">
        <f aca="false">20*LOG(BA113)</f>
        <v>34.6288915012438</v>
      </c>
      <c r="BC113" s="0" t="n">
        <f aca="false">AV113-AY113</f>
        <v>-0.88332528128666</v>
      </c>
      <c r="BD113" s="0" t="n">
        <f aca="false">BC113*180/Pi-180</f>
        <v>-230.610810612763</v>
      </c>
      <c r="BF113" s="0" t="n">
        <f aca="false">20*LOG(BA113*J113*F113*C113)</f>
        <v>58.1669620834488</v>
      </c>
      <c r="BG113" s="0" t="n">
        <f aca="false">(180/Pi)*(D113+H113+BC113)</f>
        <v>-124.123635158589</v>
      </c>
      <c r="BH113" s="0" t="n">
        <f aca="false">IF(BG113&gt;180,BG113-180,BG113+180)</f>
        <v>55.8763648414111</v>
      </c>
      <c r="BI113" s="0" t="n">
        <f aca="false">IF(BH113&gt;180,BH113-360,BH113)</f>
        <v>55.8763648414111</v>
      </c>
      <c r="BJ113" s="0" t="n">
        <f aca="false">SUM((BF114&lt;0)*(BF113&gt;0))*A113</f>
        <v>0</v>
      </c>
      <c r="BK113" s="0" t="n">
        <f aca="false">IF(BJ113&gt;0,BI113,0)</f>
        <v>0</v>
      </c>
      <c r="BM113" s="0" t="n">
        <f aca="false">20*LOG(J113*F113*C113)</f>
        <v>23.538070582205</v>
      </c>
      <c r="BN113" s="0" t="n">
        <f aca="false">(H113+D113)*180/Pi</f>
        <v>-73.5128245458257</v>
      </c>
      <c r="BQ113" s="347" t="n">
        <f aca="false">20*LOG(BA113*7)</f>
        <v>51.5308523015289</v>
      </c>
      <c r="BR113" s="353"/>
      <c r="BS113" s="353"/>
      <c r="BT113" s="353" t="n">
        <v>1071.519</v>
      </c>
      <c r="BU113" s="353" t="n">
        <v>14.3581</v>
      </c>
      <c r="BV113" s="353" t="n">
        <v>-260.5301</v>
      </c>
      <c r="BW113" s="349"/>
      <c r="BY113" s="353"/>
      <c r="BZ113" s="353"/>
      <c r="CA113" s="353"/>
      <c r="CC113" s="353"/>
    </row>
    <row r="114" customFormat="false" ht="12.75" hidden="false" customHeight="false" outlineLevel="0" collapsed="false">
      <c r="A114" s="0" t="n">
        <f aca="false">A113+500</f>
        <v>40000</v>
      </c>
      <c r="B114" s="0" t="n">
        <f aca="false">A114/1000</f>
        <v>40</v>
      </c>
      <c r="C114" s="0" t="n">
        <f aca="false">SQRT((A114/Fesr)^2+1)</f>
        <v>1.00000003158273</v>
      </c>
      <c r="D114" s="0" t="n">
        <f aca="false">ATAN(A114/Fesr)</f>
        <v>0.000251327406708262</v>
      </c>
      <c r="F114" s="0" t="n">
        <f aca="false">(Ro/(Ro+Rdcr))/SQRT((A114/(Q*Fo))^2+(1-(A114^2/Fo^2))^2)</f>
        <v>1.66605500244123</v>
      </c>
      <c r="G114" s="0" t="n">
        <f aca="false">-ATAN(A114*Fo/(Q*(Fo^2-A114^2)))</f>
        <v>-1.32083541368231</v>
      </c>
      <c r="H114" s="0" t="n">
        <f aca="false">IF(G114&gt;0,G114-Pi,G114)</f>
        <v>-1.32083541368231</v>
      </c>
      <c r="J114" s="0" t="n">
        <f aca="false">Vin/Vramp</f>
        <v>9</v>
      </c>
      <c r="M114" s="0" t="n">
        <f aca="false">1/(2*Pi*_Rfb1*(Cc1ea_u+Cc2ea_u)*A114)</f>
        <v>0.147365688216441</v>
      </c>
      <c r="N114" s="0" t="n">
        <f aca="false">-Pi/2</f>
        <v>-1.570796325</v>
      </c>
      <c r="O114" s="0" t="n">
        <f aca="false">SQRT(1+(A114/Fz1_u)^2)</f>
        <v>1.39815720741428</v>
      </c>
      <c r="P114" s="0" t="n">
        <f aca="false">ATAN2(Fz1_u,A114)</f>
        <v>0.773847254474664</v>
      </c>
      <c r="Q114" s="0" t="n">
        <f aca="false">SQRT(1+(A114/Fz2_u)^2)</f>
        <v>1108.80471657843</v>
      </c>
      <c r="R114" s="0" t="n">
        <f aca="false">ATAN2(Fz2_u,A114)</f>
        <v>1.56989445460712</v>
      </c>
      <c r="S114" s="0" t="n">
        <f aca="false">1/SQRT(1+(A114/Fp1_u)^2)</f>
        <v>0.319711815593731</v>
      </c>
      <c r="T114" s="0" t="n">
        <f aca="false">-ATAN2(Fp1_u,A114)</f>
        <v>-1.24537100276019</v>
      </c>
      <c r="U114" s="0" t="n">
        <f aca="false">1/SQRT(1+(A114/Fp2_u)^2)</f>
        <v>0.994157507719092</v>
      </c>
      <c r="V114" s="0" t="n">
        <f aca="false">-ATAN2(Fp2_u,A114)</f>
        <v>-0.108149806107697</v>
      </c>
      <c r="X114" s="0" t="n">
        <f aca="false">20*LOG(C114*J114*O114*Q114*F114*M114*S114*U114)</f>
        <v>60.7390637711828</v>
      </c>
      <c r="Y114" s="0" t="n">
        <f aca="false">(180/Pi)*(D114+H114+N114+P114+R114+T114+V114)</f>
        <v>-108.92841628946</v>
      </c>
      <c r="Z114" s="0" t="n">
        <f aca="false">Y114+180</f>
        <v>71.0715837105397</v>
      </c>
      <c r="AC114" s="0" t="n">
        <v>1</v>
      </c>
      <c r="AD114" s="0" t="n">
        <f aca="false">Rcea1_u*Cc1ea_u*A114*2*Pi</f>
        <v>0.977160977856</v>
      </c>
      <c r="AE114" s="0" t="n">
        <f aca="false">-Rcea1_u*Cc1ea_u*Cc2ea_u*(A114*2*Pi)^2</f>
        <v>-3.68381009507907E-005</v>
      </c>
      <c r="AF114" s="0" t="n">
        <f aca="false">(Cc2ea_u+Cc1ea_u)*A114*2*Pi</f>
        <v>0.0003392920062</v>
      </c>
      <c r="AG114" s="0" t="n">
        <f aca="false">AC114*AE114/(AE114^2+AF114^2)+AD114*AF114/(AE114^2+AF114^2)</f>
        <v>2530.17382439485</v>
      </c>
      <c r="AH114" s="0" t="n">
        <f aca="false">AD114*AE114/(AE114^2+AF114^2)-AC114*AF114/(AE114^2+AF114^2)</f>
        <v>-3222.02344526119</v>
      </c>
      <c r="AJ114" s="0" t="n">
        <f aca="false">_Rfb1</f>
        <v>20000</v>
      </c>
      <c r="AK114" s="0" t="n">
        <f aca="false">_Rfb1*Rcea2_u*Cc3ea_u*A114*2*Pi</f>
        <v>59273.05684608</v>
      </c>
      <c r="AL114" s="0" t="n">
        <v>1</v>
      </c>
      <c r="AM114" s="0" t="n">
        <f aca="false">(_Rfb1+Rcea2_u)*Cc3ea_u*A114*2*Pi</f>
        <v>1108.8042656423</v>
      </c>
      <c r="AN114" s="0" t="n">
        <f aca="false">AJ114*AL114/(AL114^2+AM114^2)+AK114*AM114/(AL114^2+AM114^2)</f>
        <v>53.472959931834</v>
      </c>
      <c r="AO114" s="0" t="n">
        <f aca="false">AK114*AL114/(AL114^2+AM114^2)-AJ114*AM114/(AL114^2+AM114^2)</f>
        <v>-17.9892228575741</v>
      </c>
      <c r="AQ114" s="0" t="n">
        <f aca="false">Eadcg/(1+(Eadcg*A114/GBP)^2)</f>
        <v>7.09977223248094</v>
      </c>
      <c r="AR114" s="0" t="n">
        <f aca="false">-(A114*Eadcg*Eadcg/GBP)/(1+(Eadcg*A114/GBP)^2)</f>
        <v>-149.663198660698</v>
      </c>
      <c r="AT114" s="0" t="n">
        <f aca="false">-AR114*AH114+AG114*AQ114</f>
        <v>-464254.677115765</v>
      </c>
      <c r="AU114" s="0" t="n">
        <f aca="false">AQ114*AH114+AG114*AR114</f>
        <v>-401549.540315573</v>
      </c>
      <c r="AV114" s="0" t="n">
        <f aca="false">ATAN2(AT114,AU114)</f>
        <v>-2.42849241207732</v>
      </c>
      <c r="AW114" s="0" t="n">
        <f aca="false">AG114-AH114*AO114/_Rfb2+AG114*AN114/_Rfb2+AN114-AO114*AR114+AQ114*AN114</f>
        <v>305.768369730088</v>
      </c>
      <c r="AX114" s="0" t="n">
        <f aca="false">AH114+AH114*AN114/_Rfb2+AG114*AO114/_Rfb2+AO114+AO114*AQ114+AN114*AR114</f>
        <v>-11468.679424423</v>
      </c>
      <c r="AY114" s="0" t="n">
        <f aca="false">ATAN2(AW114,AX114)</f>
        <v>-1.54414147484832</v>
      </c>
      <c r="BA114" s="0" t="n">
        <f aca="false">SQRT(AT114^2+AU114^2)/SQRT(AW114^2+AX114^2)</f>
        <v>53.50236809742</v>
      </c>
      <c r="BB114" s="0" t="n">
        <f aca="false">20*LOG(BA114)</f>
        <v>34.5674600998195</v>
      </c>
      <c r="BC114" s="0" t="n">
        <f aca="false">AV114-AY114</f>
        <v>-0.884350937228998</v>
      </c>
      <c r="BD114" s="0" t="n">
        <f aca="false">BC114*180/Pi-180</f>
        <v>-230.669576369559</v>
      </c>
      <c r="BF114" s="0" t="n">
        <f aca="false">20*LOG(BA114*J114*F114*C114)</f>
        <v>58.0860972613972</v>
      </c>
      <c r="BG114" s="0" t="n">
        <f aca="false">(180/Pi)*(D114+H114+BC114)</f>
        <v>-126.33347109175</v>
      </c>
      <c r="BH114" s="0" t="n">
        <f aca="false">IF(BG114&gt;180,BG114-180,BG114+180)</f>
        <v>53.6665289082503</v>
      </c>
      <c r="BI114" s="0" t="n">
        <f aca="false">IF(BH114&gt;180,BH114-360,BH114)</f>
        <v>53.6665289082503</v>
      </c>
      <c r="BJ114" s="0" t="n">
        <f aca="false">SUM((BF115&lt;0)*(BF114&gt;0))*A114</f>
        <v>0</v>
      </c>
      <c r="BK114" s="0" t="n">
        <f aca="false">IF(BJ114&gt;0,BI114,0)</f>
        <v>0</v>
      </c>
      <c r="BM114" s="0" t="n">
        <f aca="false">20*LOG(J114*F114*C114)</f>
        <v>23.5186371615777</v>
      </c>
      <c r="BN114" s="0" t="n">
        <f aca="false">(H114+D114)*180/Pi</f>
        <v>-75.6638947221909</v>
      </c>
      <c r="BQ114" s="347" t="n">
        <f aca="false">20*LOG(BA114*7)</f>
        <v>51.4694209001046</v>
      </c>
      <c r="BR114" s="353"/>
      <c r="BS114" s="353"/>
      <c r="BT114" s="353" t="n">
        <v>1096.478</v>
      </c>
      <c r="BU114" s="353" t="n">
        <v>14.1501</v>
      </c>
      <c r="BV114" s="353" t="n">
        <v>-260.5471</v>
      </c>
      <c r="BW114" s="349"/>
      <c r="BY114" s="353"/>
      <c r="BZ114" s="353"/>
      <c r="CA114" s="353"/>
      <c r="CC114" s="353"/>
    </row>
    <row r="115" customFormat="false" ht="12.75" hidden="false" customHeight="false" outlineLevel="0" collapsed="false">
      <c r="A115" s="0" t="n">
        <f aca="false">A114+500</f>
        <v>40500</v>
      </c>
      <c r="B115" s="0" t="n">
        <f aca="false">A115/1000</f>
        <v>40.5</v>
      </c>
      <c r="C115" s="0" t="n">
        <f aca="false">SQRT((A115/Fesr)^2+1)</f>
        <v>1.00000003237724</v>
      </c>
      <c r="D115" s="0" t="n">
        <f aca="false">ATAN(A115/Fesr)</f>
        <v>0.000254468999157331</v>
      </c>
      <c r="F115" s="0" t="n">
        <f aca="false">(Ro/(Ro+Rdcr))/SQRT((A115/(Q*Fo))^2+(1-(A115^2/Fo^2))^2)</f>
        <v>1.66017326372262</v>
      </c>
      <c r="G115" s="0" t="n">
        <f aca="false">-ATAN(A115*Fo/(Q*(Fo^2-A115^2)))</f>
        <v>-1.35859775017309</v>
      </c>
      <c r="H115" s="0" t="n">
        <f aca="false">IF(G115&gt;0,G115-Pi,G115)</f>
        <v>-1.35859775017309</v>
      </c>
      <c r="J115" s="0" t="n">
        <f aca="false">Vin/Vramp</f>
        <v>9</v>
      </c>
      <c r="M115" s="0" t="n">
        <f aca="false">1/(2*Pi*_Rfb1*(Cc1ea_u+Cc2ea_u)*A115)</f>
        <v>0.145546358732288</v>
      </c>
      <c r="N115" s="0" t="n">
        <f aca="false">-Pi/2</f>
        <v>-1.570796325</v>
      </c>
      <c r="O115" s="0" t="n">
        <f aca="false">SQRT(1+(A115/Fz1_u)^2)</f>
        <v>1.40672096037894</v>
      </c>
      <c r="P115" s="0" t="n">
        <f aca="false">ATAN2(Fz1_u,A115)</f>
        <v>0.780057588446288</v>
      </c>
      <c r="Q115" s="0" t="n">
        <f aca="false">SQRT(1+(A115/Fz2_u)^2)</f>
        <v>1122.66476433185</v>
      </c>
      <c r="R115" s="0" t="n">
        <f aca="false">ATAN2(Fz2_u,A115)</f>
        <v>1.56990558882573</v>
      </c>
      <c r="S115" s="0" t="n">
        <f aca="false">1/SQRT(1+(A115/Fp1_u)^2)</f>
        <v>0.316161513331908</v>
      </c>
      <c r="T115" s="0" t="n">
        <f aca="false">-ATAN2(Fp1_u,A115)</f>
        <v>-1.2491156080473</v>
      </c>
      <c r="U115" s="0" t="n">
        <f aca="false">1/SQRT(1+(A115/Fp2_u)^2)</f>
        <v>0.994011850083848</v>
      </c>
      <c r="V115" s="0" t="n">
        <f aca="false">-ATAN2(Fp2_u,A115)</f>
        <v>-0.109490965846753</v>
      </c>
      <c r="X115" s="0" t="n">
        <f aca="false">20*LOG(C115*J115*O115*Q115*F115*M115*S115*U115)</f>
        <v>60.6631179614542</v>
      </c>
      <c r="Y115" s="0" t="n">
        <f aca="false">(180/Pi)*(D115+H115+N115+P115+R115+T115+V115)</f>
        <v>-111.026787799263</v>
      </c>
      <c r="Z115" s="0" t="n">
        <f aca="false">Y115+180</f>
        <v>68.9732122007372</v>
      </c>
      <c r="AC115" s="0" t="n">
        <v>1</v>
      </c>
      <c r="AD115" s="0" t="n">
        <f aca="false">Rcea1_u*Cc1ea_u*A115*2*Pi</f>
        <v>0.9893754900792</v>
      </c>
      <c r="AE115" s="0" t="n">
        <f aca="false">-Rcea1_u*Cc1ea_u*Cc2ea_u*(A115*2*Pi)^2</f>
        <v>-3.7764809427834E-005</v>
      </c>
      <c r="AF115" s="0" t="n">
        <f aca="false">(Cc2ea_u+Cc1ea_u)*A115*2*Pi</f>
        <v>0.0003435331562775</v>
      </c>
      <c r="AG115" s="0" t="n">
        <f aca="false">AC115*AE115/(AE115^2+AF115^2)+AD115*AF115/(AE115^2+AF115^2)</f>
        <v>2529.43246875421</v>
      </c>
      <c r="AH115" s="0" t="n">
        <f aca="false">AD115*AE115/(AE115^2+AF115^2)-AC115*AF115/(AE115^2+AF115^2)</f>
        <v>-3188.98922891197</v>
      </c>
      <c r="AJ115" s="0" t="n">
        <f aca="false">_Rfb1</f>
        <v>20000</v>
      </c>
      <c r="AK115" s="0" t="n">
        <f aca="false">_Rfb1*Rcea2_u*Cc3ea_u*A115*2*Pi</f>
        <v>60013.970056656</v>
      </c>
      <c r="AL115" s="0" t="n">
        <v>1</v>
      </c>
      <c r="AM115" s="0" t="n">
        <f aca="false">(_Rfb1+Rcea2_u)*Cc3ea_u*A115*2*Pi</f>
        <v>1122.66431896283</v>
      </c>
      <c r="AN115" s="0" t="n">
        <f aca="false">AJ115*AL115/(AL115^2+AM115^2)+AK115*AM115/(AL115^2+AM115^2)</f>
        <v>53.4725618127395</v>
      </c>
      <c r="AO115" s="0" t="n">
        <f aca="false">AK115*AL115/(AL115^2+AM115^2)-AJ115*AM115/(AL115^2+AM115^2)</f>
        <v>-17.7671340411128</v>
      </c>
      <c r="AQ115" s="0" t="n">
        <f aca="false">Eadcg/(1+(Eadcg*A115/GBP)^2)</f>
        <v>6.92593293908811</v>
      </c>
      <c r="AR115" s="0" t="n">
        <f aca="false">-(A115*Eadcg*Eadcg/GBP)/(1+(Eadcg*A115/GBP)^2)</f>
        <v>-147.823649685427</v>
      </c>
      <c r="AT115" s="0" t="n">
        <f aca="false">-AR115*AH115+AG115*AQ115</f>
        <v>-453889.346972739</v>
      </c>
      <c r="AU115" s="0" t="n">
        <f aca="false">AQ115*AH115+AG115*AR115</f>
        <v>-395996.664706986</v>
      </c>
      <c r="AV115" s="0" t="n">
        <f aca="false">ATAN2(AT115,AU115)</f>
        <v>-2.42420759737046</v>
      </c>
      <c r="AW115" s="0" t="n">
        <f aca="false">AG115-AH115*AO115/_Rfb2+AG115*AN115/_Rfb2+AN115-AO115*AR115+AQ115*AN115</f>
        <v>362.218025083636</v>
      </c>
      <c r="AX115" s="0" t="n">
        <f aca="false">AH115+AH115*AN115/_Rfb2+AG115*AO115/_Rfb2+AO115+AO115*AQ115+AN115*AR115</f>
        <v>-11331.2784722529</v>
      </c>
      <c r="AY115" s="0" t="n">
        <f aca="false">ATAN2(AW115,AX115)</f>
        <v>-1.53884099841415</v>
      </c>
      <c r="BA115" s="0" t="n">
        <f aca="false">SQRT(AT115^2+AU115^2)/SQRT(AW115^2+AX115^2)</f>
        <v>53.1312759807997</v>
      </c>
      <c r="BB115" s="0" t="n">
        <f aca="false">20*LOG(BA115)</f>
        <v>34.5070049177679</v>
      </c>
      <c r="BC115" s="0" t="n">
        <f aca="false">AV115-AY115</f>
        <v>-0.885366598956314</v>
      </c>
      <c r="BD115" s="0" t="n">
        <f aca="false">BC115*180/Pi-180</f>
        <v>-230.727769500013</v>
      </c>
      <c r="BF115" s="0" t="n">
        <f aca="false">20*LOG(BA115*J115*F115*C115)</f>
        <v>57.9949236973988</v>
      </c>
      <c r="BG115" s="0" t="n">
        <f aca="false">(180/Pi)*(D115+H115+BC115)</f>
        <v>-128.555106730162</v>
      </c>
      <c r="BH115" s="0" t="n">
        <f aca="false">IF(BG115&gt;180,BG115-180,BG115+180)</f>
        <v>51.4448932698376</v>
      </c>
      <c r="BI115" s="0" t="n">
        <f aca="false">IF(BH115&gt;180,BH115-360,BH115)</f>
        <v>51.4448932698376</v>
      </c>
      <c r="BJ115" s="0" t="n">
        <f aca="false">SUM((BF116&lt;0)*(BF115&gt;0))*A115</f>
        <v>0</v>
      </c>
      <c r="BK115" s="0" t="n">
        <f aca="false">IF(BJ115&gt;0,BI115,0)</f>
        <v>0</v>
      </c>
      <c r="BM115" s="0" t="n">
        <f aca="false">20*LOG(J115*F115*C115)</f>
        <v>23.4879187796309</v>
      </c>
      <c r="BN115" s="0" t="n">
        <f aca="false">(H115+D115)*180/Pi</f>
        <v>-77.8273372301489</v>
      </c>
      <c r="BQ115" s="347" t="n">
        <f aca="false">20*LOG(BA115*7)</f>
        <v>51.408965718053</v>
      </c>
      <c r="BR115" s="353"/>
      <c r="BS115" s="353"/>
      <c r="BT115" s="353" t="n">
        <v>1122.018</v>
      </c>
      <c r="BU115" s="353" t="n">
        <v>13.9679</v>
      </c>
      <c r="BV115" s="353" t="n">
        <v>-259.931</v>
      </c>
      <c r="BW115" s="349"/>
      <c r="BY115" s="353"/>
      <c r="BZ115" s="353"/>
      <c r="CA115" s="353"/>
      <c r="CC115" s="353"/>
    </row>
    <row r="116" customFormat="false" ht="12.75" hidden="false" customHeight="false" outlineLevel="0" collapsed="false">
      <c r="A116" s="0" t="n">
        <f aca="false">A115+500</f>
        <v>41000</v>
      </c>
      <c r="B116" s="0" t="n">
        <f aca="false">A116/1000</f>
        <v>41</v>
      </c>
      <c r="C116" s="0" t="n">
        <f aca="false">SQRT((A116/Fesr)^2+1)</f>
        <v>1.00000003318161</v>
      </c>
      <c r="D116" s="0" t="n">
        <f aca="false">ATAN(A116/Fesr)</f>
        <v>0.000257610591601377</v>
      </c>
      <c r="F116" s="0" t="n">
        <f aca="false">(Ro/(Ro+Rdcr))/SQRT((A116/(Q*Fo))^2+(1-(A116^2/Fo^2))^2)</f>
        <v>1.65213113786415</v>
      </c>
      <c r="G116" s="0" t="n">
        <f aca="false">-ATAN(A116*Fo/(Q*(Fo^2-A116^2)))</f>
        <v>-1.39647829596235</v>
      </c>
      <c r="H116" s="0" t="n">
        <f aca="false">IF(G116&gt;0,G116-Pi,G116)</f>
        <v>-1.39647829596235</v>
      </c>
      <c r="J116" s="0" t="n">
        <f aca="false">Vin/Vramp</f>
        <v>9</v>
      </c>
      <c r="M116" s="0" t="n">
        <f aca="false">1/(2*Pi*_Rfb1*(Cc1ea_u+Cc2ea_u)*A116)</f>
        <v>0.143771403137991</v>
      </c>
      <c r="N116" s="0" t="n">
        <f aca="false">-Pi/2</f>
        <v>-1.570796325</v>
      </c>
      <c r="O116" s="0" t="n">
        <f aca="false">SQRT(1+(A116/Fz1_u)^2)</f>
        <v>1.4153383103386</v>
      </c>
      <c r="P116" s="0" t="n">
        <f aca="false">ATAN2(Fz1_u,A116)</f>
        <v>0.786192532856792</v>
      </c>
      <c r="Q116" s="0" t="n">
        <f aca="false">SQRT(1+(A116/Fz2_u)^2)</f>
        <v>1136.52481222105</v>
      </c>
      <c r="R116" s="0" t="n">
        <f aca="false">ATAN2(Fz2_u,A116)</f>
        <v>1.56991645147825</v>
      </c>
      <c r="S116" s="0" t="n">
        <f aca="false">1/SQRT(1+(A116/Fp1_u)^2)</f>
        <v>0.312684954076945</v>
      </c>
      <c r="T116" s="0" t="n">
        <f aca="false">-ATAN2(Fp1_u,A116)</f>
        <v>-1.25277791127216</v>
      </c>
      <c r="U116" s="0" t="n">
        <f aca="false">1/SQRT(1+(A116/Fp2_u)^2)</f>
        <v>0.99386444823808</v>
      </c>
      <c r="V116" s="0" t="n">
        <f aca="false">-ATAN2(Fp2_u,A116)</f>
        <v>-0.11083173023617</v>
      </c>
      <c r="X116" s="0" t="n">
        <f aca="false">20*LOG(C116*J116*O116*Q116*F116*M116*S116*U116)</f>
        <v>60.576657503864</v>
      </c>
      <c r="Y116" s="0" t="n">
        <f aca="false">(180/Pi)*(D116+H116+N116+P116+R116+T116+V116)</f>
        <v>-113.13152905356</v>
      </c>
      <c r="Z116" s="0" t="n">
        <f aca="false">Y116+180</f>
        <v>66.8684709464402</v>
      </c>
      <c r="AC116" s="0" t="n">
        <v>1</v>
      </c>
      <c r="AD116" s="0" t="n">
        <f aca="false">Rcea1_u*Cc1ea_u*A116*2*Pi</f>
        <v>1.0015900023024</v>
      </c>
      <c r="AE116" s="0" t="n">
        <f aca="false">-Rcea1_u*Cc1ea_u*Cc2ea_u*(A116*2*Pi)^2</f>
        <v>-3.87030298114244E-005</v>
      </c>
      <c r="AF116" s="0" t="n">
        <f aca="false">(Cc2ea_u+Cc1ea_u)*A116*2*Pi</f>
        <v>0.000347774306355</v>
      </c>
      <c r="AG116" s="0" t="n">
        <f aca="false">AC116*AE116/(AE116^2+AF116^2)+AD116*AF116/(AE116^2+AF116^2)</f>
        <v>2528.68234616725</v>
      </c>
      <c r="AH116" s="0" t="n">
        <f aca="false">AD116*AE116/(AE116^2+AF116^2)-AC116*AF116/(AE116^2+AF116^2)</f>
        <v>-3156.83950241757</v>
      </c>
      <c r="AJ116" s="0" t="n">
        <f aca="false">_Rfb1</f>
        <v>20000</v>
      </c>
      <c r="AK116" s="0" t="n">
        <f aca="false">_Rfb1*Rcea2_u*Cc3ea_u*A116*2*Pi</f>
        <v>60754.883267232</v>
      </c>
      <c r="AL116" s="0" t="n">
        <v>1</v>
      </c>
      <c r="AM116" s="0" t="n">
        <f aca="false">(_Rfb1+Rcea2_u)*Cc3ea_u*A116*2*Pi</f>
        <v>1136.52437228336</v>
      </c>
      <c r="AN116" s="0" t="n">
        <f aca="false">AJ116*AL116/(AL116^2+AM116^2)+AK116*AM116/(AL116^2+AM116^2)</f>
        <v>53.4721781699657</v>
      </c>
      <c r="AO116" s="0" t="n">
        <f aca="false">AK116*AL116/(AL116^2+AM116^2)-AJ116*AM116/(AL116^2+AM116^2)</f>
        <v>-17.5504620123157</v>
      </c>
      <c r="AQ116" s="0" t="n">
        <f aca="false">Eadcg/(1+(Eadcg*A116/GBP)^2)</f>
        <v>6.75839663293858</v>
      </c>
      <c r="AR116" s="0" t="n">
        <f aca="false">-(A116*Eadcg*Eadcg/GBP)/(1+(Eadcg*A116/GBP)^2)</f>
        <v>-146.028676047904</v>
      </c>
      <c r="AT116" s="0" t="n">
        <f aca="false">-AR116*AH116+AG116*AQ116</f>
        <v>-443899.254779654</v>
      </c>
      <c r="AU116" s="0" t="n">
        <f aca="false">AQ116*AH116+AG116*AR116</f>
        <v>-390595.308620378</v>
      </c>
      <c r="AV116" s="0" t="n">
        <f aca="false">ATAN2(AT116,AU116)</f>
        <v>-2.41998355504551</v>
      </c>
      <c r="AW116" s="0" t="n">
        <f aca="false">AG116-AH116*AO116/_Rfb2+AG116*AN116/_Rfb2+AN116-AO116*AR116+AQ116*AN116</f>
        <v>416.584554082024</v>
      </c>
      <c r="AX116" s="0" t="n">
        <f aca="false">AH116+AH116*AN116/_Rfb2+AG116*AO116/_Rfb2+AO116+AO116*AQ116+AN116*AR116</f>
        <v>-11197.4065138614</v>
      </c>
      <c r="AY116" s="0" t="n">
        <f aca="false">ATAN2(AW116,AX116)</f>
        <v>-1.5336098128426</v>
      </c>
      <c r="BA116" s="0" t="n">
        <f aca="false">SQRT(AT116^2+AU116^2)/SQRT(AW116^2+AX116^2)</f>
        <v>52.7685185660865</v>
      </c>
      <c r="BB116" s="0" t="n">
        <f aca="false">20*LOG(BA116)</f>
        <v>34.4474980375675</v>
      </c>
      <c r="BC116" s="0" t="n">
        <f aca="false">AV116-AY116</f>
        <v>-0.886373742202912</v>
      </c>
      <c r="BD116" s="0" t="n">
        <f aca="false">BC116*180/Pi-180</f>
        <v>-230.785474557475</v>
      </c>
      <c r="BF116" s="0" t="n">
        <f aca="false">20*LOG(BA116*J116*F116*C116)</f>
        <v>57.8932388438706</v>
      </c>
      <c r="BG116" s="0" t="n">
        <f aca="false">(180/Pi)*(D116+H116+BC116)</f>
        <v>-130.783027189492</v>
      </c>
      <c r="BH116" s="0" t="n">
        <f aca="false">IF(BG116&gt;180,BG116-180,BG116+180)</f>
        <v>49.2169728105081</v>
      </c>
      <c r="BI116" s="0" t="n">
        <f aca="false">IF(BH116&gt;180,BH116-360,BH116)</f>
        <v>49.2169728105081</v>
      </c>
      <c r="BJ116" s="0" t="n">
        <f aca="false">SUM((BF117&lt;0)*(BF116&gt;0))*A116</f>
        <v>0</v>
      </c>
      <c r="BK116" s="0" t="n">
        <f aca="false">IF(BJ116&gt;0,BI116,0)</f>
        <v>0</v>
      </c>
      <c r="BM116" s="0" t="n">
        <f aca="false">20*LOG(J116*F116*C116)</f>
        <v>23.4457408063031</v>
      </c>
      <c r="BN116" s="0" t="n">
        <f aca="false">(H116+D116)*180/Pi</f>
        <v>-79.9975526320174</v>
      </c>
      <c r="BQ116" s="347" t="n">
        <f aca="false">20*LOG(BA116*7)</f>
        <v>51.3494588378526</v>
      </c>
      <c r="BR116" s="353"/>
      <c r="BS116" s="353"/>
      <c r="BT116" s="353" t="n">
        <v>1148.154</v>
      </c>
      <c r="BU116" s="353" t="n">
        <v>13.7508</v>
      </c>
      <c r="BV116" s="353" t="n">
        <v>-259.948</v>
      </c>
      <c r="BW116" s="349"/>
      <c r="BY116" s="353"/>
      <c r="BZ116" s="353"/>
      <c r="CA116" s="353"/>
      <c r="CC116" s="353"/>
    </row>
    <row r="117" customFormat="false" ht="12.75" hidden="false" customHeight="false" outlineLevel="0" collapsed="false">
      <c r="A117" s="0" t="n">
        <f aca="false">A116+500</f>
        <v>41500</v>
      </c>
      <c r="B117" s="0" t="n">
        <f aca="false">A117/1000</f>
        <v>41.5</v>
      </c>
      <c r="C117" s="0" t="n">
        <f aca="false">SQRT((A117/Fesr)^2+1)</f>
        <v>1.00000003399585</v>
      </c>
      <c r="D117" s="0" t="n">
        <f aca="false">ATAN(A117/Fesr)</f>
        <v>0.000260752184040338</v>
      </c>
      <c r="F117" s="0" t="n">
        <f aca="false">(Ro/(Ro+Rdcr))/SQRT((A117/(Q*Fo))^2+(1-(A117^2/Fo^2))^2)</f>
        <v>1.64194508047737</v>
      </c>
      <c r="G117" s="0" t="n">
        <f aca="false">-ATAN(A117*Fo/(Q*(Fo^2-A117^2)))</f>
        <v>-1.43437721560704</v>
      </c>
      <c r="H117" s="0" t="n">
        <f aca="false">IF(G117&gt;0,G117-Pi,G117)</f>
        <v>-1.43437721560704</v>
      </c>
      <c r="J117" s="0" t="n">
        <f aca="false">Vin/Vramp</f>
        <v>9</v>
      </c>
      <c r="M117" s="0" t="n">
        <f aca="false">1/(2*Pi*_Rfb1*(Cc1ea_u+Cc2ea_u)*A117)</f>
        <v>0.142039217558016</v>
      </c>
      <c r="N117" s="0" t="n">
        <f aca="false">-Pi/2</f>
        <v>-1.570796325</v>
      </c>
      <c r="O117" s="0" t="n">
        <f aca="false">SQRT(1+(A117/Fz1_u)^2)</f>
        <v>1.42400828427102</v>
      </c>
      <c r="P117" s="0" t="n">
        <f aca="false">ATAN2(Fz1_u,A117)</f>
        <v>0.792252998713544</v>
      </c>
      <c r="Q117" s="0" t="n">
        <f aca="false">SQRT(1+(A117/Fz2_u)^2)</f>
        <v>1150.38486024112</v>
      </c>
      <c r="R117" s="0" t="n">
        <f aca="false">ATAN2(Fz2_u,A117)</f>
        <v>1.56992705238031</v>
      </c>
      <c r="S117" s="0" t="n">
        <f aca="false">1/SQRT(1+(A117/Fp1_u)^2)</f>
        <v>0.309280006954622</v>
      </c>
      <c r="T117" s="0" t="n">
        <f aca="false">-ATAN2(Fp1_u,A117)</f>
        <v>-1.25636050121453</v>
      </c>
      <c r="U117" s="0" t="n">
        <f aca="false">1/SQRT(1+(A117/Fp2_u)^2)</f>
        <v>0.993715304547117</v>
      </c>
      <c r="V117" s="0" t="n">
        <f aca="false">-ATAN2(Fp2_u,A117)</f>
        <v>-0.112172094632435</v>
      </c>
      <c r="X117" s="0" t="n">
        <f aca="false">20*LOG(C117*J117*O117*Q117*F117*M117*S117*U117)</f>
        <v>60.4795784133677</v>
      </c>
      <c r="Y117" s="0" t="n">
        <f aca="false">(180/Pi)*(D117+H117+N117+P117+R117+T117+V117)</f>
        <v>-115.237015203642</v>
      </c>
      <c r="Z117" s="0" t="n">
        <f aca="false">Y117+180</f>
        <v>64.7629847963577</v>
      </c>
      <c r="AC117" s="0" t="n">
        <v>1</v>
      </c>
      <c r="AD117" s="0" t="n">
        <f aca="false">Rcea1_u*Cc1ea_u*A117*2*Pi</f>
        <v>1.0138045145256</v>
      </c>
      <c r="AE117" s="0" t="n">
        <f aca="false">-Rcea1_u*Cc1ea_u*Cc2ea_u*(A117*2*Pi)^2</f>
        <v>-3.9652762101562E-005</v>
      </c>
      <c r="AF117" s="0" t="n">
        <f aca="false">(Cc2ea_u+Cc1ea_u)*A117*2*Pi</f>
        <v>0.0003520154564325</v>
      </c>
      <c r="AG117" s="0" t="n">
        <f aca="false">AC117*AE117/(AE117^2+AF117^2)+AD117*AF117/(AE117^2+AF117^2)</f>
        <v>2527.92347261739</v>
      </c>
      <c r="AH117" s="0" t="n">
        <f aca="false">AD117*AE117/(AE117^2+AF117^2)-AC117*AF117/(AE117^2+AF117^2)</f>
        <v>-3125.54215437306</v>
      </c>
      <c r="AJ117" s="0" t="n">
        <f aca="false">_Rfb1</f>
        <v>20000</v>
      </c>
      <c r="AK117" s="0" t="n">
        <f aca="false">_Rfb1*Rcea2_u*Cc3ea_u*A117*2*Pi</f>
        <v>61495.796477808</v>
      </c>
      <c r="AL117" s="0" t="n">
        <v>1</v>
      </c>
      <c r="AM117" s="0" t="n">
        <f aca="false">(_Rfb1+Rcea2_u)*Cc3ea_u*A117*2*Pi</f>
        <v>1150.38442560389</v>
      </c>
      <c r="AN117" s="0" t="n">
        <f aca="false">AJ117*AL117/(AL117^2+AM117^2)+AK117*AM117/(AL117^2+AM117^2)</f>
        <v>53.4718083100796</v>
      </c>
      <c r="AO117" s="0" t="n">
        <f aca="false">AK117*AL117/(AL117^2+AM117^2)-AJ117*AM117/(AL117^2+AM117^2)</f>
        <v>-17.3390109842795</v>
      </c>
      <c r="AQ117" s="0" t="n">
        <f aca="false">Eadcg/(1+(Eadcg*A117/GBP)^2)</f>
        <v>6.59686245617042</v>
      </c>
      <c r="AR117" s="0" t="n">
        <f aca="false">-(A117*Eadcg*Eadcg/GBP)/(1+(Eadcg*A117/GBP)^2)</f>
        <v>-144.276680347675</v>
      </c>
      <c r="AT117" s="0" t="n">
        <f aca="false">-AR117*AH117+AG117*AQ117</f>
        <v>-434266.482871084</v>
      </c>
      <c r="AU117" s="0" t="n">
        <f aca="false">AQ117*AH117+AG117*AR117</f>
        <v>-385339.178495566</v>
      </c>
      <c r="AV117" s="0" t="n">
        <f aca="false">ATAN2(AT117,AU117)</f>
        <v>-2.41581988203713</v>
      </c>
      <c r="AW117" s="0" t="n">
        <f aca="false">AG117-AH117*AO117/_Rfb2+AG117*AN117/_Rfb2+AN117-AO117*AR117+AQ117*AN117</f>
        <v>468.966973629784</v>
      </c>
      <c r="AX117" s="0" t="n">
        <f aca="false">AH117+AH117*AN117/_Rfb2+AG117*AO117/_Rfb2+AO117+AO117*AQ117+AN117*AR117</f>
        <v>-11066.9312688235</v>
      </c>
      <c r="AY117" s="0" t="n">
        <f aca="false">ATAN2(AW117,AX117)</f>
        <v>-1.52844614329057</v>
      </c>
      <c r="BA117" s="0" t="n">
        <f aca="false">SQRT(AT117^2+AU117^2)/SQRT(AW117^2+AX117^2)</f>
        <v>52.4137964380884</v>
      </c>
      <c r="BB117" s="0" t="n">
        <f aca="false">20*LOG(BA117)</f>
        <v>34.388912353525</v>
      </c>
      <c r="BC117" s="0" t="n">
        <f aca="false">AV117-AY117</f>
        <v>-0.887373738746555</v>
      </c>
      <c r="BD117" s="0" t="n">
        <f aca="false">BC117*180/Pi-180</f>
        <v>-230.842770139018</v>
      </c>
      <c r="BF117" s="0" t="n">
        <f aca="false">20*LOG(BA117*J117*F117*C117)</f>
        <v>57.7809353738425</v>
      </c>
      <c r="BG117" s="0" t="n">
        <f aca="false">(180/Pi)*(D117+H117+BC117)</f>
        <v>-133.011590917276</v>
      </c>
      <c r="BH117" s="0" t="n">
        <f aca="false">IF(BG117&gt;180,BG117-180,BG117+180)</f>
        <v>46.9884090827244</v>
      </c>
      <c r="BI117" s="0" t="n">
        <f aca="false">IF(BH117&gt;180,BH117-360,BH117)</f>
        <v>46.9884090827244</v>
      </c>
      <c r="BJ117" s="0" t="n">
        <f aca="false">SUM((BF118&lt;0)*(BF117&gt;0))*A117</f>
        <v>0</v>
      </c>
      <c r="BK117" s="0" t="n">
        <f aca="false">IF(BJ117&gt;0,BI117,0)</f>
        <v>0</v>
      </c>
      <c r="BM117" s="0" t="n">
        <f aca="false">20*LOG(J117*F117*C117)</f>
        <v>23.3920230203176</v>
      </c>
      <c r="BN117" s="0" t="n">
        <f aca="false">(H117+D117)*180/Pi</f>
        <v>-82.1688207782571</v>
      </c>
      <c r="BQ117" s="347" t="n">
        <f aca="false">20*LOG(BA117*7)</f>
        <v>51.2908731538101</v>
      </c>
      <c r="BR117" s="353"/>
      <c r="BS117" s="353"/>
      <c r="BT117" s="353" t="n">
        <v>1174.898</v>
      </c>
      <c r="BU117" s="353" t="n">
        <v>13.6038</v>
      </c>
      <c r="BV117" s="353" t="n">
        <v>-260.1987</v>
      </c>
      <c r="BW117" s="349"/>
      <c r="BY117" s="353"/>
      <c r="BZ117" s="353"/>
      <c r="CA117" s="353"/>
      <c r="CC117" s="353"/>
    </row>
    <row r="118" customFormat="false" ht="12.75" hidden="false" customHeight="false" outlineLevel="0" collapsed="false">
      <c r="A118" s="0" t="n">
        <f aca="false">A117+500</f>
        <v>42000</v>
      </c>
      <c r="B118" s="0" t="n">
        <f aca="false">A118/1000</f>
        <v>42</v>
      </c>
      <c r="C118" s="0" t="n">
        <f aca="false">SQRT((A118/Fesr)^2+1)</f>
        <v>1.00000003481996</v>
      </c>
      <c r="D118" s="0" t="n">
        <f aca="false">ATAN(A118/Fesr)</f>
        <v>0.000263893776474152</v>
      </c>
      <c r="F118" s="0" t="n">
        <f aca="false">(Ro/(Ro+Rdcr))/SQRT((A118/(Q*Fo))^2+(1-(A118^2/Fo^2))^2)</f>
        <v>1.62965832482113</v>
      </c>
      <c r="G118" s="0" t="n">
        <f aca="false">-ATAN(A118*Fo/(Q*(Fo^2-A118^2)))</f>
        <v>-1.47219418153033</v>
      </c>
      <c r="H118" s="0" t="n">
        <f aca="false">IF(G118&gt;0,G118-Pi,G118)</f>
        <v>-1.47219418153033</v>
      </c>
      <c r="J118" s="0" t="n">
        <f aca="false">Vin/Vramp</f>
        <v>9</v>
      </c>
      <c r="M118" s="0" t="n">
        <f aca="false">1/(2*Pi*_Rfb1*(Cc1ea_u+Cc2ea_u)*A118)</f>
        <v>0.140348274491849</v>
      </c>
      <c r="N118" s="0" t="n">
        <f aca="false">-Pi/2</f>
        <v>-1.570796325</v>
      </c>
      <c r="O118" s="0" t="n">
        <f aca="false">SQRT(1+(A118/Fz1_u)^2)</f>
        <v>1.43272992683567</v>
      </c>
      <c r="P118" s="0" t="n">
        <f aca="false">ATAN2(Fz1_u,A118)</f>
        <v>0.79823989692642</v>
      </c>
      <c r="Q118" s="0" t="n">
        <f aca="false">SQRT(1+(A118/Fz2_u)^2)</f>
        <v>1164.2449083874</v>
      </c>
      <c r="R118" s="0" t="n">
        <f aca="false">ATAN2(Fz2_u,A118)</f>
        <v>1.56993740088012</v>
      </c>
      <c r="S118" s="0" t="n">
        <f aca="false">1/SQRT(1+(A118/Fp1_u)^2)</f>
        <v>0.305944615819727</v>
      </c>
      <c r="T118" s="0" t="n">
        <f aca="false">-ATAN2(Fp1_u,A118)</f>
        <v>-1.25986586336667</v>
      </c>
      <c r="U118" s="0" t="n">
        <f aca="false">1/SQRT(1+(A118/Fp2_u)^2)</f>
        <v>0.993564421402325</v>
      </c>
      <c r="V118" s="0" t="n">
        <f aca="false">-ATAN2(Fp2_u,A118)</f>
        <v>-0.113512054400553</v>
      </c>
      <c r="X118" s="0" t="n">
        <f aca="false">20*LOG(C118*J118*O118*Q118*F118*M118*S118*U118)</f>
        <v>60.3718737509353</v>
      </c>
      <c r="Y118" s="0" t="n">
        <f aca="false">(180/Pi)*(D118+H118+N118+P118+R118+T118+V118)</f>
        <v>-117.337587318527</v>
      </c>
      <c r="Z118" s="0" t="n">
        <f aca="false">Y118+180</f>
        <v>62.6624126814733</v>
      </c>
      <c r="AC118" s="0" t="n">
        <v>1</v>
      </c>
      <c r="AD118" s="0" t="n">
        <f aca="false">Rcea1_u*Cc1ea_u*A118*2*Pi</f>
        <v>1.0260190267488</v>
      </c>
      <c r="AE118" s="0" t="n">
        <f aca="false">-Rcea1_u*Cc1ea_u*Cc2ea_u*(A118*2*Pi)^2</f>
        <v>-4.06140062982467E-005</v>
      </c>
      <c r="AF118" s="0" t="n">
        <f aca="false">(Cc2ea_u+Cc1ea_u)*A118*2*Pi</f>
        <v>0.00035625660651</v>
      </c>
      <c r="AG118" s="0" t="n">
        <f aca="false">AC118*AE118/(AE118^2+AF118^2)+AD118*AF118/(AE118^2+AF118^2)</f>
        <v>2527.15586425993</v>
      </c>
      <c r="AH118" s="0" t="n">
        <f aca="false">AD118*AE118/(AE118^2+AF118^2)-AC118*AF118/(AE118^2+AF118^2)</f>
        <v>-3095.06660098036</v>
      </c>
      <c r="AJ118" s="0" t="n">
        <f aca="false">_Rfb1</f>
        <v>20000</v>
      </c>
      <c r="AK118" s="0" t="n">
        <f aca="false">_Rfb1*Rcea2_u*Cc3ea_u*A118*2*Pi</f>
        <v>62236.709688384</v>
      </c>
      <c r="AL118" s="0" t="n">
        <v>1</v>
      </c>
      <c r="AM118" s="0" t="n">
        <f aca="false">(_Rfb1+Rcea2_u)*Cc3ea_u*A118*2*Pi</f>
        <v>1164.24447892442</v>
      </c>
      <c r="AN118" s="0" t="n">
        <f aca="false">AJ118*AL118/(AL118^2+AM118^2)+AK118*AM118/(AL118^2+AM118^2)</f>
        <v>53.4714515806767</v>
      </c>
      <c r="AO118" s="0" t="n">
        <f aca="false">AK118*AL118/(AL118^2+AM118^2)-AJ118*AM118/(AL118^2+AM118^2)</f>
        <v>-17.1325944932518</v>
      </c>
      <c r="AQ118" s="0" t="n">
        <f aca="false">Eadcg/(1+(Eadcg*A118/GBP)^2)</f>
        <v>6.44104727794701</v>
      </c>
      <c r="AR118" s="0" t="n">
        <f aca="false">-(A118*Eadcg*Eadcg/GBP)/(1+(Eadcg*A118/GBP)^2)</f>
        <v>-142.566140450079</v>
      </c>
      <c r="AT118" s="0" t="n">
        <f aca="false">-AR118*AH118+AG118*AQ118</f>
        <v>-424974.169337276</v>
      </c>
      <c r="AU118" s="0" t="n">
        <f aca="false">AQ118*AH118+AG118*AR118</f>
        <v>-380222.328188632</v>
      </c>
      <c r="AV118" s="0" t="n">
        <f aca="false">ATAN2(AT118,AU118)</f>
        <v>-2.41171615106211</v>
      </c>
      <c r="AW118" s="0" t="n">
        <f aca="false">AG118-AH118*AO118/_Rfb2+AG118*AN118/_Rfb2+AN118-AO118*AR118+AQ118*AN118</f>
        <v>519.458467835792</v>
      </c>
      <c r="AX118" s="0" t="n">
        <f aca="false">AH118+AH118*AN118/_Rfb2+AG118*AO118/_Rfb2+AO118+AO118*AQ118+AN118*AR118</f>
        <v>-10939.7270209605</v>
      </c>
      <c r="AY118" s="0" t="n">
        <f aca="false">ATAN2(AW118,AX118)</f>
        <v>-1.52334828841685</v>
      </c>
      <c r="BA118" s="0" t="n">
        <f aca="false">SQRT(AT118^2+AU118^2)/SQRT(AW118^2+AX118^2)</f>
        <v>52.0668228556195</v>
      </c>
      <c r="BB118" s="0" t="n">
        <f aca="false">20*LOG(BA118)</f>
        <v>34.3312215522193</v>
      </c>
      <c r="BC118" s="0" t="n">
        <f aca="false">AV118-AY118</f>
        <v>-0.888367862645255</v>
      </c>
      <c r="BD118" s="0" t="n">
        <f aca="false">BC118*180/Pi-180</f>
        <v>-230.899729242792</v>
      </c>
      <c r="BF118" s="0" t="n">
        <f aca="false">20*LOG(BA118*J118*F118*C118)</f>
        <v>57.6580032333773</v>
      </c>
      <c r="BG118" s="0" t="n">
        <f aca="false">(180/Pi)*(D118+H118+BC118)</f>
        <v>-135.235122564932</v>
      </c>
      <c r="BH118" s="0" t="n">
        <f aca="false">IF(BG118&gt;180,BG118-180,BG118+180)</f>
        <v>44.7648774350679</v>
      </c>
      <c r="BI118" s="0" t="n">
        <f aca="false">IF(BH118&gt;180,BH118-360,BH118)</f>
        <v>44.7648774350679</v>
      </c>
      <c r="BJ118" s="0" t="n">
        <f aca="false">SUM((BF119&lt;0)*(BF118&gt;0))*A118</f>
        <v>0</v>
      </c>
      <c r="BK118" s="0" t="n">
        <f aca="false">IF(BJ118&gt;0,BI118,0)</f>
        <v>0</v>
      </c>
      <c r="BM118" s="0" t="n">
        <f aca="false">20*LOG(J118*F118*C118)</f>
        <v>23.326781681158</v>
      </c>
      <c r="BN118" s="0" t="n">
        <f aca="false">(H118+D118)*180/Pi</f>
        <v>-84.33539332214</v>
      </c>
      <c r="BQ118" s="347" t="n">
        <f aca="false">20*LOG(BA118*7)</f>
        <v>51.2331823525044</v>
      </c>
      <c r="BR118" s="353"/>
      <c r="BS118" s="353"/>
      <c r="BT118" s="353" t="n">
        <v>1202.264</v>
      </c>
      <c r="BU118" s="353" t="n">
        <v>13.4128</v>
      </c>
      <c r="BV118" s="353" t="n">
        <v>-259.341</v>
      </c>
      <c r="BW118" s="349"/>
      <c r="BY118" s="353"/>
      <c r="BZ118" s="353"/>
      <c r="CA118" s="353"/>
      <c r="CC118" s="353"/>
    </row>
    <row r="119" customFormat="false" ht="12.75" hidden="false" customHeight="false" outlineLevel="0" collapsed="false">
      <c r="A119" s="0" t="n">
        <f aca="false">A118+500</f>
        <v>42500</v>
      </c>
      <c r="B119" s="0" t="n">
        <f aca="false">A119/1000</f>
        <v>42.5</v>
      </c>
      <c r="C119" s="0" t="n">
        <f aca="false">SQRT((A119/Fesr)^2+1)</f>
        <v>1.00000003565395</v>
      </c>
      <c r="D119" s="0" t="n">
        <f aca="false">ATAN(A119/Fesr)</f>
        <v>0.000267035368902757</v>
      </c>
      <c r="F119" s="0" t="n">
        <f aca="false">(Ro/(Ro+Rdcr))/SQRT((A119/(Q*Fo))^2+(1-(A119^2/Fo^2))^2)</f>
        <v>1.61533991657654</v>
      </c>
      <c r="G119" s="0" t="n">
        <f aca="false">-ATAN(A119*Fo/(Q*(Fo^2-A119^2)))</f>
        <v>-1.50983000839663</v>
      </c>
      <c r="H119" s="0" t="n">
        <f aca="false">IF(G119&gt;0,G119-Pi,G119)</f>
        <v>-1.50983000839663</v>
      </c>
      <c r="J119" s="0" t="n">
        <f aca="false">Vin/Vramp</f>
        <v>9</v>
      </c>
      <c r="M119" s="0" t="n">
        <f aca="false">1/(2*Pi*_Rfb1*(Cc1ea_u+Cc2ea_u)*A119)</f>
        <v>0.138697118321356</v>
      </c>
      <c r="N119" s="0" t="n">
        <f aca="false">-Pi/2</f>
        <v>-1.570796325</v>
      </c>
      <c r="O119" s="0" t="n">
        <f aca="false">SQRT(1+(A119/Fz1_u)^2)</f>
        <v>1.44150230018766</v>
      </c>
      <c r="P119" s="0" t="n">
        <f aca="false">ATAN2(Fz1_u,A119)</f>
        <v>0.804154137522808</v>
      </c>
      <c r="Q119" s="0" t="n">
        <f aca="false">SQRT(1+(A119/Fz2_u)^2)</f>
        <v>1178.10495665543</v>
      </c>
      <c r="R119" s="0" t="n">
        <f aca="false">ATAN2(Fz2_u,A119)</f>
        <v>1.569947505886</v>
      </c>
      <c r="S119" s="0" t="n">
        <f aca="false">1/SQRT(1+(A119/Fp1_u)^2)</f>
        <v>0.302676796400941</v>
      </c>
      <c r="T119" s="0" t="n">
        <f aca="false">-ATAN2(Fp1_u,A119)</f>
        <v>-1.26329638480609</v>
      </c>
      <c r="U119" s="0" t="n">
        <f aca="false">1/SQRT(1+(A119/Fp2_u)^2)</f>
        <v>0.993411801221006</v>
      </c>
      <c r="V119" s="0" t="n">
        <f aca="false">-ATAN2(Fp2_u,A119)</f>
        <v>-0.114851604914141</v>
      </c>
      <c r="X119" s="0" t="n">
        <f aca="false">20*LOG(C119*J119*O119*Q119*F119*M119*S119*U119)</f>
        <v>60.2536330869829</v>
      </c>
      <c r="Y119" s="0" t="n">
        <f aca="false">(180/Pi)*(D119+H119+N119+P119+R119+T119+V119)</f>
        <v>-119.427646350346</v>
      </c>
      <c r="Z119" s="0" t="n">
        <f aca="false">Y119+180</f>
        <v>60.5723536496538</v>
      </c>
      <c r="AC119" s="0" t="n">
        <v>1</v>
      </c>
      <c r="AD119" s="0" t="n">
        <f aca="false">Rcea1_u*Cc1ea_u*A119*2*Pi</f>
        <v>1.038233538972</v>
      </c>
      <c r="AE119" s="0" t="n">
        <f aca="false">-Rcea1_u*Cc1ea_u*Cc2ea_u*(A119*2*Pi)^2</f>
        <v>-4.15867624014785E-005</v>
      </c>
      <c r="AF119" s="0" t="n">
        <f aca="false">(Cc2ea_u+Cc1ea_u)*A119*2*Pi</f>
        <v>0.0003604977565875</v>
      </c>
      <c r="AG119" s="0" t="n">
        <f aca="false">AC119*AE119/(AE119^2+AF119^2)+AD119*AF119/(AE119^2+AF119^2)</f>
        <v>2526.37953742122</v>
      </c>
      <c r="AH119" s="0" t="n">
        <f aca="false">AD119*AE119/(AE119^2+AF119^2)-AC119*AF119/(AE119^2+AF119^2)</f>
        <v>-3065.38369619638</v>
      </c>
      <c r="AJ119" s="0" t="n">
        <f aca="false">_Rfb1</f>
        <v>20000</v>
      </c>
      <c r="AK119" s="0" t="n">
        <f aca="false">_Rfb1*Rcea2_u*Cc3ea_u*A119*2*Pi</f>
        <v>62977.62289896</v>
      </c>
      <c r="AL119" s="0" t="n">
        <v>1</v>
      </c>
      <c r="AM119" s="0" t="n">
        <f aca="false">(_Rfb1+Rcea2_u)*Cc3ea_u*A119*2*Pi</f>
        <v>1178.10453224495</v>
      </c>
      <c r="AN119" s="0" t="n">
        <f aca="false">AJ119*AL119/(AL119^2+AM119^2)+AK119*AM119/(AL119^2+AM119^2)</f>
        <v>53.4711073675019</v>
      </c>
      <c r="AO119" s="0" t="n">
        <f aca="false">AK119*AL119/(AL119^2+AM119^2)-AJ119*AM119/(AL119^2+AM119^2)</f>
        <v>-16.9310348502125</v>
      </c>
      <c r="AQ119" s="0" t="n">
        <f aca="false">Eadcg/(1+(Eadcg*A119/GBP)^2)</f>
        <v>6.2906844564849</v>
      </c>
      <c r="AR119" s="0" t="n">
        <f aca="false">-(A119*Eadcg*Eadcg/GBP)/(1+(Eadcg*A119/GBP)^2)</f>
        <v>-140.895605114121</v>
      </c>
      <c r="AT119" s="0" t="n">
        <f aca="false">-AR119*AH119+AG119*AQ119</f>
        <v>-416006.434295311</v>
      </c>
      <c r="AU119" s="0" t="n">
        <f aca="false">AQ119*AH119+AG119*AR119</f>
        <v>-375239.135243719</v>
      </c>
      <c r="AV119" s="0" t="n">
        <f aca="false">ATAN2(AT119,AU119)</f>
        <v>-2.40767191282938</v>
      </c>
      <c r="AW119" s="0" t="n">
        <f aca="false">AG119-AH119*AO119/_Rfb2+AG119*AN119/_Rfb2+AN119-AO119*AR119+AQ119*AN119</f>
        <v>568.146795335669</v>
      </c>
      <c r="AX119" s="0" t="n">
        <f aca="false">AH119+AH119*AN119/_Rfb2+AG119*AO119/_Rfb2+AO119+AO119*AQ119+AN119*AR119</f>
        <v>-10815.674213808</v>
      </c>
      <c r="AY119" s="0" t="n">
        <f aca="false">ATAN2(AW119,AX119)</f>
        <v>-1.51831461672536</v>
      </c>
      <c r="BA119" s="0" t="n">
        <f aca="false">SQRT(AT119^2+AU119^2)/SQRT(AW119^2+AX119^2)</f>
        <v>51.727323158208</v>
      </c>
      <c r="BB119" s="0" t="n">
        <f aca="false">20*LOG(BA119)</f>
        <v>34.2744000929453</v>
      </c>
      <c r="BC119" s="0" t="n">
        <f aca="false">AV119-AY119</f>
        <v>-0.889357296104017</v>
      </c>
      <c r="BD119" s="0" t="n">
        <f aca="false">BC119*180/Pi-180</f>
        <v>-230.956419604153</v>
      </c>
      <c r="BF119" s="0" t="n">
        <f aca="false">20*LOG(BA119*J119*F119*C119)</f>
        <v>57.5245290920686</v>
      </c>
      <c r="BG119" s="0" t="n">
        <f aca="false">(180/Pi)*(D119+H119+BC119)</f>
        <v>-137.448006966694</v>
      </c>
      <c r="BH119" s="0" t="n">
        <f aca="false">IF(BG119&gt;180,BG119-180,BG119+180)</f>
        <v>42.5519930333065</v>
      </c>
      <c r="BI119" s="0" t="n">
        <f aca="false">IF(BH119&gt;180,BH119-360,BH119)</f>
        <v>42.5519930333065</v>
      </c>
      <c r="BJ119" s="0" t="n">
        <f aca="false">SUM((BF120&lt;0)*(BF119&gt;0))*A119</f>
        <v>0</v>
      </c>
      <c r="BK119" s="0" t="n">
        <f aca="false">IF(BJ119&gt;0,BI119,0)</f>
        <v>0</v>
      </c>
      <c r="BM119" s="0" t="n">
        <f aca="false">20*LOG(J119*F119*C119)</f>
        <v>23.2501289991233</v>
      </c>
      <c r="BN119" s="0" t="n">
        <f aca="false">(H119+D119)*180/Pi</f>
        <v>-86.4915873625405</v>
      </c>
      <c r="BQ119" s="347" t="n">
        <f aca="false">20*LOG(BA119*7)</f>
        <v>51.1763608932304</v>
      </c>
      <c r="BR119" s="353"/>
      <c r="BS119" s="353"/>
      <c r="BT119" s="353" t="n">
        <v>1230.269</v>
      </c>
      <c r="BU119" s="353" t="n">
        <v>13.1837</v>
      </c>
      <c r="BV119" s="353" t="n">
        <v>-259.551</v>
      </c>
      <c r="BW119" s="349"/>
      <c r="BY119" s="353"/>
      <c r="BZ119" s="353"/>
      <c r="CA119" s="353"/>
      <c r="CC119" s="353"/>
    </row>
    <row r="120" customFormat="false" ht="12.75" hidden="false" customHeight="false" outlineLevel="0" collapsed="false">
      <c r="A120" s="0" t="n">
        <f aca="false">A119+500</f>
        <v>43000</v>
      </c>
      <c r="B120" s="0" t="n">
        <f aca="false">A120/1000</f>
        <v>43</v>
      </c>
      <c r="C120" s="0" t="n">
        <f aca="false">SQRT((A120/Fesr)^2+1)</f>
        <v>1.0000000364978</v>
      </c>
      <c r="D120" s="0" t="n">
        <f aca="false">ATAN(A120/Fesr)</f>
        <v>0.000270176961326091</v>
      </c>
      <c r="F120" s="0" t="n">
        <f aca="false">(Ro/(Ro+Rdcr))/SQRT((A120/(Q*Fo))^2+(1-(A120^2/Fo^2))^2)</f>
        <v>1.5990828898917</v>
      </c>
      <c r="G120" s="0" t="n">
        <f aca="false">-ATAN(A120*Fo/(Q*(Fo^2-A120^2)))</f>
        <v>-1.5471882412496</v>
      </c>
      <c r="H120" s="0" t="n">
        <f aca="false">IF(G120&gt;0,G120-Pi,G120)</f>
        <v>-1.5471882412496</v>
      </c>
      <c r="J120" s="0" t="n">
        <f aca="false">Vin/Vramp</f>
        <v>9</v>
      </c>
      <c r="M120" s="0" t="n">
        <f aca="false">1/(2*Pi*_Rfb1*(Cc1ea_u+Cc2ea_u)*A120)</f>
        <v>0.137084361131573</v>
      </c>
      <c r="N120" s="0" t="n">
        <f aca="false">-Pi/2</f>
        <v>-1.570796325</v>
      </c>
      <c r="O120" s="0" t="n">
        <f aca="false">SQRT(1+(A120/Fz1_u)^2)</f>
        <v>1.45032448378278</v>
      </c>
      <c r="P120" s="0" t="n">
        <f aca="false">ATAN2(Fz1_u,A120)</f>
        <v>0.809996628910364</v>
      </c>
      <c r="Q120" s="0" t="n">
        <f aca="false">SQRT(1+(A120/Fz2_u)^2)</f>
        <v>1191.96500504095</v>
      </c>
      <c r="R120" s="0" t="n">
        <f aca="false">ATAN2(Fz2_u,A120)</f>
        <v>1.56995737589191</v>
      </c>
      <c r="S120" s="0" t="n">
        <f aca="false">1/SQRT(1+(A120/Fp1_u)^2)</f>
        <v>0.299474633545937</v>
      </c>
      <c r="T120" s="0" t="n">
        <f aca="false">-ATAN2(Fp1_u,A120)</f>
        <v>-1.26665435881019</v>
      </c>
      <c r="U120" s="0" t="n">
        <f aca="false">1/SQRT(1+(A120/Fp2_u)^2)</f>
        <v>0.993257446446286</v>
      </c>
      <c r="V120" s="0" t="n">
        <f aca="false">-ATAN2(Fp2_u,A120)</f>
        <v>-0.116190741555516</v>
      </c>
      <c r="X120" s="0" t="n">
        <f aca="false">20*LOG(C120*J120*O120*Q120*F120*M120*S120*U120)</f>
        <v>60.1250393919578</v>
      </c>
      <c r="Y120" s="0" t="n">
        <f aca="false">(180/Pi)*(D120+H120+N120+P120+R120+T120+V120)</f>
        <v>-121.501744433132</v>
      </c>
      <c r="Z120" s="0" t="n">
        <f aca="false">Y120+180</f>
        <v>58.4982555668676</v>
      </c>
      <c r="AC120" s="0" t="n">
        <v>1</v>
      </c>
      <c r="AD120" s="0" t="n">
        <f aca="false">Rcea1_u*Cc1ea_u*A120*2*Pi</f>
        <v>1.0504480511952</v>
      </c>
      <c r="AE120" s="0" t="n">
        <f aca="false">-Rcea1_u*Cc1ea_u*Cc2ea_u*(A120*2*Pi)^2</f>
        <v>-4.25710304112575E-005</v>
      </c>
      <c r="AF120" s="0" t="n">
        <f aca="false">(Cc2ea_u+Cc1ea_u)*A120*2*Pi</f>
        <v>0.000364738906665</v>
      </c>
      <c r="AG120" s="0" t="n">
        <f aca="false">AC120*AE120/(AE120^2+AF120^2)+AD120*AF120/(AE120^2+AF120^2)</f>
        <v>2525.59450859775</v>
      </c>
      <c r="AH120" s="0" t="n">
        <f aca="false">AD120*AE120/(AE120^2+AF120^2)-AC120*AF120/(AE120^2+AF120^2)</f>
        <v>-3036.46564814989</v>
      </c>
      <c r="AJ120" s="0" t="n">
        <f aca="false">_Rfb1</f>
        <v>20000</v>
      </c>
      <c r="AK120" s="0" t="n">
        <f aca="false">_Rfb1*Rcea2_u*Cc3ea_u*A120*2*Pi</f>
        <v>63718.536109536</v>
      </c>
      <c r="AL120" s="0" t="n">
        <v>1</v>
      </c>
      <c r="AM120" s="0" t="n">
        <f aca="false">(_Rfb1+Rcea2_u)*Cc3ea_u*A120*2*Pi</f>
        <v>1191.96458556548</v>
      </c>
      <c r="AN120" s="0" t="n">
        <f aca="false">AJ120*AL120/(AL120^2+AM120^2)+AK120*AM120/(AL120^2+AM120^2)</f>
        <v>53.4707750918038</v>
      </c>
      <c r="AO120" s="0" t="n">
        <f aca="false">AK120*AL120/(AL120^2+AM120^2)-AJ120*AM120/(AL120^2+AM120^2)</f>
        <v>-16.7341626307173</v>
      </c>
      <c r="AQ120" s="0" t="n">
        <f aca="false">Eadcg/(1+(Eadcg*A120/GBP)^2)</f>
        <v>6.14552270071833</v>
      </c>
      <c r="AR120" s="0" t="n">
        <f aca="false">-(A120*Eadcg*Eadcg/GBP)/(1+(Eadcg*A120/GBP)^2)</f>
        <v>-139.263689920978</v>
      </c>
      <c r="AT120" s="0" t="n">
        <f aca="false">-AR120*AH120+AG120*AQ120</f>
        <v>-407348.31209425</v>
      </c>
      <c r="AU120" s="0" t="n">
        <f aca="false">AQ120*AH120+AG120*AR120</f>
        <v>-370384.279082139</v>
      </c>
      <c r="AV120" s="0" t="n">
        <f aca="false">ATAN2(AT120,AU120)</f>
        <v>-2.40368669810335</v>
      </c>
      <c r="AW120" s="0" t="n">
        <f aca="false">AG120-AH120*AO120/_Rfb2+AG120*AN120/_Rfb2+AN120-AO120*AR120+AQ120*AN120</f>
        <v>615.114663833435</v>
      </c>
      <c r="AX120" s="0" t="n">
        <f aca="false">AH120+AH120*AN120/_Rfb2+AG120*AO120/_Rfb2+AO120+AO120*AQ120+AN120*AR120</f>
        <v>-10694.6590757711</v>
      </c>
      <c r="AY120" s="0" t="n">
        <f aca="false">ATAN2(AW120,AX120)</f>
        <v>-1.51334356310895</v>
      </c>
      <c r="BA120" s="0" t="n">
        <f aca="false">SQRT(AT120^2+AU120^2)/SQRT(AW120^2+AX120^2)</f>
        <v>51.395034202513</v>
      </c>
      <c r="BB120" s="0" t="n">
        <f aca="false">20*LOG(BA120)</f>
        <v>34.2184231882207</v>
      </c>
      <c r="BC120" s="0" t="n">
        <f aca="false">AV120-AY120</f>
        <v>-0.890343134994397</v>
      </c>
      <c r="BD120" s="0" t="n">
        <f aca="false">BC120*180/Pi-180</f>
        <v>-231.012904011916</v>
      </c>
      <c r="BF120" s="0" t="n">
        <f aca="false">20*LOG(BA120*J120*F120*C120)</f>
        <v>57.3806932214749</v>
      </c>
      <c r="BG120" s="0" t="n">
        <f aca="false">(180/Pi)*(D120+H120+BC120)</f>
        <v>-139.644780449458</v>
      </c>
      <c r="BH120" s="0" t="n">
        <f aca="false">IF(BG120&gt;180,BG120-180,BG120+180)</f>
        <v>40.355219550542</v>
      </c>
      <c r="BI120" s="0" t="n">
        <f aca="false">IF(BH120&gt;180,BH120-360,BH120)</f>
        <v>40.355219550542</v>
      </c>
      <c r="BJ120" s="0" t="n">
        <f aca="false">SUM((BF121&lt;0)*(BF120&gt;0))*A120</f>
        <v>0</v>
      </c>
      <c r="BK120" s="0" t="n">
        <f aca="false">IF(BJ120&gt;0,BI120,0)</f>
        <v>0</v>
      </c>
      <c r="BM120" s="0" t="n">
        <f aca="false">20*LOG(J120*F120*C120)</f>
        <v>23.1622700332542</v>
      </c>
      <c r="BN120" s="0" t="n">
        <f aca="false">(H120+D120)*180/Pi</f>
        <v>-88.6318764375418</v>
      </c>
      <c r="BQ120" s="347" t="n">
        <f aca="false">20*LOG(BA120*7)</f>
        <v>51.1203839885058</v>
      </c>
      <c r="BR120" s="353"/>
      <c r="BS120" s="353"/>
      <c r="BT120" s="353" t="n">
        <v>1258.925</v>
      </c>
      <c r="BU120" s="353" t="n">
        <v>13.0792</v>
      </c>
      <c r="BV120" s="353" t="n">
        <v>-259.272</v>
      </c>
      <c r="BW120" s="349"/>
      <c r="BY120" s="353"/>
      <c r="BZ120" s="353"/>
      <c r="CA120" s="353"/>
      <c r="CC120" s="353"/>
    </row>
    <row r="121" customFormat="false" ht="12.75" hidden="false" customHeight="false" outlineLevel="0" collapsed="false">
      <c r="A121" s="0" t="n">
        <f aca="false">A120+500</f>
        <v>43500</v>
      </c>
      <c r="B121" s="0" t="n">
        <f aca="false">A121/1000</f>
        <v>43.5</v>
      </c>
      <c r="C121" s="0" t="n">
        <f aca="false">SQRT((A121/Fesr)^2+1)</f>
        <v>1.00000003735152</v>
      </c>
      <c r="D121" s="0" t="n">
        <f aca="false">ATAN(A121/Fesr)</f>
        <v>0.000273318553744092</v>
      </c>
      <c r="F121" s="0" t="n">
        <f aca="false">(Ro/(Ro+Rdcr))/SQRT((A121/(Q*Fo))^2+(1-(A121^2/Fo^2))^2)</f>
        <v>1.58100168883838</v>
      </c>
      <c r="G121" s="0" t="n">
        <f aca="false">-ATAN(A121*Fo/(Q*(Fo^2-A121^2)))</f>
        <v>1.55741601865947</v>
      </c>
      <c r="H121" s="0" t="n">
        <f aca="false">IF(G121&gt;0,G121-Pi,G121)</f>
        <v>-1.58417663134053</v>
      </c>
      <c r="J121" s="0" t="n">
        <f aca="false">Vin/Vramp</f>
        <v>9</v>
      </c>
      <c r="M121" s="0" t="n">
        <f aca="false">1/(2*Pi*_Rfb1*(Cc1ea_u+Cc2ea_u)*A121)</f>
        <v>0.135508678819716</v>
      </c>
      <c r="N121" s="0" t="n">
        <f aca="false">-Pi/2</f>
        <v>-1.570796325</v>
      </c>
      <c r="O121" s="0" t="n">
        <f aca="false">SQRT(1+(A121/Fz1_u)^2)</f>
        <v>1.45919557417468</v>
      </c>
      <c r="P121" s="0" t="n">
        <f aca="false">ATAN2(Fz1_u,A121)</f>
        <v>0.815768277185712</v>
      </c>
      <c r="Q121" s="0" t="n">
        <f aca="false">SQRT(1+(A121/Fz2_u)^2)</f>
        <v>1205.82505353993</v>
      </c>
      <c r="R121" s="0" t="n">
        <f aca="false">ATAN2(Fz2_u,A121)</f>
        <v>1.56996701900129</v>
      </c>
      <c r="S121" s="0" t="n">
        <f aca="false">1/SQRT(1+(A121/Fp1_u)^2)</f>
        <v>0.296336278565513</v>
      </c>
      <c r="T121" s="0" t="n">
        <f aca="false">-ATAN2(Fp1_u,A121)</f>
        <v>-1.26994198922718</v>
      </c>
      <c r="U121" s="0" t="n">
        <f aca="false">1/SQRT(1+(A121/Fp2_u)^2)</f>
        <v>0.993101359547015</v>
      </c>
      <c r="V121" s="0" t="n">
        <f aca="false">-ATAN2(Fp2_u,A121)</f>
        <v>-0.117529459715786</v>
      </c>
      <c r="X121" s="0" t="n">
        <f aca="false">20*LOG(C121*J121*O121*Q121*F121*M121*S121*U121)</f>
        <v>59.9863635272523</v>
      </c>
      <c r="Y121" s="0" t="n">
        <f aca="false">(180/Pi)*(D121+H121+N121+P121+R121+T121+V121)</f>
        <v>-123.554669730238</v>
      </c>
      <c r="Z121" s="0" t="n">
        <f aca="false">Y121+180</f>
        <v>56.4453302697618</v>
      </c>
      <c r="AC121" s="0" t="n">
        <v>1</v>
      </c>
      <c r="AD121" s="0" t="n">
        <f aca="false">Rcea1_u*Cc1ea_u*A121*2*Pi</f>
        <v>1.0626625634184</v>
      </c>
      <c r="AE121" s="0" t="n">
        <f aca="false">-Rcea1_u*Cc1ea_u*Cc2ea_u*(A121*2*Pi)^2</f>
        <v>-4.35668103275835E-005</v>
      </c>
      <c r="AF121" s="0" t="n">
        <f aca="false">(Cc2ea_u+Cc1ea_u)*A121*2*Pi</f>
        <v>0.0003689800567425</v>
      </c>
      <c r="AG121" s="0" t="n">
        <f aca="false">AC121*AE121/(AE121^2+AF121^2)+AD121*AF121/(AE121^2+AF121^2)</f>
        <v>2524.80079445537</v>
      </c>
      <c r="AH121" s="0" t="n">
        <f aca="false">AD121*AE121/(AE121^2+AF121^2)-AC121*AF121/(AE121^2+AF121^2)</f>
        <v>-3008.28594132285</v>
      </c>
      <c r="AJ121" s="0" t="n">
        <f aca="false">_Rfb1</f>
        <v>20000</v>
      </c>
      <c r="AK121" s="0" t="n">
        <f aca="false">_Rfb1*Rcea2_u*Cc3ea_u*A121*2*Pi</f>
        <v>64459.449320112</v>
      </c>
      <c r="AL121" s="0" t="n">
        <v>1</v>
      </c>
      <c r="AM121" s="0" t="n">
        <f aca="false">(_Rfb1+Rcea2_u)*Cc3ea_u*A121*2*Pi</f>
        <v>1205.82463888601</v>
      </c>
      <c r="AN121" s="0" t="n">
        <f aca="false">AJ121*AL121/(AL121^2+AM121^2)+AK121*AM121/(AL121^2+AM121^2)</f>
        <v>53.4704542079002</v>
      </c>
      <c r="AO121" s="0" t="n">
        <f aca="false">AK121*AL121/(AL121^2+AM121^2)-AJ121*AM121/(AL121^2+AM121^2)</f>
        <v>-16.541816199924</v>
      </c>
      <c r="AQ121" s="0" t="n">
        <f aca="false">Eadcg/(1+(Eadcg*A121/GBP)^2)</f>
        <v>6.00532502254593</v>
      </c>
      <c r="AR121" s="0" t="n">
        <f aca="false">-(A121*Eadcg*Eadcg/GBP)/(1+(Eadcg*A121/GBP)^2)</f>
        <v>-137.669073479354</v>
      </c>
      <c r="AT121" s="0" t="n">
        <f aca="false">-AR121*AH121+AG121*AQ121</f>
        <v>-398985.688914996</v>
      </c>
      <c r="AU121" s="0" t="n">
        <f aca="false">AQ121*AH121+AG121*AR121</f>
        <v>-365652.720931007</v>
      </c>
      <c r="AV121" s="0" t="n">
        <f aca="false">ATAN2(AT121,AU121)</f>
        <v>-2.39976001963027</v>
      </c>
      <c r="AW121" s="0" t="n">
        <f aca="false">AG121-AH121*AO121/_Rfb2+AG121*AN121/_Rfb2+AN121-AO121*AR121+AQ121*AN121</f>
        <v>660.440074841173</v>
      </c>
      <c r="AX121" s="0" t="n">
        <f aca="false">AH121+AH121*AN121/_Rfb2+AG121*AO121/_Rfb2+AO121+AO121*AQ121+AN121*AR121</f>
        <v>-10576.5732724473</v>
      </c>
      <c r="AY121" s="0" t="n">
        <f aca="false">ATAN2(AW121,AX121)</f>
        <v>-1.50843362558203</v>
      </c>
      <c r="BA121" s="0" t="n">
        <f aca="false">SQRT(AT121^2+AU121^2)/SQRT(AW121^2+AX121^2)</f>
        <v>51.069703826958</v>
      </c>
      <c r="BB121" s="0" t="n">
        <f aca="false">20*LOG(BA121)</f>
        <v>34.1632667844103</v>
      </c>
      <c r="BC121" s="0" t="n">
        <f aca="false">AV121-AY121</f>
        <v>-0.891326394048243</v>
      </c>
      <c r="BD121" s="0" t="n">
        <f aca="false">BC121*180/Pi-180</f>
        <v>-231.069240605934</v>
      </c>
      <c r="BF121" s="0" t="n">
        <f aca="false">20*LOG(BA121*J121*F121*C121)</f>
        <v>57.2267639746123</v>
      </c>
      <c r="BG121" s="0" t="n">
        <f aca="false">(180/Pi)*(D121+H121+BC121)</f>
        <v>-141.820215689104</v>
      </c>
      <c r="BH121" s="0" t="n">
        <f aca="false">IF(BG121&gt;180,BG121-180,BG121+180)</f>
        <v>38.1797843108957</v>
      </c>
      <c r="BI121" s="0" t="n">
        <f aca="false">IF(BH121&gt;180,BH121-360,BH121)</f>
        <v>38.1797843108957</v>
      </c>
      <c r="BJ121" s="0" t="n">
        <f aca="false">SUM((BF122&lt;0)*(BF121&gt;0))*A121</f>
        <v>0</v>
      </c>
      <c r="BK121" s="0" t="n">
        <f aca="false">IF(BJ121&gt;0,BI121,0)</f>
        <v>0</v>
      </c>
      <c r="BM121" s="0" t="n">
        <f aca="false">20*LOG(J121*F121*C121)</f>
        <v>23.0634971902021</v>
      </c>
      <c r="BN121" s="0" t="n">
        <f aca="false">(H121+D121)*180/Pi</f>
        <v>-90.7509750831703</v>
      </c>
      <c r="BQ121" s="347" t="n">
        <f aca="false">20*LOG(BA121*7)</f>
        <v>51.0652275846954</v>
      </c>
      <c r="BR121" s="353"/>
      <c r="BS121" s="353"/>
      <c r="BT121" s="353" t="n">
        <v>1288.25</v>
      </c>
      <c r="BU121" s="353" t="n">
        <v>12.807</v>
      </c>
      <c r="BV121" s="353" t="n">
        <v>-258.861</v>
      </c>
      <c r="BW121" s="349"/>
      <c r="BY121" s="353"/>
      <c r="BZ121" s="353"/>
      <c r="CA121" s="353"/>
      <c r="CC121" s="353"/>
    </row>
    <row r="122" customFormat="false" ht="12.75" hidden="false" customHeight="false" outlineLevel="0" collapsed="false">
      <c r="A122" s="0" t="n">
        <f aca="false">A121+500</f>
        <v>44000</v>
      </c>
      <c r="B122" s="0" t="n">
        <f aca="false">A122/1000</f>
        <v>44</v>
      </c>
      <c r="C122" s="0" t="n">
        <f aca="false">SQRT((A122/Fesr)^2+1)</f>
        <v>1.00000003821511</v>
      </c>
      <c r="D122" s="0" t="n">
        <f aca="false">ATAN(A122/Fesr)</f>
        <v>0.000276460146156697</v>
      </c>
      <c r="F122" s="0" t="n">
        <f aca="false">(Ro/(Ro+Rdcr))/SQRT((A122/(Q*Fo))^2+(1-(A122^2/Fo^2))^2)</f>
        <v>1.56122898351599</v>
      </c>
      <c r="G122" s="0" t="n">
        <f aca="false">-ATAN(A122*Fo/(Q*(Fo^2-A122^2)))</f>
        <v>1.52088418334564</v>
      </c>
      <c r="H122" s="0" t="n">
        <f aca="false">IF(G122&gt;0,G122-Pi,G122)</f>
        <v>-1.62070846665436</v>
      </c>
      <c r="J122" s="0" t="n">
        <f aca="false">Vin/Vramp</f>
        <v>9</v>
      </c>
      <c r="M122" s="0" t="n">
        <f aca="false">1/(2*Pi*_Rfb1*(Cc1ea_u+Cc2ea_u)*A122)</f>
        <v>0.133968807469492</v>
      </c>
      <c r="N122" s="0" t="n">
        <f aca="false">-Pi/2</f>
        <v>-1.570796325</v>
      </c>
      <c r="O122" s="0" t="n">
        <f aca="false">SQRT(1+(A122/Fz1_u)^2)</f>
        <v>1.46811468480492</v>
      </c>
      <c r="P122" s="0" t="n">
        <f aca="false">ATAN2(Fz1_u,A122)</f>
        <v>0.821469985487278</v>
      </c>
      <c r="Q122" s="0" t="n">
        <f aca="false">SQRT(1+(A122/Fz2_u)^2)</f>
        <v>1219.68510214848</v>
      </c>
      <c r="R122" s="0" t="n">
        <f aca="false">ATAN2(Fz2_u,A122)</f>
        <v>1.56997644294924</v>
      </c>
      <c r="S122" s="0" t="n">
        <f aca="false">1/SQRT(1+(A122/Fp1_u)^2)</f>
        <v>0.293259946675213</v>
      </c>
      <c r="T122" s="0" t="n">
        <f aca="false">-ATAN2(Fp1_u,A122)</f>
        <v>-1.27316139461728</v>
      </c>
      <c r="U122" s="0" t="n">
        <f aca="false">1/SQRT(1+(A122/Fp2_u)^2)</f>
        <v>0.992943543017651</v>
      </c>
      <c r="V122" s="0" t="n">
        <f aca="false">-ATAN2(Fp2_u,A122)</f>
        <v>-0.118867754794937</v>
      </c>
      <c r="X122" s="0" t="n">
        <f aca="false">20*LOG(C122*J122*O122*Q122*F122*M122*S122*U122)</f>
        <v>59.8379566365451</v>
      </c>
      <c r="Y122" s="0" t="n">
        <f aca="false">(180/Pi)*(D122+H122+N122+P122+R122+T122+V122)</f>
        <v>-125.581522940952</v>
      </c>
      <c r="Z122" s="0" t="n">
        <f aca="false">Y122+180</f>
        <v>54.4184770590477</v>
      </c>
      <c r="AC122" s="0" t="n">
        <v>1</v>
      </c>
      <c r="AD122" s="0" t="n">
        <f aca="false">Rcea1_u*Cc1ea_u*A122*2*Pi</f>
        <v>1.0748770756416</v>
      </c>
      <c r="AE122" s="0" t="n">
        <f aca="false">-Rcea1_u*Cc1ea_u*Cc2ea_u*(A122*2*Pi)^2</f>
        <v>-4.45741021504567E-005</v>
      </c>
      <c r="AF122" s="0" t="n">
        <f aca="false">(Cc2ea_u+Cc1ea_u)*A122*2*Pi</f>
        <v>0.00037322120682</v>
      </c>
      <c r="AG122" s="0" t="n">
        <f aca="false">AC122*AE122/(AE122^2+AF122^2)+AD122*AF122/(AE122^2+AF122^2)</f>
        <v>2523.99841182834</v>
      </c>
      <c r="AH122" s="0" t="n">
        <f aca="false">AD122*AE122/(AE122^2+AF122^2)-AC122*AF122/(AE122^2+AF122^2)</f>
        <v>-2980.81926403763</v>
      </c>
      <c r="AJ122" s="0" t="n">
        <f aca="false">_Rfb1</f>
        <v>20000</v>
      </c>
      <c r="AK122" s="0" t="n">
        <f aca="false">_Rfb1*Rcea2_u*Cc3ea_u*A122*2*Pi</f>
        <v>65200.362530688</v>
      </c>
      <c r="AL122" s="0" t="n">
        <v>1</v>
      </c>
      <c r="AM122" s="0" t="n">
        <f aca="false">(_Rfb1+Rcea2_u)*Cc3ea_u*A122*2*Pi</f>
        <v>1219.68469220653</v>
      </c>
      <c r="AN122" s="0" t="n">
        <f aca="false">AJ122*AL122/(AL122^2+AM122^2)+AK122*AM122/(AL122^2+AM122^2)</f>
        <v>53.4701442009363</v>
      </c>
      <c r="AO122" s="0" t="n">
        <f aca="false">AK122*AL122/(AL122^2+AM122^2)-AJ122*AM122/(AL122^2+AM122^2)</f>
        <v>-16.3538412700038</v>
      </c>
      <c r="AQ122" s="0" t="n">
        <f aca="false">Eadcg/(1+(Eadcg*A122/GBP)^2)</f>
        <v>5.86986777151959</v>
      </c>
      <c r="AR122" s="0" t="n">
        <f aca="false">-(A122*Eadcg*Eadcg/GBP)/(1+(Eadcg*A122/GBP)^2)</f>
        <v>-136.110493885996</v>
      </c>
      <c r="AT122" s="0" t="n">
        <f aca="false">-AR122*AH122+AG122*AQ122</f>
        <v>-390905.245280095</v>
      </c>
      <c r="AU122" s="0" t="n">
        <f aca="false">AQ122*AH122+AG122*AR122</f>
        <v>-361039.685332125</v>
      </c>
      <c r="AV122" s="0" t="n">
        <f aca="false">ATAN2(AT122,AU122)</f>
        <v>-2.39589137393663</v>
      </c>
      <c r="AW122" s="0" t="n">
        <f aca="false">AG122-AH122*AO122/_Rfb2+AG122*AN122/_Rfb2+AN122-AO122*AR122+AQ122*AN122</f>
        <v>704.1966412946</v>
      </c>
      <c r="AX122" s="0" t="n">
        <f aca="false">AH122+AH122*AN122/_Rfb2+AG122*AO122/_Rfb2+AO122+AO122*AQ122+AN122*AR122</f>
        <v>-10461.3135838389</v>
      </c>
      <c r="AY122" s="0" t="n">
        <f aca="false">ATAN2(AW122,AX122)</f>
        <v>-1.50358336219104</v>
      </c>
      <c r="BA122" s="0" t="n">
        <f aca="false">SQRT(AT122^2+AU122^2)/SQRT(AW122^2+AX122^2)</f>
        <v>50.751090343151</v>
      </c>
      <c r="BB122" s="0" t="n">
        <f aca="false">20*LOG(BA122)</f>
        <v>34.1089075425137</v>
      </c>
      <c r="BC122" s="0" t="n">
        <f aca="false">AV122-AY122</f>
        <v>-0.892308011745587</v>
      </c>
      <c r="BD122" s="0" t="n">
        <f aca="false">BC122*180/Pi-180</f>
        <v>-231.125483157151</v>
      </c>
      <c r="BF122" s="0" t="n">
        <f aca="false">20*LOG(BA122*J122*F122*C122)</f>
        <v>57.0630901665596</v>
      </c>
      <c r="BG122" s="0" t="n">
        <f aca="false">(180/Pi)*(D122+H122+BC122)</f>
        <v>-143.969398224077</v>
      </c>
      <c r="BH122" s="0" t="n">
        <f aca="false">IF(BG122&gt;180,BG122-180,BG122+180)</f>
        <v>36.0306017759233</v>
      </c>
      <c r="BI122" s="0" t="n">
        <f aca="false">IF(BH122&gt;180,BH122-360,BH122)</f>
        <v>36.0306017759233</v>
      </c>
      <c r="BJ122" s="0" t="n">
        <f aca="false">SUM((BF123&lt;0)*(BF122&gt;0))*A122</f>
        <v>0</v>
      </c>
      <c r="BK122" s="0" t="n">
        <f aca="false">IF(BJ122&gt;0,BI122,0)</f>
        <v>0</v>
      </c>
      <c r="BM122" s="0" t="n">
        <f aca="false">20*LOG(J122*F122*C122)</f>
        <v>22.9541826240459</v>
      </c>
      <c r="BN122" s="0" t="n">
        <f aca="false">(H122+D122)*180/Pi</f>
        <v>-92.8439150669254</v>
      </c>
      <c r="BQ122" s="347" t="n">
        <f aca="false">20*LOG(BA122*7)</f>
        <v>51.0108683427989</v>
      </c>
      <c r="BR122" s="353"/>
      <c r="BS122" s="353"/>
      <c r="BT122" s="353" t="n">
        <v>1318.257</v>
      </c>
      <c r="BU122" s="353" t="n">
        <v>12.6826</v>
      </c>
      <c r="BV122" s="353" t="n">
        <v>-258.683</v>
      </c>
      <c r="BW122" s="349"/>
      <c r="BY122" s="353"/>
      <c r="BZ122" s="353"/>
      <c r="CA122" s="353"/>
      <c r="CC122" s="353"/>
    </row>
    <row r="123" customFormat="false" ht="12.75" hidden="false" customHeight="false" outlineLevel="0" collapsed="false">
      <c r="A123" s="0" t="n">
        <f aca="false">A122+500</f>
        <v>44500</v>
      </c>
      <c r="B123" s="0" t="n">
        <f aca="false">A123/1000</f>
        <v>44.5</v>
      </c>
      <c r="C123" s="0" t="n">
        <f aca="false">SQRT((A123/Fesr)^2+1)</f>
        <v>1.00000003908857</v>
      </c>
      <c r="D123" s="0" t="n">
        <f aca="false">ATAN(A123/Fesr)</f>
        <v>0.000279601738563846</v>
      </c>
      <c r="F123" s="0" t="n">
        <f aca="false">(Ro/(Ro+Rdcr))/SQRT((A123/(Q*Fo))^2+(1-(A123^2/Fo^2))^2)</f>
        <v>1.53991206066374</v>
      </c>
      <c r="G123" s="0" t="n">
        <f aca="false">-ATAN(A123*Fo/(Q*(Fo^2-A123^2)))</f>
        <v>1.48488898970411</v>
      </c>
      <c r="H123" s="0" t="n">
        <f aca="false">IF(G123&gt;0,G123-Pi,G123)</f>
        <v>-1.65670366029589</v>
      </c>
      <c r="J123" s="0" t="n">
        <f aca="false">Vin/Vramp</f>
        <v>9</v>
      </c>
      <c r="M123" s="0" t="n">
        <f aca="false">1/(2*Pi*_Rfb1*(Cc1ea_u+Cc2ea_u)*A123)</f>
        <v>0.132463539969835</v>
      </c>
      <c r="N123" s="0" t="n">
        <f aca="false">-Pi/2</f>
        <v>-1.570796325</v>
      </c>
      <c r="O123" s="0" t="n">
        <f aca="false">SQRT(1+(A123/Fz1_u)^2)</f>
        <v>1.4770809457868</v>
      </c>
      <c r="P123" s="0" t="n">
        <f aca="false">ATAN2(Fz1_u,A123)</f>
        <v>0.827102653390491</v>
      </c>
      <c r="Q123" s="0" t="n">
        <f aca="false">SQRT(1+(A123/Fz2_u)^2)</f>
        <v>1233.54515086292</v>
      </c>
      <c r="R123" s="0" t="n">
        <f aca="false">ATAN2(Fz2_u,A123)</f>
        <v>1.56998565512323</v>
      </c>
      <c r="S123" s="0" t="n">
        <f aca="false">1/SQRT(1+(A123/Fp1_u)^2)</f>
        <v>0.290243914532527</v>
      </c>
      <c r="T123" s="0" t="n">
        <f aca="false">-ATAN2(Fp1_u,A123)</f>
        <v>-1.27631461217716</v>
      </c>
      <c r="U123" s="0" t="n">
        <f aca="false">1/SQRT(1+(A123/Fp2_u)^2)</f>
        <v>0.992783999378162</v>
      </c>
      <c r="V123" s="0" t="n">
        <f aca="false">-ATAN2(Fp2_u,A123)</f>
        <v>-0.120205622201925</v>
      </c>
      <c r="X123" s="0" t="n">
        <f aca="false">20*LOG(C123*J123*O123*Q123*F123*M123*S123*U123)</f>
        <v>59.6802408370758</v>
      </c>
      <c r="Y123" s="0" t="n">
        <f aca="false">(180/Pi)*(D123+H123+N123+P123+R123+T123+V123)</f>
        <v>-127.577779918757</v>
      </c>
      <c r="Z123" s="0" t="n">
        <f aca="false">Y123+180</f>
        <v>52.4222200812429</v>
      </c>
      <c r="AC123" s="0" t="n">
        <v>1</v>
      </c>
      <c r="AD123" s="0" t="n">
        <f aca="false">Rcea1_u*Cc1ea_u*A123*2*Pi</f>
        <v>1.0870915878648</v>
      </c>
      <c r="AE123" s="0" t="n">
        <f aca="false">-Rcea1_u*Cc1ea_u*Cc2ea_u*(A123*2*Pi)^2</f>
        <v>-4.5592905879877E-005</v>
      </c>
      <c r="AF123" s="0" t="n">
        <f aca="false">(Cc2ea_u+Cc1ea_u)*A123*2*Pi</f>
        <v>0.0003774623568975</v>
      </c>
      <c r="AG123" s="0" t="n">
        <f aca="false">AC123*AE123/(AE123^2+AF123^2)+AD123*AF123/(AE123^2+AF123^2)</f>
        <v>2523.18737771852</v>
      </c>
      <c r="AH123" s="0" t="n">
        <f aca="false">AD123*AE123/(AE123^2+AF123^2)-AC123*AF123/(AE123^2+AF123^2)</f>
        <v>-2954.04144083274</v>
      </c>
      <c r="AJ123" s="0" t="n">
        <f aca="false">_Rfb1</f>
        <v>20000</v>
      </c>
      <c r="AK123" s="0" t="n">
        <f aca="false">_Rfb1*Rcea2_u*Cc3ea_u*A123*2*Pi</f>
        <v>65941.275741264</v>
      </c>
      <c r="AL123" s="0" t="n">
        <v>1</v>
      </c>
      <c r="AM123" s="0" t="n">
        <f aca="false">(_Rfb1+Rcea2_u)*Cc3ea_u*A123*2*Pi</f>
        <v>1233.54474552706</v>
      </c>
      <c r="AN123" s="0" t="n">
        <f aca="false">AJ123*AL123/(AL123^2+AM123^2)+AK123*AM123/(AL123^2+AM123^2)</f>
        <v>53.4698445848184</v>
      </c>
      <c r="AO123" s="0" t="n">
        <f aca="false">AK123*AL123/(AL123^2+AM123^2)-AJ123*AM123/(AL123^2+AM123^2)</f>
        <v>-16.1700904873885</v>
      </c>
      <c r="AQ123" s="0" t="n">
        <f aca="false">Eadcg/(1+(Eadcg*A123/GBP)^2)</f>
        <v>5.73893974464874</v>
      </c>
      <c r="AR123" s="0" t="n">
        <f aca="false">-(A123*Eadcg*Eadcg/GBP)/(1+(Eadcg*A123/GBP)^2)</f>
        <v>-134.58674542163</v>
      </c>
      <c r="AT123" s="0" t="n">
        <f aca="false">-AR123*AH123+AG123*AQ123</f>
        <v>-383094.403037116</v>
      </c>
      <c r="AU123" s="0" t="n">
        <f aca="false">AQ123*AH123+AG123*AR123</f>
        <v>-356540.643088207</v>
      </c>
      <c r="AV123" s="0" t="n">
        <f aca="false">ATAN2(AT123,AU123)</f>
        <v>-2.39208024300791</v>
      </c>
      <c r="AW123" s="0" t="n">
        <f aca="false">AG123-AH123*AO123/_Rfb2+AG123*AN123/_Rfb2+AN123-AO123*AR123+AQ123*AN123</f>
        <v>746.45388045493</v>
      </c>
      <c r="AX123" s="0" t="n">
        <f aca="false">AH123+AH123*AN123/_Rfb2+AG123*AO123/_Rfb2+AO123+AO123*AQ123+AN123*AR123</f>
        <v>-10348.7816043926</v>
      </c>
      <c r="AY123" s="0" t="n">
        <f aca="false">ATAN2(AW123,AX123)</f>
        <v>-1.49879138809255</v>
      </c>
      <c r="BA123" s="0" t="n">
        <f aca="false">SQRT(AT123^2+AU123^2)/SQRT(AW123^2+AX123^2)</f>
        <v>50.4389620527254</v>
      </c>
      <c r="BB123" s="0" t="n">
        <f aca="false">20*LOG(BA123)</f>
        <v>34.0553228191581</v>
      </c>
      <c r="BC123" s="0" t="n">
        <f aca="false">AV123-AY123</f>
        <v>-0.893288854915366</v>
      </c>
      <c r="BD123" s="0" t="n">
        <f aca="false">BC123*180/Pi-180</f>
        <v>-231.181681331208</v>
      </c>
      <c r="BF123" s="0" t="n">
        <f aca="false">20*LOG(BA123*J123*F123*C123)</f>
        <v>56.890091755635</v>
      </c>
      <c r="BG123" s="0" t="n">
        <f aca="false">(180/Pi)*(D123+H123+BC123)</f>
        <v>-146.08778907892</v>
      </c>
      <c r="BH123" s="0" t="n">
        <f aca="false">IF(BG123&gt;180,BG123-180,BG123+180)</f>
        <v>33.9122109210805</v>
      </c>
      <c r="BI123" s="0" t="n">
        <f aca="false">IF(BH123&gt;180,BH123-360,BH123)</f>
        <v>33.9122109210805</v>
      </c>
      <c r="BJ123" s="0" t="n">
        <f aca="false">SUM((BF124&lt;0)*(BF123&gt;0))*A123</f>
        <v>0</v>
      </c>
      <c r="BK123" s="0" t="n">
        <f aca="false">IF(BJ123&gt;0,BI123,0)</f>
        <v>0</v>
      </c>
      <c r="BM123" s="0" t="n">
        <f aca="false">20*LOG(J123*F123*C123)</f>
        <v>22.8347689364769</v>
      </c>
      <c r="BN123" s="0" t="n">
        <f aca="false">(H123+D123)*180/Pi</f>
        <v>-94.9061077477113</v>
      </c>
      <c r="BQ123" s="347" t="n">
        <f aca="false">20*LOG(BA123*7)</f>
        <v>50.9572836194432</v>
      </c>
      <c r="BR123" s="353"/>
      <c r="BS123" s="353"/>
      <c r="BT123" s="353" t="n">
        <v>1348.963</v>
      </c>
      <c r="BU123" s="353" t="n">
        <v>12.4759</v>
      </c>
      <c r="BV123" s="353" t="n">
        <v>-258.797</v>
      </c>
      <c r="BW123" s="349"/>
      <c r="BY123" s="353"/>
      <c r="BZ123" s="353"/>
      <c r="CA123" s="353"/>
      <c r="CC123" s="353"/>
    </row>
    <row r="124" customFormat="false" ht="12.75" hidden="false" customHeight="false" outlineLevel="0" collapsed="false">
      <c r="A124" s="0" t="n">
        <f aca="false">A123+500</f>
        <v>45000</v>
      </c>
      <c r="B124" s="0" t="n">
        <f aca="false">A124/1000</f>
        <v>45</v>
      </c>
      <c r="C124" s="0" t="n">
        <f aca="false">SQRT((A124/Fesr)^2+1)</f>
        <v>1.0000000399719</v>
      </c>
      <c r="D124" s="0" t="n">
        <f aca="false">ATAN(A124/Fesr)</f>
        <v>0.000282743330965475</v>
      </c>
      <c r="F124" s="0" t="n">
        <f aca="false">(Ro/(Ro+Rdcr))/SQRT((A124/(Q*Fo))^2+(1-(A124^2/Fo^2))^2)</f>
        <v>1.51720898258593</v>
      </c>
      <c r="G124" s="0" t="n">
        <f aca="false">-ATAN(A124*Fo/(Q*(Fo^2-A124^2)))</f>
        <v>1.44950301060795</v>
      </c>
      <c r="H124" s="0" t="n">
        <f aca="false">IF(G124&gt;0,G124-Pi,G124)</f>
        <v>-1.69208963939205</v>
      </c>
      <c r="J124" s="0" t="n">
        <f aca="false">Vin/Vramp</f>
        <v>9</v>
      </c>
      <c r="M124" s="0" t="n">
        <f aca="false">1/(2*Pi*_Rfb1*(Cc1ea_u+Cc2ea_u)*A124)</f>
        <v>0.130991722859059</v>
      </c>
      <c r="N124" s="0" t="n">
        <f aca="false">-Pi/2</f>
        <v>-1.570796325</v>
      </c>
      <c r="O124" s="0" t="n">
        <f aca="false">SQRT(1+(A124/Fz1_u)^2)</f>
        <v>1.48609350368363</v>
      </c>
      <c r="P124" s="0" t="n">
        <f aca="false">ATAN2(Fz1_u,A124)</f>
        <v>0.83266717634359</v>
      </c>
      <c r="Q124" s="0" t="n">
        <f aca="false">SQRT(1+(A124/Fz2_u)^2)</f>
        <v>1247.40519967972</v>
      </c>
      <c r="R124" s="0" t="n">
        <f aca="false">ATAN2(Fz2_u,A124)</f>
        <v>1.56999466258236</v>
      </c>
      <c r="S124" s="0" t="n">
        <f aca="false">1/SQRT(1+(A124/Fp1_u)^2)</f>
        <v>0.287286517867546</v>
      </c>
      <c r="T124" s="0" t="n">
        <f aca="false">-ATAN2(Fp1_u,A124)</f>
        <v>-1.27940360145987</v>
      </c>
      <c r="U124" s="0" t="n">
        <f aca="false">1/SQRT(1+(A124/Fp2_u)^2)</f>
        <v>0.992622731173906</v>
      </c>
      <c r="V124" s="0" t="n">
        <f aca="false">-ATAN2(Fp2_u,A124)</f>
        <v>-0.121543057354766</v>
      </c>
      <c r="X124" s="0" t="n">
        <f aca="false">20*LOG(C124*J124*O124*Q124*F124*M124*S124*U124)</f>
        <v>59.5136986748432</v>
      </c>
      <c r="Y124" s="0" t="n">
        <f aca="false">(180/Pi)*(D124+H124+N124+P124+R124+T124+V124)</f>
        <v>-129.539342846042</v>
      </c>
      <c r="Z124" s="0" t="n">
        <f aca="false">Y124+180</f>
        <v>50.4606571539576</v>
      </c>
      <c r="AC124" s="0" t="n">
        <v>1</v>
      </c>
      <c r="AD124" s="0" t="n">
        <f aca="false">Rcea1_u*Cc1ea_u*A124*2*Pi</f>
        <v>1.099306100088</v>
      </c>
      <c r="AE124" s="0" t="n">
        <f aca="false">-Rcea1_u*Cc1ea_u*Cc2ea_u*(A124*2*Pi)^2</f>
        <v>-4.66232215158444E-005</v>
      </c>
      <c r="AF124" s="0" t="n">
        <f aca="false">(Cc2ea_u+Cc1ea_u)*A124*2*Pi</f>
        <v>0.000381703506975</v>
      </c>
      <c r="AG124" s="0" t="n">
        <f aca="false">AC124*AE124/(AE124^2+AF124^2)+AD124*AF124/(AE124^2+AF124^2)</f>
        <v>2522.36770929445</v>
      </c>
      <c r="AH124" s="0" t="n">
        <f aca="false">AD124*AE124/(AE124^2+AF124^2)-AC124*AF124/(AE124^2+AF124^2)</f>
        <v>-2927.92936934699</v>
      </c>
      <c r="AJ124" s="0" t="n">
        <f aca="false">_Rfb1</f>
        <v>20000</v>
      </c>
      <c r="AK124" s="0" t="n">
        <f aca="false">_Rfb1*Rcea2_u*Cc3ea_u*A124*2*Pi</f>
        <v>66682.18895184</v>
      </c>
      <c r="AL124" s="0" t="n">
        <v>1</v>
      </c>
      <c r="AM124" s="0" t="n">
        <f aca="false">(_Rfb1+Rcea2_u)*Cc3ea_u*A124*2*Pi</f>
        <v>1247.40479884759</v>
      </c>
      <c r="AN124" s="0" t="n">
        <f aca="false">AJ124*AL124/(AL124^2+AM124^2)+AK124*AM124/(AL124^2+AM124^2)</f>
        <v>53.4695549003068</v>
      </c>
      <c r="AO124" s="0" t="n">
        <f aca="false">AK124*AL124/(AL124^2+AM124^2)-AJ124*AM124/(AL124^2+AM124^2)</f>
        <v>-15.9904230475361</v>
      </c>
      <c r="AQ124" s="0" t="n">
        <f aca="false">Eadcg/(1+(Eadcg*A124/GBP)^2)</f>
        <v>5.61234136471748</v>
      </c>
      <c r="AR124" s="0" t="n">
        <f aca="false">-(A124*Eadcg*Eadcg/GBP)/(1+(Eadcg*A124/GBP)^2)</f>
        <v>-133.096675464275</v>
      </c>
      <c r="AT124" s="0" t="n">
        <f aca="false">-AR124*AH124+AG124*AQ124</f>
        <v>-375541.276422396</v>
      </c>
      <c r="AU124" s="0" t="n">
        <f aca="false">AQ124*AH124+AG124*AR124</f>
        <v>-352151.295518087</v>
      </c>
      <c r="AV124" s="0" t="n">
        <f aca="false">ATAN2(AT124,AU124)</f>
        <v>-2.3883260958555</v>
      </c>
      <c r="AW124" s="0" t="n">
        <f aca="false">AG124-AH124*AO124/_Rfb2+AG124*AN124/_Rfb2+AN124-AO124*AR124+AQ124*AN124</f>
        <v>787.277484269172</v>
      </c>
      <c r="AX124" s="0" t="n">
        <f aca="false">AH124+AH124*AN124/_Rfb2+AG124*AO124/_Rfb2+AO124+AO124*AQ124+AN124*AR124</f>
        <v>-10238.8834639991</v>
      </c>
      <c r="AY124" s="0" t="n">
        <f aca="false">ATAN2(AW124,AX124)</f>
        <v>-1.49405637278908</v>
      </c>
      <c r="BA124" s="0" t="n">
        <f aca="false">SQRT(AT124^2+AU124^2)/SQRT(AW124^2+AX124^2)</f>
        <v>50.1330967882955</v>
      </c>
      <c r="BB124" s="0" t="n">
        <f aca="false">20*LOG(BA124)</f>
        <v>34.0024906478281</v>
      </c>
      <c r="BC124" s="0" t="n">
        <f aca="false">AV124-AY124</f>
        <v>-0.894269723066428</v>
      </c>
      <c r="BD124" s="0" t="n">
        <f aca="false">BC124*180/Pi-180</f>
        <v>-231.237880936587</v>
      </c>
      <c r="BF124" s="0" t="n">
        <f aca="false">20*LOG(BA124*J124*F124*C124)</f>
        <v>56.7082492890976</v>
      </c>
      <c r="BG124" s="0" t="n">
        <f aca="false">(180/Pi)*(D124+H124+BC124)</f>
        <v>-148.171275942778</v>
      </c>
      <c r="BH124" s="0" t="n">
        <f aca="false">IF(BG124&gt;180,BG124-180,BG124+180)</f>
        <v>31.8287240572225</v>
      </c>
      <c r="BI124" s="0" t="n">
        <f aca="false">IF(BH124&gt;180,BH124-360,BH124)</f>
        <v>31.8287240572225</v>
      </c>
      <c r="BJ124" s="0" t="n">
        <f aca="false">SUM((BF125&lt;0)*(BF124&gt;0))*A124</f>
        <v>0</v>
      </c>
      <c r="BK124" s="0" t="n">
        <f aca="false">IF(BJ124&gt;0,BI124,0)</f>
        <v>0</v>
      </c>
      <c r="BM124" s="0" t="n">
        <f aca="false">20*LOG(J124*F124*C124)</f>
        <v>22.7057586412695</v>
      </c>
      <c r="BN124" s="0" t="n">
        <f aca="false">(H124+D124)*180/Pi</f>
        <v>-96.9333950061905</v>
      </c>
      <c r="BQ124" s="347" t="n">
        <f aca="false">20*LOG(BA124*7)</f>
        <v>50.9044514481133</v>
      </c>
      <c r="BR124" s="353"/>
      <c r="BS124" s="353"/>
      <c r="BT124" s="353" t="n">
        <v>1380.384</v>
      </c>
      <c r="BU124" s="353" t="n">
        <v>12.2584</v>
      </c>
      <c r="BV124" s="353" t="n">
        <v>-258.41</v>
      </c>
      <c r="BW124" s="349"/>
      <c r="BY124" s="353"/>
      <c r="BZ124" s="353"/>
      <c r="CA124" s="353"/>
      <c r="CC124" s="353"/>
    </row>
    <row r="125" customFormat="false" ht="12.75" hidden="false" customHeight="false" outlineLevel="0" collapsed="false">
      <c r="A125" s="0" t="n">
        <f aca="false">A124+500</f>
        <v>45500</v>
      </c>
      <c r="B125" s="0" t="n">
        <f aca="false">A125/1000</f>
        <v>45.5</v>
      </c>
      <c r="C125" s="0" t="n">
        <f aca="false">SQRT((A125/Fesr)^2+1)</f>
        <v>1.0000000408651</v>
      </c>
      <c r="D125" s="0" t="n">
        <f aca="false">ATAN(A125/Fesr)</f>
        <v>0.000285884923361523</v>
      </c>
      <c r="F125" s="0" t="n">
        <f aca="false">(Ro/(Ro+Rdcr))/SQRT((A125/(Q*Fo))^2+(1-(A125^2/Fo^2))^2)</f>
        <v>1.49328470550105</v>
      </c>
      <c r="G125" s="0" t="n">
        <f aca="false">-ATAN(A125*Fo/(Q*(Fo^2-A125^2)))</f>
        <v>1.41479068374998</v>
      </c>
      <c r="H125" s="0" t="n">
        <f aca="false">IF(G125&gt;0,G125-Pi,G125)</f>
        <v>-1.72680196625002</v>
      </c>
      <c r="J125" s="0" t="n">
        <f aca="false">Vin/Vramp</f>
        <v>9</v>
      </c>
      <c r="M125" s="0" t="n">
        <f aca="false">1/(2*Pi*_Rfb1*(Cc1ea_u+Cc2ea_u)*A125)</f>
        <v>0.129552253377091</v>
      </c>
      <c r="N125" s="0" t="n">
        <f aca="false">-Pi/2</f>
        <v>-1.570796325</v>
      </c>
      <c r="O125" s="0" t="n">
        <f aca="false">SQRT(1+(A125/Fz1_u)^2)</f>
        <v>1.49515152128226</v>
      </c>
      <c r="P125" s="0" t="n">
        <f aca="false">ATAN2(Fz1_u,A125)</f>
        <v>0.838164445142303</v>
      </c>
      <c r="Q125" s="0" t="n">
        <f aca="false">SQRT(1+(A125/Fz2_u)^2)</f>
        <v>1261.2652485955</v>
      </c>
      <c r="R125" s="0" t="n">
        <f aca="false">ATAN2(Fz2_u,A125)</f>
        <v>1.57000347207549</v>
      </c>
      <c r="S125" s="0" t="n">
        <f aca="false">1/SQRT(1+(A125/Fp1_u)^2)</f>
        <v>0.28438614920472</v>
      </c>
      <c r="T125" s="0" t="n">
        <f aca="false">-ATAN2(Fp1_u,A125)</f>
        <v>-1.28243024790183</v>
      </c>
      <c r="U125" s="0" t="n">
        <f aca="false">1/SQRT(1+(A125/Fp2_u)^2)</f>
        <v>0.992459740975527</v>
      </c>
      <c r="V125" s="0" t="n">
        <f aca="false">-ATAN2(Fp2_u,A125)</f>
        <v>-0.122880055680618</v>
      </c>
      <c r="X125" s="0" t="n">
        <f aca="false">20*LOG(C125*J125*O125*Q125*F125*M125*S125*U125)</f>
        <v>59.3388618343996</v>
      </c>
      <c r="Y125" s="0" t="n">
        <f aca="false">(180/Pi)*(D125+H125+N125+P125+R125+T125+V125)</f>
        <v>-131.462576054994</v>
      </c>
      <c r="Z125" s="0" t="n">
        <f aca="false">Y125+180</f>
        <v>48.5374239450058</v>
      </c>
      <c r="AC125" s="0" t="n">
        <v>1</v>
      </c>
      <c r="AD125" s="0" t="n">
        <f aca="false">Rcea1_u*Cc1ea_u*A125*2*Pi</f>
        <v>1.1115206123112</v>
      </c>
      <c r="AE125" s="0" t="n">
        <f aca="false">-Rcea1_u*Cc1ea_u*Cc2ea_u*(A125*2*Pi)^2</f>
        <v>-4.7665049058359E-005</v>
      </c>
      <c r="AF125" s="0" t="n">
        <f aca="false">(Cc2ea_u+Cc1ea_u)*A125*2*Pi</f>
        <v>0.0003859446570525</v>
      </c>
      <c r="AG125" s="0" t="n">
        <f aca="false">AC125*AE125/(AE125^2+AF125^2)+AD125*AF125/(AE125^2+AF125^2)</f>
        <v>2521.53942389046</v>
      </c>
      <c r="AH125" s="0" t="n">
        <f aca="false">AD125*AE125/(AE125^2+AF125^2)-AC125*AF125/(AE125^2+AF125^2)</f>
        <v>-2902.4609613651</v>
      </c>
      <c r="AJ125" s="0" t="n">
        <f aca="false">_Rfb1</f>
        <v>20000</v>
      </c>
      <c r="AK125" s="0" t="n">
        <f aca="false">_Rfb1*Rcea2_u*Cc3ea_u*A125*2*Pi</f>
        <v>67423.102162416</v>
      </c>
      <c r="AL125" s="0" t="n">
        <v>1</v>
      </c>
      <c r="AM125" s="0" t="n">
        <f aca="false">(_Rfb1+Rcea2_u)*Cc3ea_u*A125*2*Pi</f>
        <v>1261.26485216812</v>
      </c>
      <c r="AN125" s="0" t="n">
        <f aca="false">AJ125*AL125/(AL125^2+AM125^2)+AK125*AM125/(AL125^2+AM125^2)</f>
        <v>53.4692747132557</v>
      </c>
      <c r="AO125" s="0" t="n">
        <f aca="false">AK125*AL125/(AL125^2+AM125^2)-AJ125*AM125/(AL125^2+AM125^2)</f>
        <v>-15.8147043350955</v>
      </c>
      <c r="AQ125" s="0" t="n">
        <f aca="false">Eadcg/(1+(Eadcg*A125/GBP)^2)</f>
        <v>5.48988392115735</v>
      </c>
      <c r="AR125" s="0" t="n">
        <f aca="false">-(A125*Eadcg*Eadcg/GBP)/(1+(Eadcg*A125/GBP)^2)</f>
        <v>-131.639181603472</v>
      </c>
      <c r="AT125" s="0" t="n">
        <f aca="false">-AR125*AH125+AG125*AQ125</f>
        <v>-368234.626850347</v>
      </c>
      <c r="AU125" s="0" t="n">
        <f aca="false">AQ125*AH125+AG125*AR125</f>
        <v>-347867.559905414</v>
      </c>
      <c r="AV125" s="0" t="n">
        <f aca="false">ATAN2(AT125,AU125)</f>
        <v>-2.38462838997885</v>
      </c>
      <c r="AW125" s="0" t="n">
        <f aca="false">AG125-AH125*AO125/_Rfb2+AG125*AN125/_Rfb2+AN125-AO125*AR125+AQ125*AN125</f>
        <v>826.729569148787</v>
      </c>
      <c r="AX125" s="0" t="n">
        <f aca="false">AH125+AH125*AN125/_Rfb2+AG125*AO125/_Rfb2+AO125+AO125*AQ125+AN125*AR125</f>
        <v>-10131.5295682571</v>
      </c>
      <c r="AY125" s="0" t="n">
        <f aca="false">ATAN2(AW125,AX125)</f>
        <v>-1.48937703751369</v>
      </c>
      <c r="BA125" s="0" t="n">
        <f aca="false">SQRT(AT125^2+AU125^2)/SQRT(AW125^2+AX125^2)</f>
        <v>49.8332814772813</v>
      </c>
      <c r="BB125" s="0" t="n">
        <f aca="false">20*LOG(BA125)</f>
        <v>33.9503897203639</v>
      </c>
      <c r="BC125" s="0" t="n">
        <f aca="false">AV125-AY125</f>
        <v>-0.895251352465164</v>
      </c>
      <c r="BD125" s="0" t="n">
        <f aca="false">BC125*180/Pi-180</f>
        <v>-231.294124158245</v>
      </c>
      <c r="BF125" s="0" t="n">
        <f aca="false">20*LOG(BA125*J125*F125*C125)</f>
        <v>56.5180926040035</v>
      </c>
      <c r="BG125" s="0" t="n">
        <f aca="false">(180/Pi)*(D125+H125+BC125)</f>
        <v>-150.216208992763</v>
      </c>
      <c r="BH125" s="0" t="n">
        <f aca="false">IF(BG125&gt;180,BG125-180,BG125+180)</f>
        <v>29.783791007237</v>
      </c>
      <c r="BI125" s="0" t="n">
        <f aca="false">IF(BH125&gt;180,BH125-360,BH125)</f>
        <v>29.783791007237</v>
      </c>
      <c r="BJ125" s="0" t="n">
        <f aca="false">SUM((BF126&lt;0)*(BF125&gt;0))*A125</f>
        <v>0</v>
      </c>
      <c r="BK125" s="0" t="n">
        <f aca="false">IF(BJ125&gt;0,BI125,0)</f>
        <v>0</v>
      </c>
      <c r="BM125" s="0" t="n">
        <f aca="false">20*LOG(J125*F125*C125)</f>
        <v>22.5677028836395</v>
      </c>
      <c r="BN125" s="0" t="n">
        <f aca="false">(H125+D125)*180/Pi</f>
        <v>-98.9220848345182</v>
      </c>
      <c r="BQ125" s="347" t="n">
        <f aca="false">20*LOG(BA125*7)</f>
        <v>50.8523505206491</v>
      </c>
      <c r="BR125" s="353"/>
      <c r="BS125" s="353"/>
      <c r="BT125" s="353" t="n">
        <v>1412.538</v>
      </c>
      <c r="BU125" s="353" t="n">
        <v>12.0929</v>
      </c>
      <c r="BV125" s="353" t="n">
        <v>-258.136</v>
      </c>
      <c r="BW125" s="349"/>
      <c r="BY125" s="353"/>
      <c r="BZ125" s="353"/>
      <c r="CA125" s="353"/>
      <c r="CC125" s="353"/>
    </row>
    <row r="126" customFormat="false" ht="12.75" hidden="false" customHeight="false" outlineLevel="0" collapsed="false">
      <c r="A126" s="0" t="n">
        <f aca="false">A125+500</f>
        <v>46000</v>
      </c>
      <c r="B126" s="0" t="n">
        <f aca="false">A126/1000</f>
        <v>46</v>
      </c>
      <c r="C126" s="0" t="n">
        <f aca="false">SQRT((A126/Fesr)^2+1)</f>
        <v>1.00000004176817</v>
      </c>
      <c r="D126" s="0" t="n">
        <f aca="false">ATAN(A126/Fesr)</f>
        <v>0.000289026515751929</v>
      </c>
      <c r="F126" s="0" t="n">
        <f aca="false">(Ro/(Ro+Rdcr))/SQRT((A126/(Q*Fo))^2+(1-(A126^2/Fo^2))^2)</f>
        <v>1.46830733115146</v>
      </c>
      <c r="G126" s="0" t="n">
        <f aca="false">-ATAN(A126*Fo/(Q*(Fo^2-A126^2)))</f>
        <v>1.3808079368874</v>
      </c>
      <c r="H126" s="0" t="n">
        <f aca="false">IF(G126&gt;0,G126-Pi,G126)</f>
        <v>-1.7607847131126</v>
      </c>
      <c r="J126" s="0" t="n">
        <f aca="false">Vin/Vramp</f>
        <v>9</v>
      </c>
      <c r="M126" s="0" t="n">
        <f aca="false">1/(2*Pi*_Rfb1*(Cc1ea_u+Cc2ea_u)*A126)</f>
        <v>0.128144076709949</v>
      </c>
      <c r="N126" s="0" t="n">
        <f aca="false">-Pi/2</f>
        <v>-1.570796325</v>
      </c>
      <c r="O126" s="0" t="n">
        <f aca="false">SQRT(1+(A126/Fz1_u)^2)</f>
        <v>1.50425417736244</v>
      </c>
      <c r="P126" s="0" t="n">
        <f aca="false">ATAN2(Fz1_u,A126)</f>
        <v>0.843595345441719</v>
      </c>
      <c r="Q126" s="0" t="n">
        <f aca="false">SQRT(1+(A126/Fz2_u)^2)</f>
        <v>1275.12529760704</v>
      </c>
      <c r="R126" s="0" t="n">
        <f aca="false">ATAN2(Fz2_u,A126)</f>
        <v>1.57001209005802</v>
      </c>
      <c r="S126" s="0" t="n">
        <f aca="false">1/SQRT(1+(A126/Fp1_u)^2)</f>
        <v>0.281541255673227</v>
      </c>
      <c r="T126" s="0" t="n">
        <f aca="false">-ATAN2(Fp1_u,A126)</f>
        <v>-1.28539636616787</v>
      </c>
      <c r="U126" s="0" t="n">
        <f aca="false">1/SQRT(1+(A126/Fp2_u)^2)</f>
        <v>0.992295031378841</v>
      </c>
      <c r="V126" s="0" t="n">
        <f aca="false">-ATAN2(Fp2_u,A126)</f>
        <v>-0.124216612615874</v>
      </c>
      <c r="X126" s="0" t="n">
        <f aca="false">20*LOG(C126*J126*O126*Q126*F126*M126*S126*U126)</f>
        <v>59.1562995843287</v>
      </c>
      <c r="Y126" s="0" t="n">
        <f aca="false">(180/Pi)*(D126+H126+N126+P126+R126+T126+V126)</f>
        <v>-133.344327718157</v>
      </c>
      <c r="Z126" s="0" t="n">
        <f aca="false">Y126+180</f>
        <v>46.6556722818434</v>
      </c>
      <c r="AC126" s="0" t="n">
        <v>1</v>
      </c>
      <c r="AD126" s="0" t="n">
        <f aca="false">Rcea1_u*Cc1ea_u*A126*2*Pi</f>
        <v>1.1237351245344</v>
      </c>
      <c r="AE126" s="0" t="n">
        <f aca="false">-Rcea1_u*Cc1ea_u*Cc2ea_u*(A126*2*Pi)^2</f>
        <v>-4.87183885074207E-005</v>
      </c>
      <c r="AF126" s="0" t="n">
        <f aca="false">(Cc2ea_u+Cc1ea_u)*A126*2*Pi</f>
        <v>0.00039018580713</v>
      </c>
      <c r="AG126" s="0" t="n">
        <f aca="false">AC126*AE126/(AE126^2+AF126^2)+AD126*AF126/(AE126^2+AF126^2)</f>
        <v>2520.70253900578</v>
      </c>
      <c r="AH126" s="0" t="n">
        <f aca="false">AD126*AE126/(AE126^2+AF126^2)-AC126*AF126/(AE126^2+AF126^2)</f>
        <v>-2877.61508770829</v>
      </c>
      <c r="AJ126" s="0" t="n">
        <f aca="false">_Rfb1</f>
        <v>20000</v>
      </c>
      <c r="AK126" s="0" t="n">
        <f aca="false">_Rfb1*Rcea2_u*Cc3ea_u*A126*2*Pi</f>
        <v>68164.015372992</v>
      </c>
      <c r="AL126" s="0" t="n">
        <v>1</v>
      </c>
      <c r="AM126" s="0" t="n">
        <f aca="false">(_Rfb1+Rcea2_u)*Cc3ea_u*A126*2*Pi</f>
        <v>1275.12490548865</v>
      </c>
      <c r="AN126" s="0" t="n">
        <f aca="false">AJ126*AL126/(AL126^2+AM126^2)+AK126*AM126/(AL126^2+AM126^2)</f>
        <v>53.4690036129848</v>
      </c>
      <c r="AO126" s="0" t="n">
        <f aca="false">AK126*AL126/(AL126^2+AM126^2)-AJ126*AM126/(AL126^2+AM126^2)</f>
        <v>-15.6428055875382</v>
      </c>
      <c r="AQ126" s="0" t="n">
        <f aca="false">Eadcg/(1+(Eadcg*A126/GBP)^2)</f>
        <v>5.37138886809453</v>
      </c>
      <c r="AR126" s="0" t="n">
        <f aca="false">-(A126*Eadcg*Eadcg/GBP)/(1+(Eadcg*A126/GBP)^2)</f>
        <v>-130.213208940348</v>
      </c>
      <c r="AT126" s="0" t="n">
        <f aca="false">-AR126*AH126+AG126*AQ126</f>
        <v>-361163.821107863</v>
      </c>
      <c r="AU126" s="0" t="n">
        <f aca="false">AQ126*AH126+AG126*AR126</f>
        <v>-343685.556036802</v>
      </c>
      <c r="AV126" s="0" t="n">
        <f aca="false">ATAN2(AT126,AU126)</f>
        <v>-2.38098657272961</v>
      </c>
      <c r="AW126" s="0" t="n">
        <f aca="false">AG126-AH126*AO126/_Rfb2+AG126*AN126/_Rfb2+AN126-AO126*AR126+AQ126*AN126</f>
        <v>864.868906936967</v>
      </c>
      <c r="AX126" s="0" t="n">
        <f aca="false">AH126+AH126*AN126/_Rfb2+AG126*AO126/_Rfb2+AO126+AO126*AQ126+AN126*AR126</f>
        <v>-10026.6343564617</v>
      </c>
      <c r="AY126" s="0" t="n">
        <f aca="false">ATAN2(AW126,AX126)</f>
        <v>-1.48475215275455</v>
      </c>
      <c r="BA126" s="0" t="n">
        <f aca="false">SQRT(AT126^2+AU126^2)/SQRT(AW126^2+AX126^2)</f>
        <v>49.5393117274197</v>
      </c>
      <c r="BB126" s="0" t="n">
        <f aca="false">20*LOG(BA126)</f>
        <v>33.8989993687509</v>
      </c>
      <c r="BC126" s="0" t="n">
        <f aca="false">AV126-AY126</f>
        <v>-0.89623441997506</v>
      </c>
      <c r="BD126" s="0" t="n">
        <f aca="false">BC126*180/Pi-180</f>
        <v>-231.350449777603</v>
      </c>
      <c r="BF126" s="0" t="n">
        <f aca="false">20*LOG(BA126*J126*F126*C126)</f>
        <v>56.3201892642712</v>
      </c>
      <c r="BG126" s="0" t="n">
        <f aca="false">(180/Pi)*(D126+H126+BC126)</f>
        <v>-152.219422585848</v>
      </c>
      <c r="BH126" s="0" t="n">
        <f aca="false">IF(BG126&gt;180,BG126-180,BG126+180)</f>
        <v>27.7805774141524</v>
      </c>
      <c r="BI126" s="0" t="n">
        <f aca="false">IF(BH126&gt;180,BH126-360,BH126)</f>
        <v>27.7805774141524</v>
      </c>
      <c r="BJ126" s="0" t="n">
        <f aca="false">SUM((BF127&lt;0)*(BF126&gt;0))*A126</f>
        <v>0</v>
      </c>
      <c r="BK126" s="0" t="n">
        <f aca="false">IF(BJ126&gt;0,BI126,0)</f>
        <v>0</v>
      </c>
      <c r="BM126" s="0" t="n">
        <f aca="false">20*LOG(J126*F126*C126)</f>
        <v>22.4211898955204</v>
      </c>
      <c r="BN126" s="0" t="n">
        <f aca="false">(H126+D126)*180/Pi</f>
        <v>-100.868972808245</v>
      </c>
      <c r="BQ126" s="347" t="n">
        <f aca="false">20*LOG(BA126*7)</f>
        <v>50.800960169036</v>
      </c>
      <c r="BR126" s="353"/>
      <c r="BS126" s="353"/>
      <c r="BT126" s="353" t="n">
        <v>1445.44</v>
      </c>
      <c r="BU126" s="353" t="n">
        <v>11.9189</v>
      </c>
      <c r="BV126" s="353" t="n">
        <v>-257.929</v>
      </c>
      <c r="BW126" s="349"/>
      <c r="BY126" s="353"/>
      <c r="BZ126" s="353"/>
      <c r="CA126" s="353"/>
      <c r="CC126" s="353"/>
    </row>
    <row r="127" customFormat="false" ht="12.75" hidden="false" customHeight="false" outlineLevel="0" collapsed="false">
      <c r="A127" s="0" t="n">
        <f aca="false">A126+500</f>
        <v>46500</v>
      </c>
      <c r="B127" s="0" t="n">
        <f aca="false">A127/1000</f>
        <v>46.5</v>
      </c>
      <c r="C127" s="0" t="n">
        <f aca="false">SQRT((A127/Fesr)^2+1)</f>
        <v>1.0000000426811</v>
      </c>
      <c r="D127" s="0" t="n">
        <f aca="false">ATAN(A127/Fesr)</f>
        <v>0.000292168108136629</v>
      </c>
      <c r="F127" s="0" t="n">
        <f aca="false">(Ro/(Ro+Rdcr))/SQRT((A127/(Q*Fo))^2+(1-(A127^2/Fo^2))^2)</f>
        <v>1.44244463718108</v>
      </c>
      <c r="G127" s="0" t="n">
        <f aca="false">-ATAN(A127*Fo/(Q*(Fo^2-A127^2)))</f>
        <v>1.34760205072765</v>
      </c>
      <c r="H127" s="0" t="n">
        <f aca="false">IF(G127&gt;0,G127-Pi,G127)</f>
        <v>-1.79399059927235</v>
      </c>
      <c r="J127" s="0" t="n">
        <f aca="false">Vin/Vramp</f>
        <v>9</v>
      </c>
      <c r="M127" s="0" t="n">
        <f aca="false">1/(2*Pi*_Rfb1*(Cc1ea_u+Cc2ea_u)*A127)</f>
        <v>0.126766183411992</v>
      </c>
      <c r="N127" s="0" t="n">
        <f aca="false">-Pi/2</f>
        <v>-1.570796325</v>
      </c>
      <c r="O127" s="0" t="n">
        <f aca="false">SQRT(1+(A127/Fz1_u)^2)</f>
        <v>1.51340066646269</v>
      </c>
      <c r="P127" s="0" t="n">
        <f aca="false">ATAN2(Fz1_u,A127)</f>
        <v>0.848960757303686</v>
      </c>
      <c r="Q127" s="0" t="n">
        <f aca="false">SQRT(1+(A127/Fz2_u)^2)</f>
        <v>1288.98534671124</v>
      </c>
      <c r="R127" s="0" t="n">
        <f aca="false">ATAN2(Fz2_u,A127)</f>
        <v>1.5700205227077</v>
      </c>
      <c r="S127" s="0" t="n">
        <f aca="false">1/SQRT(1+(A127/Fp1_u)^2)</f>
        <v>0.278750336903355</v>
      </c>
      <c r="T127" s="0" t="n">
        <f aca="false">-ATAN2(Fp1_u,A127)</f>
        <v>-1.28830370332437</v>
      </c>
      <c r="U127" s="0" t="n">
        <f aca="false">1/SQRT(1+(A127/Fp2_u)^2)</f>
        <v>0.992128605004724</v>
      </c>
      <c r="V127" s="0" t="n">
        <f aca="false">-ATAN2(Fp2_u,A127)</f>
        <v>-0.125552723606249</v>
      </c>
      <c r="X127" s="0" t="n">
        <f aca="false">20*LOG(C127*J127*O127*Q127*F127*M127*S127*U127)</f>
        <v>58.9666073989234</v>
      </c>
      <c r="Y127" s="0" t="n">
        <f aca="false">(180/Pi)*(D127+H127+N127+P127+R127+T127+V127)</f>
        <v>-135.181937911339</v>
      </c>
      <c r="Z127" s="0" t="n">
        <f aca="false">Y127+180</f>
        <v>44.8180620886609</v>
      </c>
      <c r="AC127" s="0" t="n">
        <v>1</v>
      </c>
      <c r="AD127" s="0" t="n">
        <f aca="false">Rcea1_u*Cc1ea_u*A127*2*Pi</f>
        <v>1.1359496367576</v>
      </c>
      <c r="AE127" s="0" t="n">
        <f aca="false">-Rcea1_u*Cc1ea_u*Cc2ea_u*(A127*2*Pi)^2</f>
        <v>-4.97832398630295E-005</v>
      </c>
      <c r="AF127" s="0" t="n">
        <f aca="false">(Cc2ea_u+Cc1ea_u)*A127*2*Pi</f>
        <v>0.0003944269572075</v>
      </c>
      <c r="AG127" s="0" t="n">
        <f aca="false">AC127*AE127/(AE127^2+AF127^2)+AD127*AF127/(AE127^2+AF127^2)</f>
        <v>2519.85707230366</v>
      </c>
      <c r="AH127" s="0" t="n">
        <f aca="false">AD127*AE127/(AE127^2+AF127^2)-AC127*AF127/(AE127^2+AF127^2)</f>
        <v>-2853.37152668034</v>
      </c>
      <c r="AJ127" s="0" t="n">
        <f aca="false">_Rfb1</f>
        <v>20000</v>
      </c>
      <c r="AK127" s="0" t="n">
        <f aca="false">_Rfb1*Rcea2_u*Cc3ea_u*A127*2*Pi</f>
        <v>68904.928583568</v>
      </c>
      <c r="AL127" s="0" t="n">
        <v>1</v>
      </c>
      <c r="AM127" s="0" t="n">
        <f aca="false">(_Rfb1+Rcea2_u)*Cc3ea_u*A127*2*Pi</f>
        <v>1288.98495880918</v>
      </c>
      <c r="AN127" s="0" t="n">
        <f aca="false">AJ127*AL127/(AL127^2+AM127^2)+AK127*AM127/(AL127^2+AM127^2)</f>
        <v>53.4687412107743</v>
      </c>
      <c r="AO127" s="0" t="n">
        <f aca="false">AK127*AL127/(AL127^2+AM127^2)-AJ127*AM127/(AL127^2+AM127^2)</f>
        <v>-15.4746035804923</v>
      </c>
      <c r="AQ127" s="0" t="n">
        <f aca="false">Eadcg/(1+(Eadcg*A127/GBP)^2)</f>
        <v>5.25668717470541</v>
      </c>
      <c r="AR127" s="0" t="n">
        <f aca="false">-(A127*Eadcg*Eadcg/GBP)/(1+(Eadcg*A127/GBP)^2)</f>
        <v>-128.817747559743</v>
      </c>
      <c r="AT127" s="0" t="n">
        <f aca="false">-AR127*AH127+AG127*AQ127</f>
        <v>-354318.792663998</v>
      </c>
      <c r="AU127" s="0" t="n">
        <f aca="false">AQ127*AH127+AG127*AR127</f>
        <v>-339601.593735618</v>
      </c>
      <c r="AV127" s="0" t="n">
        <f aca="false">ATAN2(AT127,AU127)</f>
        <v>-2.37740008258397</v>
      </c>
      <c r="AW127" s="0" t="n">
        <f aca="false">AG127-AH127*AO127/_Rfb2+AG127*AN127/_Rfb2+AN127-AO127*AR127+AQ127*AN127</f>
        <v>901.751138665555</v>
      </c>
      <c r="AX127" s="0" t="n">
        <f aca="false">AH127+AH127*AN127/_Rfb2+AG127*AO127/_Rfb2+AO127+AO127*AQ127+AN127*AR127</f>
        <v>-9924.11607591808</v>
      </c>
      <c r="AY127" s="0" t="n">
        <f aca="false">ATAN2(AW127,AX127)</f>
        <v>-1.48018053591149</v>
      </c>
      <c r="BA127" s="0" t="n">
        <f aca="false">SQRT(AT127^2+AU127^2)/SQRT(AW127^2+AX127^2)</f>
        <v>49.2509914328339</v>
      </c>
      <c r="BB127" s="0" t="n">
        <f aca="false">20*LOG(BA127)</f>
        <v>33.8482995472209</v>
      </c>
      <c r="BC127" s="0" t="n">
        <f aca="false">AV127-AY127</f>
        <v>-0.897219546672481</v>
      </c>
      <c r="BD127" s="0" t="n">
        <f aca="false">BC127*180/Pi-180</f>
        <v>-231.406893379715</v>
      </c>
      <c r="BF127" s="0" t="n">
        <f aca="false">20*LOG(BA127*J127*F127*C127)</f>
        <v>56.115133174438</v>
      </c>
      <c r="BG127" s="0" t="n">
        <f aca="false">(180/Pi)*(D127+H127+BC127)</f>
        <v>-154.178243322095</v>
      </c>
      <c r="BH127" s="0" t="n">
        <f aca="false">IF(BG127&gt;180,BG127-180,BG127+180)</f>
        <v>25.8217566779052</v>
      </c>
      <c r="BI127" s="0" t="n">
        <f aca="false">IF(BH127&gt;180,BH127-360,BH127)</f>
        <v>25.8217566779052</v>
      </c>
      <c r="BJ127" s="0" t="n">
        <f aca="false">SUM((BF128&lt;0)*(BF127&gt;0))*A127</f>
        <v>0</v>
      </c>
      <c r="BK127" s="0" t="n">
        <f aca="false">IF(BJ127&gt;0,BI127,0)</f>
        <v>0</v>
      </c>
      <c r="BM127" s="0" t="n">
        <f aca="false">20*LOG(J127*F127*C127)</f>
        <v>22.2668336272171</v>
      </c>
      <c r="BN127" s="0" t="n">
        <f aca="false">(H127+D127)*180/Pi</f>
        <v>-102.77134994238</v>
      </c>
      <c r="BQ127" s="347" t="n">
        <f aca="false">20*LOG(BA127*7)</f>
        <v>50.750260347506</v>
      </c>
      <c r="BR127" s="353"/>
      <c r="BS127" s="353"/>
      <c r="BT127" s="353" t="n">
        <v>1479.108</v>
      </c>
      <c r="BU127" s="353" t="n">
        <v>11.7147</v>
      </c>
      <c r="BV127" s="353" t="n">
        <v>-257.745</v>
      </c>
      <c r="BW127" s="349"/>
      <c r="BY127" s="353"/>
      <c r="BZ127" s="353"/>
      <c r="CA127" s="353"/>
      <c r="CC127" s="353"/>
    </row>
    <row r="128" customFormat="false" ht="12.75" hidden="false" customHeight="false" outlineLevel="0" collapsed="false">
      <c r="A128" s="0" t="n">
        <f aca="false">A127+500</f>
        <v>47000</v>
      </c>
      <c r="B128" s="0" t="n">
        <f aca="false">A128/1000</f>
        <v>47</v>
      </c>
      <c r="C128" s="0" t="n">
        <f aca="false">SQRT((A128/Fesr)^2+1)</f>
        <v>1.00000004360391</v>
      </c>
      <c r="D128" s="0" t="n">
        <f aca="false">ATAN(A128/Fesr)</f>
        <v>0.000295309700515561</v>
      </c>
      <c r="F128" s="0" t="n">
        <f aca="false">(Ro/(Ro+Rdcr))/SQRT((A128/(Q*Fo))^2+(1-(A128^2/Fo^2))^2)</f>
        <v>1.41586099667775</v>
      </c>
      <c r="G128" s="0" t="n">
        <f aca="false">-ATAN(A128*Fo/(Q*(Fo^2-A128^2)))</f>
        <v>1.31521173704068</v>
      </c>
      <c r="H128" s="0" t="n">
        <f aca="false">IF(G128&gt;0,G128-Pi,G128)</f>
        <v>-1.82638091295932</v>
      </c>
      <c r="J128" s="0" t="n">
        <f aca="false">Vin/Vramp</f>
        <v>9</v>
      </c>
      <c r="M128" s="0" t="n">
        <f aca="false">1/(2*Pi*_Rfb1*(Cc1ea_u+Cc2ea_u)*A128)</f>
        <v>0.125417606992716</v>
      </c>
      <c r="N128" s="0" t="n">
        <f aca="false">-Pi/2</f>
        <v>-1.570796325</v>
      </c>
      <c r="O128" s="0" t="n">
        <f aca="false">SQRT(1+(A128/Fz1_u)^2)</f>
        <v>1.52259019864335</v>
      </c>
      <c r="P128" s="0" t="n">
        <f aca="false">ATAN2(Fz1_u,A128)</f>
        <v>0.854261554778118</v>
      </c>
      <c r="Q128" s="0" t="n">
        <f aca="false">SQRT(1+(A128/Fz2_u)^2)</f>
        <v>1302.84539590515</v>
      </c>
      <c r="R128" s="0" t="n">
        <f aca="false">ATAN2(Fz2_u,A128)</f>
        <v>1.57002877593941</v>
      </c>
      <c r="S128" s="0" t="n">
        <f aca="false">1/SQRT(1+(A128/Fp1_u)^2)</f>
        <v>0.276011943006218</v>
      </c>
      <c r="T128" s="0" t="n">
        <f aca="false">-ATAN2(Fp1_u,A128)</f>
        <v>-1.29115394185035</v>
      </c>
      <c r="U128" s="0" t="n">
        <f aca="false">1/SQRT(1+(A128/Fp2_u)^2)</f>
        <v>0.991960464498999</v>
      </c>
      <c r="V128" s="0" t="n">
        <f aca="false">-ATAN2(Fp2_u,A128)</f>
        <v>-0.126888384106864</v>
      </c>
      <c r="X128" s="0" t="n">
        <f aca="false">20*LOG(C128*J128*O128*Q128*F128*M128*S128*U128)</f>
        <v>58.7703961327421</v>
      </c>
      <c r="Y128" s="0" t="n">
        <f aca="false">(180/Pi)*(D128+H128+N128+P128+R128+T128+V128)</f>
        <v>-136.973234333779</v>
      </c>
      <c r="Z128" s="0" t="n">
        <f aca="false">Y128+180</f>
        <v>43.0267656662214</v>
      </c>
      <c r="AC128" s="0" t="n">
        <v>1</v>
      </c>
      <c r="AD128" s="0" t="n">
        <f aca="false">Rcea1_u*Cc1ea_u*A128*2*Pi</f>
        <v>1.1481641489808</v>
      </c>
      <c r="AE128" s="0" t="n">
        <f aca="false">-Rcea1_u*Cc1ea_u*Cc2ea_u*(A128*2*Pi)^2</f>
        <v>-5.08596031251854E-005</v>
      </c>
      <c r="AF128" s="0" t="n">
        <f aca="false">(Cc2ea_u+Cc1ea_u)*A128*2*Pi</f>
        <v>0.000398668107285</v>
      </c>
      <c r="AG128" s="0" t="n">
        <f aca="false">AC128*AE128/(AE128^2+AF128^2)+AD128*AF128/(AE128^2+AF128^2)</f>
        <v>2519.00304161042</v>
      </c>
      <c r="AH128" s="0" t="n">
        <f aca="false">AD128*AE128/(AE128^2+AF128^2)-AC128*AF128/(AE128^2+AF128^2)</f>
        <v>-2829.71091580439</v>
      </c>
      <c r="AJ128" s="0" t="n">
        <f aca="false">_Rfb1</f>
        <v>20000</v>
      </c>
      <c r="AK128" s="0" t="n">
        <f aca="false">_Rfb1*Rcea2_u*Cc3ea_u*A128*2*Pi</f>
        <v>69645.841794144</v>
      </c>
      <c r="AL128" s="0" t="n">
        <v>1</v>
      </c>
      <c r="AM128" s="0" t="n">
        <f aca="false">(_Rfb1+Rcea2_u)*Cc3ea_u*A128*2*Pi</f>
        <v>1302.84501212971</v>
      </c>
      <c r="AN128" s="0" t="n">
        <f aca="false">AJ128*AL128/(AL128^2+AM128^2)+AK128*AM128/(AL128^2+AM128^2)</f>
        <v>53.4684871384701</v>
      </c>
      <c r="AO128" s="0" t="n">
        <f aca="false">AK128*AL128/(AL128^2+AM128^2)-AJ128*AM128/(AL128^2+AM128^2)</f>
        <v>-15.3099803331601</v>
      </c>
      <c r="AQ128" s="0" t="n">
        <f aca="false">Eadcg/(1+(Eadcg*A128/GBP)^2)</f>
        <v>5.14561872347514</v>
      </c>
      <c r="AR128" s="0" t="n">
        <f aca="false">-(A128*Eadcg*Eadcg/GBP)/(1+(Eadcg*A128/GBP)^2)</f>
        <v>-127.451830161756</v>
      </c>
      <c r="AT128" s="0" t="n">
        <f aca="false">-AR128*AH128+AG128*AQ128</f>
        <v>-347690.005832566</v>
      </c>
      <c r="AU128" s="0" t="n">
        <f aca="false">AQ128*AH128+AG128*AR128</f>
        <v>-335612.161306662</v>
      </c>
      <c r="AV128" s="0" t="n">
        <f aca="false">ATAN2(AT128,AU128)</f>
        <v>-2.37386835032898</v>
      </c>
      <c r="AW128" s="0" t="n">
        <f aca="false">AG128-AH128*AO128/_Rfb2+AG128*AN128/_Rfb2+AN128-AO128*AR128+AQ128*AN128</f>
        <v>937.428972550931</v>
      </c>
      <c r="AX128" s="0" t="n">
        <f aca="false">AH128+AH128*AN128/_Rfb2+AG128*AO128/_Rfb2+AO128+AO128*AQ128+AN128*AR128</f>
        <v>-9823.89657130428</v>
      </c>
      <c r="AY128" s="0" t="n">
        <f aca="false">ATAN2(AW128,AX128)</f>
        <v>-1.4756610490769</v>
      </c>
      <c r="BA128" s="0" t="n">
        <f aca="false">SQRT(AT128^2+AU128^2)/SQRT(AW128^2+AX128^2)</f>
        <v>48.9681323995897</v>
      </c>
      <c r="BB128" s="0" t="n">
        <f aca="false">20*LOG(BA128)</f>
        <v>33.7982708146835</v>
      </c>
      <c r="BC128" s="0" t="n">
        <f aca="false">AV128-AY128</f>
        <v>-0.898207301252078</v>
      </c>
      <c r="BD128" s="0" t="n">
        <f aca="false">BC128*180/Pi-180</f>
        <v>-231.463487548385</v>
      </c>
      <c r="BF128" s="0" t="n">
        <f aca="false">20*LOG(BA128*J128*F128*C128)</f>
        <v>55.9035337467544</v>
      </c>
      <c r="BG128" s="0" t="n">
        <f aca="false">(180/Pi)*(D128+H128+BC128)</f>
        <v>-156.090485764269</v>
      </c>
      <c r="BH128" s="0" t="n">
        <f aca="false">IF(BG128&gt;180,BG128-180,BG128+180)</f>
        <v>23.9095142357306</v>
      </c>
      <c r="BI128" s="0" t="n">
        <f aca="false">IF(BH128&gt;180,BH128-360,BH128)</f>
        <v>23.9095142357306</v>
      </c>
      <c r="BJ128" s="0" t="n">
        <f aca="false">SUM((BF129&lt;0)*(BF128&gt;0))*A128</f>
        <v>0</v>
      </c>
      <c r="BK128" s="0" t="n">
        <f aca="false">IF(BJ128&gt;0,BI128,0)</f>
        <v>0</v>
      </c>
      <c r="BM128" s="0" t="n">
        <f aca="false">20*LOG(J128*F128*C128)</f>
        <v>22.1052629320709</v>
      </c>
      <c r="BN128" s="0" t="n">
        <f aca="false">(H128+D128)*180/Pi</f>
        <v>-104.626998215884</v>
      </c>
      <c r="BQ128" s="347" t="n">
        <f aca="false">20*LOG(BA128*7)</f>
        <v>50.7002316149687</v>
      </c>
      <c r="BR128" s="353"/>
      <c r="BS128" s="353"/>
      <c r="BT128" s="353" t="n">
        <v>1513.561</v>
      </c>
      <c r="BU128" s="353" t="n">
        <v>11.5252</v>
      </c>
      <c r="BV128" s="353" t="n">
        <v>-257.61</v>
      </c>
      <c r="BW128" s="349"/>
      <c r="BY128" s="353"/>
      <c r="BZ128" s="353"/>
      <c r="CA128" s="353"/>
      <c r="CC128" s="353"/>
    </row>
    <row r="129" customFormat="false" ht="12.75" hidden="false" customHeight="false" outlineLevel="0" collapsed="false">
      <c r="A129" s="0" t="n">
        <f aca="false">A128+500</f>
        <v>47500</v>
      </c>
      <c r="B129" s="0" t="n">
        <f aca="false">A129/1000</f>
        <v>47.5</v>
      </c>
      <c r="C129" s="0" t="n">
        <f aca="false">SQRT((A129/Fesr)^2+1)</f>
        <v>1.00000004453659</v>
      </c>
      <c r="D129" s="0" t="n">
        <f aca="false">ATAN(A129/Fesr)</f>
        <v>0.000298451292888665</v>
      </c>
      <c r="F129" s="0" t="n">
        <f aca="false">(Ro/(Ro+Rdcr))/SQRT((A129/(Q*Fo))^2+(1-(A129^2/Fo^2))^2)</f>
        <v>1.38871475969661</v>
      </c>
      <c r="G129" s="0" t="n">
        <f aca="false">-ATAN(A129*Fo/(Q*(Fo^2-A129^2)))</f>
        <v>1.2836674024354</v>
      </c>
      <c r="H129" s="0" t="n">
        <f aca="false">IF(G129&gt;0,G129-Pi,G129)</f>
        <v>-1.8579252475646</v>
      </c>
      <c r="J129" s="0" t="n">
        <f aca="false">Vin/Vramp</f>
        <v>9</v>
      </c>
      <c r="M129" s="0" t="n">
        <f aca="false">1/(2*Pi*_Rfb1*(Cc1ea_u+Cc2ea_u)*A129)</f>
        <v>0.12409742165595</v>
      </c>
      <c r="N129" s="0" t="n">
        <f aca="false">-Pi/2</f>
        <v>-1.570796325</v>
      </c>
      <c r="O129" s="0" t="n">
        <f aca="false">SQRT(1+(A129/Fz1_u)^2)</f>
        <v>1.53182199924717</v>
      </c>
      <c r="P129" s="0" t="n">
        <f aca="false">ATAN2(Fz1_u,A129)</f>
        <v>0.85949860551663</v>
      </c>
      <c r="Q129" s="0" t="n">
        <f aca="false">SQRT(1+(A129/Fz2_u)^2)</f>
        <v>1316.70544518594</v>
      </c>
      <c r="R129" s="0" t="n">
        <f aca="false">ATAN2(Fz2_u,A129)</f>
        <v>1.57003685541898</v>
      </c>
      <c r="S129" s="0" t="n">
        <f aca="false">1/SQRT(1+(A129/Fp1_u)^2)</f>
        <v>0.273324672634093</v>
      </c>
      <c r="T129" s="0" t="n">
        <f aca="false">-ATAN2(Fp1_u,A129)</f>
        <v>-1.29394870249543</v>
      </c>
      <c r="U129" s="0" t="n">
        <f aca="false">1/SQRT(1+(A129/Fp2_u)^2)</f>
        <v>0.991790612532321</v>
      </c>
      <c r="V129" s="0" t="n">
        <f aca="false">-ATAN2(Fp2_u,A129)</f>
        <v>-0.128223589582332</v>
      </c>
      <c r="X129" s="0" t="n">
        <f aca="false">20*LOG(C129*J129*O129*Q129*F129*M129*S129*U129)</f>
        <v>58.5682820464838</v>
      </c>
      <c r="Y129" s="0" t="n">
        <f aca="false">(180/Pi)*(D129+H129+N129+P129+R129+T129+V129)</f>
        <v>-138.716517379965</v>
      </c>
      <c r="Z129" s="0" t="n">
        <f aca="false">Y129+180</f>
        <v>41.2834826200351</v>
      </c>
      <c r="AC129" s="0" t="n">
        <v>1</v>
      </c>
      <c r="AD129" s="0" t="n">
        <f aca="false">Rcea1_u*Cc1ea_u*A129*2*Pi</f>
        <v>1.160378661204</v>
      </c>
      <c r="AE129" s="0" t="n">
        <f aca="false">-Rcea1_u*Cc1ea_u*Cc2ea_u*(A129*2*Pi)^2</f>
        <v>-5.19474782938884E-005</v>
      </c>
      <c r="AF129" s="0" t="n">
        <f aca="false">(Cc2ea_u+Cc1ea_u)*A129*2*Pi</f>
        <v>0.0004029092573625</v>
      </c>
      <c r="AG129" s="0" t="n">
        <f aca="false">AC129*AE129/(AE129^2+AF129^2)+AD129*AF129/(AE129^2+AF129^2)</f>
        <v>2518.14046491452</v>
      </c>
      <c r="AH129" s="0" t="n">
        <f aca="false">AD129*AE129/(AE129^2+AF129^2)-AC129*AF129/(AE129^2+AF129^2)</f>
        <v>-2806.61470660802</v>
      </c>
      <c r="AJ129" s="0" t="n">
        <f aca="false">_Rfb1</f>
        <v>20000</v>
      </c>
      <c r="AK129" s="0" t="n">
        <f aca="false">_Rfb1*Rcea2_u*Cc3ea_u*A129*2*Pi</f>
        <v>70386.75500472</v>
      </c>
      <c r="AL129" s="0" t="n">
        <v>1</v>
      </c>
      <c r="AM129" s="0" t="n">
        <f aca="false">(_Rfb1+Rcea2_u)*Cc3ea_u*A129*2*Pi</f>
        <v>1316.70506545024</v>
      </c>
      <c r="AN129" s="0" t="n">
        <f aca="false">AJ129*AL129/(AL129^2+AM129^2)+AK129*AM129/(AL129^2+AM129^2)</f>
        <v>53.4682410471923</v>
      </c>
      <c r="AO129" s="0" t="n">
        <f aca="false">AK129*AL129/(AL129^2+AM129^2)-AJ129*AM129/(AL129^2+AM129^2)</f>
        <v>-15.1488228323419</v>
      </c>
      <c r="AQ129" s="0" t="n">
        <f aca="false">Eadcg/(1+(Eadcg*A129/GBP)^2)</f>
        <v>5.0380317523664</v>
      </c>
      <c r="AR129" s="0" t="n">
        <f aca="false">-(A129*Eadcg*Eadcg/GBP)/(1+(Eadcg*A129/GBP)^2)</f>
        <v>-126.114529841112</v>
      </c>
      <c r="AT129" s="0" t="n">
        <f aca="false">-AR129*AH129+AG129*AQ129</f>
        <v>-341268.422549863</v>
      </c>
      <c r="AU129" s="0" t="n">
        <f aca="false">AQ129*AH129+AG129*AR129</f>
        <v>-331713.914815124</v>
      </c>
      <c r="AV129" s="0" t="n">
        <f aca="false">ATAN2(AT129,AU129)</f>
        <v>-2.37039080016821</v>
      </c>
      <c r="AW129" s="0" t="n">
        <f aca="false">AG129-AH129*AO129/_Rfb2+AG129*AN129/_Rfb2+AN129-AO129*AR129+AQ129*AN129</f>
        <v>971.952367542408</v>
      </c>
      <c r="AX129" s="0" t="n">
        <f aca="false">AH129+AH129*AN129/_Rfb2+AG129*AO129/_Rfb2+AO129+AO129*AQ129+AN129*AR129</f>
        <v>-9725.90108792183</v>
      </c>
      <c r="AY129" s="0" t="n">
        <f aca="false">ATAN2(AW129,AX129)</f>
        <v>-1.47119259693381</v>
      </c>
      <c r="BA129" s="0" t="n">
        <f aca="false">SQRT(AT129^2+AU129^2)/SQRT(AW129^2+AX129^2)</f>
        <v>48.6905539897231</v>
      </c>
      <c r="BB129" s="0" t="n">
        <f aca="false">20*LOG(BA129)</f>
        <v>33.7488943174987</v>
      </c>
      <c r="BC129" s="0" t="n">
        <f aca="false">AV129-AY129</f>
        <v>-0.899198203234405</v>
      </c>
      <c r="BD129" s="0" t="n">
        <f aca="false">BC129*180/Pi-180</f>
        <v>-231.520262049949</v>
      </c>
      <c r="BF129" s="0" t="n">
        <f aca="false">20*LOG(BA129*J129*F129*C129)</f>
        <v>55.6860059200282</v>
      </c>
      <c r="BG129" s="0" t="n">
        <f aca="false">(180/Pi)*(D129+H129+BC129)</f>
        <v>-157.954437508345</v>
      </c>
      <c r="BH129" s="0" t="n">
        <f aca="false">IF(BG129&gt;180,BG129-180,BG129+180)</f>
        <v>22.045562491655</v>
      </c>
      <c r="BI129" s="0" t="n">
        <f aca="false">IF(BH129&gt;180,BH129-360,BH129)</f>
        <v>22.045562491655</v>
      </c>
      <c r="BJ129" s="0" t="n">
        <f aca="false">SUM((BF130&lt;0)*(BF129&gt;0))*A129</f>
        <v>0</v>
      </c>
      <c r="BK129" s="0" t="n">
        <f aca="false">IF(BJ129&gt;0,BI129,0)</f>
        <v>0</v>
      </c>
      <c r="BM129" s="0" t="n">
        <f aca="false">20*LOG(J129*F129*C129)</f>
        <v>21.9371116025294</v>
      </c>
      <c r="BN129" s="0" t="n">
        <f aca="false">(H129+D129)*180/Pi</f>
        <v>-106.434175458396</v>
      </c>
      <c r="BQ129" s="347" t="n">
        <f aca="false">20*LOG(BA129*7)</f>
        <v>50.6508551177839</v>
      </c>
      <c r="BR129" s="353"/>
      <c r="BS129" s="353"/>
      <c r="BT129" s="353" t="n">
        <v>1548.817</v>
      </c>
      <c r="BU129" s="353" t="n">
        <v>11.3354</v>
      </c>
      <c r="BV129" s="353" t="n">
        <v>-257.471</v>
      </c>
      <c r="BW129" s="349"/>
      <c r="BY129" s="353"/>
      <c r="BZ129" s="353"/>
      <c r="CA129" s="353"/>
      <c r="CC129" s="353"/>
    </row>
    <row r="130" customFormat="false" ht="12.75" hidden="false" customHeight="false" outlineLevel="0" collapsed="false">
      <c r="A130" s="0" t="n">
        <f aca="false">A129+500</f>
        <v>48000</v>
      </c>
      <c r="B130" s="0" t="n">
        <f aca="false">A130/1000</f>
        <v>48</v>
      </c>
      <c r="C130" s="0" t="n">
        <f aca="false">SQRT((A130/Fesr)^2+1)</f>
        <v>1.00000004547914</v>
      </c>
      <c r="D130" s="0" t="n">
        <f aca="false">ATAN(A130/Fesr)</f>
        <v>0.000301592885255877</v>
      </c>
      <c r="F130" s="0" t="n">
        <f aca="false">(Ro/(Ro+Rdcr))/SQRT((A130/(Q*Fo))^2+(1-(A130^2/Fo^2))^2)</f>
        <v>1.36115613330427</v>
      </c>
      <c r="G130" s="0" t="n">
        <f aca="false">-ATAN(A130*Fo/(Q*(Fo^2-A130^2)))</f>
        <v>1.25299156406985</v>
      </c>
      <c r="H130" s="0" t="n">
        <f aca="false">IF(G130&gt;0,G130-Pi,G130)</f>
        <v>-1.88860108593015</v>
      </c>
      <c r="J130" s="0" t="n">
        <f aca="false">Vin/Vramp</f>
        <v>9</v>
      </c>
      <c r="M130" s="0" t="n">
        <f aca="false">1/(2*Pi*_Rfb1*(Cc1ea_u+Cc2ea_u)*A130)</f>
        <v>0.122804740180368</v>
      </c>
      <c r="N130" s="0" t="n">
        <f aca="false">-Pi/2</f>
        <v>-1.570796325</v>
      </c>
      <c r="O130" s="0" t="n">
        <f aca="false">SQRT(1+(A130/Fz1_u)^2)</f>
        <v>1.54109530865812</v>
      </c>
      <c r="P130" s="0" t="n">
        <f aca="false">ATAN2(Fz1_u,A130)</f>
        <v>0.864672770416976</v>
      </c>
      <c r="Q130" s="0" t="n">
        <f aca="false">SQRT(1+(A130/Fz2_u)^2)</f>
        <v>1330.56549455089</v>
      </c>
      <c r="R130" s="0" t="n">
        <f aca="false">ATAN2(Fz2_u,A130)</f>
        <v>1.57004476657615</v>
      </c>
      <c r="S130" s="0" t="n">
        <f aca="false">1/SQRT(1+(A130/Fp1_u)^2)</f>
        <v>0.270687171118628</v>
      </c>
      <c r="T130" s="0" t="n">
        <f aca="false">-ATAN2(Fp1_u,A130)</f>
        <v>-1.29668954699331</v>
      </c>
      <c r="U130" s="0" t="n">
        <f aca="false">1/SQRT(1+(A130/Fp2_u)^2)</f>
        <v>0.991619051800062</v>
      </c>
      <c r="V130" s="0" t="n">
        <f aca="false">-ATAN2(Fp2_u,A130)</f>
        <v>-0.129558335506849</v>
      </c>
      <c r="X130" s="0" t="n">
        <f aca="false">20*LOG(C130*J130*O130*Q130*F130*M130*S130*U130)</f>
        <v>58.3608778986522</v>
      </c>
      <c r="Y130" s="0" t="n">
        <f aca="false">(180/Pi)*(D130+H130+N130+P130+R130+T130+V130)</f>
        <v>-140.410536496304</v>
      </c>
      <c r="Z130" s="0" t="n">
        <f aca="false">Y130+180</f>
        <v>39.5894635036958</v>
      </c>
      <c r="AC130" s="0" t="n">
        <v>1</v>
      </c>
      <c r="AD130" s="0" t="n">
        <f aca="false">Rcea1_u*Cc1ea_u*A130*2*Pi</f>
        <v>1.1725931734272</v>
      </c>
      <c r="AE130" s="0" t="n">
        <f aca="false">-Rcea1_u*Cc1ea_u*Cc2ea_u*(A130*2*Pi)^2</f>
        <v>-5.30468653691386E-005</v>
      </c>
      <c r="AF130" s="0" t="n">
        <f aca="false">(Cc2ea_u+Cc1ea_u)*A130*2*Pi</f>
        <v>0.00040715040744</v>
      </c>
      <c r="AG130" s="0" t="n">
        <f aca="false">AC130*AE130/(AE130^2+AF130^2)+AD130*AF130/(AE130^2+AF130^2)</f>
        <v>2517.2693603657</v>
      </c>
      <c r="AH130" s="0" t="n">
        <f aca="false">AD130*AE130/(AE130^2+AF130^2)-AC130*AF130/(AE130^2+AF130^2)</f>
        <v>-2784.06512223427</v>
      </c>
      <c r="AJ130" s="0" t="n">
        <f aca="false">_Rfb1</f>
        <v>20000</v>
      </c>
      <c r="AK130" s="0" t="n">
        <f aca="false">_Rfb1*Rcea2_u*Cc3ea_u*A130*2*Pi</f>
        <v>71127.668215296</v>
      </c>
      <c r="AL130" s="0" t="n">
        <v>1</v>
      </c>
      <c r="AM130" s="0" t="n">
        <f aca="false">(_Rfb1+Rcea2_u)*Cc3ea_u*A130*2*Pi</f>
        <v>1330.56511877076</v>
      </c>
      <c r="AN130" s="0" t="n">
        <f aca="false">AJ130*AL130/(AL130^2+AM130^2)+AK130*AM130/(AL130^2+AM130^2)</f>
        <v>53.4680026061366</v>
      </c>
      <c r="AO130" s="0" t="n">
        <f aca="false">AK130*AL130/(AL130^2+AM130^2)-AJ130*AM130/(AL130^2+AM130^2)</f>
        <v>-14.9910227737079</v>
      </c>
      <c r="AQ130" s="0" t="n">
        <f aca="false">Eadcg/(1+(Eadcg*A130/GBP)^2)</f>
        <v>4.93378233727643</v>
      </c>
      <c r="AR130" s="0" t="n">
        <f aca="false">-(A130*Eadcg*Eadcg/GBP)/(1+(Eadcg*A130/GBP)^2)</f>
        <v>-124.804958003745</v>
      </c>
      <c r="AT130" s="0" t="n">
        <f aca="false">-AR130*AH130+AG130*AQ130</f>
        <v>-335045.471551799</v>
      </c>
      <c r="AU130" s="0" t="n">
        <f aca="false">AQ130*AH130+AG130*AR130</f>
        <v>-327903.668130461</v>
      </c>
      <c r="AV130" s="0" t="n">
        <f aca="false">ATAN2(AT130,AU130)</f>
        <v>-2.36696685075191</v>
      </c>
      <c r="AW130" s="0" t="n">
        <f aca="false">AG130-AH130*AO130/_Rfb2+AG130*AN130/_Rfb2+AN130-AO130*AR130+AQ130*AN130</f>
        <v>1005.36870361492</v>
      </c>
      <c r="AX130" s="0" t="n">
        <f aca="false">AH130+AH130*AN130/_Rfb2+AG130*AO130/_Rfb2+AO130+AO130*AQ130+AN130*AR130</f>
        <v>-9630.05808777363</v>
      </c>
      <c r="AY130" s="0" t="n">
        <f aca="false">ATAN2(AW130,AX130)</f>
        <v>-1.46677412476444</v>
      </c>
      <c r="BA130" s="0" t="n">
        <f aca="false">SQRT(AT130^2+AU130^2)/SQRT(AW130^2+AX130^2)</f>
        <v>48.4180827827743</v>
      </c>
      <c r="BB130" s="0" t="n">
        <f aca="false">20*LOG(BA130)</f>
        <v>33.7001517726031</v>
      </c>
      <c r="BC130" s="0" t="n">
        <f aca="false">AV130-AY130</f>
        <v>-0.900192725987468</v>
      </c>
      <c r="BD130" s="0" t="n">
        <f aca="false">BC130*180/Pi-180</f>
        <v>-231.577244006394</v>
      </c>
      <c r="BF130" s="0" t="n">
        <f aca="false">20*LOG(BA130*J130*F130*C130)</f>
        <v>55.4631612446615</v>
      </c>
      <c r="BG130" s="0" t="n">
        <f aca="false">(180/Pi)*(D130+H130+BC130)</f>
        <v>-159.768835538186</v>
      </c>
      <c r="BH130" s="0" t="n">
        <f aca="false">IF(BG130&gt;180,BG130-180,BG130+180)</f>
        <v>20.2311644618138</v>
      </c>
      <c r="BI130" s="0" t="n">
        <f aca="false">IF(BH130&gt;180,BH130-360,BH130)</f>
        <v>20.2311644618138</v>
      </c>
      <c r="BJ130" s="0" t="n">
        <f aca="false">SUM((BF131&lt;0)*(BF130&gt;0))*A130</f>
        <v>0</v>
      </c>
      <c r="BK130" s="0" t="n">
        <f aca="false">IF(BJ130&gt;0,BI130,0)</f>
        <v>0</v>
      </c>
      <c r="BM130" s="0" t="n">
        <f aca="false">20*LOG(J130*F130*C130)</f>
        <v>21.7630094720584</v>
      </c>
      <c r="BN130" s="0" t="n">
        <f aca="false">(H130+D130)*180/Pi</f>
        <v>-108.191591531792</v>
      </c>
      <c r="BQ130" s="347" t="n">
        <f aca="false">20*LOG(BA130*7)</f>
        <v>50.6021125728882</v>
      </c>
      <c r="BR130" s="353"/>
      <c r="BS130" s="353"/>
      <c r="BT130" s="353" t="n">
        <v>1584.893</v>
      </c>
      <c r="BU130" s="353" t="n">
        <v>11.1604</v>
      </c>
      <c r="BV130" s="353" t="n">
        <v>-256.942</v>
      </c>
      <c r="BW130" s="349"/>
      <c r="BY130" s="353"/>
      <c r="BZ130" s="353"/>
      <c r="CA130" s="353"/>
      <c r="CC130" s="353"/>
    </row>
    <row r="131" customFormat="false" ht="12.75" hidden="false" customHeight="false" outlineLevel="0" collapsed="false">
      <c r="A131" s="0" t="n">
        <f aca="false">A130+500</f>
        <v>48500</v>
      </c>
      <c r="B131" s="0" t="n">
        <f aca="false">A131/1000</f>
        <v>48.5</v>
      </c>
      <c r="C131" s="0" t="n">
        <f aca="false">SQRT((A131/Fesr)^2+1)</f>
        <v>1.00000004643155</v>
      </c>
      <c r="D131" s="0" t="n">
        <f aca="false">ATAN(A131/Fesr)</f>
        <v>0.000304734477617137</v>
      </c>
      <c r="F131" s="0" t="n">
        <f aca="false">(Ro/(Ro+Rdcr))/SQRT((A131/(Q*Fo))^2+(1-(A131^2/Fo^2))^2)</f>
        <v>1.33332556457441</v>
      </c>
      <c r="G131" s="0" t="n">
        <f aca="false">-ATAN(A131*Fo/(Q*(Fo^2-A131^2)))</f>
        <v>1.22319938214226</v>
      </c>
      <c r="H131" s="0" t="n">
        <f aca="false">IF(G131&gt;0,G131-Pi,G131)</f>
        <v>-1.91839326785774</v>
      </c>
      <c r="J131" s="0" t="n">
        <f aca="false">Vin/Vramp</f>
        <v>9</v>
      </c>
      <c r="M131" s="0" t="n">
        <f aca="false">1/(2*Pi*_Rfb1*(Cc1ea_u+Cc2ea_u)*A131)</f>
        <v>0.121538711931085</v>
      </c>
      <c r="N131" s="0" t="n">
        <f aca="false">-Pi/2</f>
        <v>-1.570796325</v>
      </c>
      <c r="O131" s="0" t="n">
        <f aca="false">SQRT(1+(A131/Fz1_u)^2)</f>
        <v>1.5504093820589</v>
      </c>
      <c r="P131" s="0" t="n">
        <f aca="false">ATAN2(Fz1_u,A131)</f>
        <v>0.869784903296786</v>
      </c>
      <c r="Q131" s="0" t="n">
        <f aca="false">SQRT(1+(A131/Fz2_u)^2)</f>
        <v>1344.4255439974</v>
      </c>
      <c r="R131" s="0" t="n">
        <f aca="false">ATAN2(Fz2_u,A131)</f>
        <v>1.57005251461677</v>
      </c>
      <c r="S131" s="0" t="n">
        <f aca="false">1/SQRT(1+(A131/Fp1_u)^2)</f>
        <v>0.268098128684194</v>
      </c>
      <c r="T131" s="0" t="n">
        <f aca="false">-ATAN2(Fp1_u,A131)</f>
        <v>-1.29937798063879</v>
      </c>
      <c r="U131" s="0" t="n">
        <f aca="false">1/SQRT(1+(A131/Fp2_u)^2)</f>
        <v>0.991445785022193</v>
      </c>
      <c r="V131" s="0" t="n">
        <f aca="false">-ATAN2(Fp2_u,A131)</f>
        <v>-0.130892617364272</v>
      </c>
      <c r="X131" s="0" t="n">
        <f aca="false">20*LOG(C131*J131*O131*Q131*F131*M131*S131*U131)</f>
        <v>58.1487852353195</v>
      </c>
      <c r="Y131" s="0" t="n">
        <f aca="false">(180/Pi)*(D131+H131+N131+P131+R131+T131+V131)</f>
        <v>-142.054459837284</v>
      </c>
      <c r="Z131" s="0" t="n">
        <f aca="false">Y131+180</f>
        <v>37.9455401627157</v>
      </c>
      <c r="AC131" s="0" t="n">
        <v>1</v>
      </c>
      <c r="AD131" s="0" t="n">
        <f aca="false">Rcea1_u*Cc1ea_u*A131*2*Pi</f>
        <v>1.1848076856504</v>
      </c>
      <c r="AE131" s="0" t="n">
        <f aca="false">-Rcea1_u*Cc1ea_u*Cc2ea_u*(A131*2*Pi)^2</f>
        <v>-5.41577643509358E-005</v>
      </c>
      <c r="AF131" s="0" t="n">
        <f aca="false">(Cc2ea_u+Cc1ea_u)*A131*2*Pi</f>
        <v>0.0004113915575175</v>
      </c>
      <c r="AG131" s="0" t="n">
        <f aca="false">AC131*AE131/(AE131^2+AF131^2)+AD131*AF131/(AE131^2+AF131^2)</f>
        <v>2516.38974627398</v>
      </c>
      <c r="AH131" s="0" t="n">
        <f aca="false">AD131*AE131/(AE131^2+AF131^2)-AC131*AF131/(AE131^2+AF131^2)</f>
        <v>-2762.04511767474</v>
      </c>
      <c r="AJ131" s="0" t="n">
        <f aca="false">_Rfb1</f>
        <v>20000</v>
      </c>
      <c r="AK131" s="0" t="n">
        <f aca="false">_Rfb1*Rcea2_u*Cc3ea_u*A131*2*Pi</f>
        <v>71868.581425872</v>
      </c>
      <c r="AL131" s="0" t="n">
        <v>1</v>
      </c>
      <c r="AM131" s="0" t="n">
        <f aca="false">(_Rfb1+Rcea2_u)*Cc3ea_u*A131*2*Pi</f>
        <v>1344.42517209129</v>
      </c>
      <c r="AN131" s="0" t="n">
        <f aca="false">AJ131*AL131/(AL131^2+AM131^2)+AK131*AM131/(AL131^2+AM131^2)</f>
        <v>53.4677715014621</v>
      </c>
      <c r="AO131" s="0" t="n">
        <f aca="false">AK131*AL131/(AL131^2+AM131^2)-AJ131*AM131/(AL131^2+AM131^2)</f>
        <v>-14.8364763190733</v>
      </c>
      <c r="AQ131" s="0" t="n">
        <f aca="false">Eadcg/(1+(Eadcg*A131/GBP)^2)</f>
        <v>4.83273391149228</v>
      </c>
      <c r="AR131" s="0" t="n">
        <f aca="false">-(A131*Eadcg*Eadcg/GBP)/(1+(Eadcg*A131/GBP)^2)</f>
        <v>-123.522262410787</v>
      </c>
      <c r="AT131" s="0" t="n">
        <f aca="false">-AR131*AH131+AG131*AQ131</f>
        <v>-329013.019754502</v>
      </c>
      <c r="AU131" s="0" t="n">
        <f aca="false">AQ131*AH131+AG131*AR131</f>
        <v>-324178.383672326</v>
      </c>
      <c r="AV131" s="0" t="n">
        <f aca="false">ATAN2(AT131,AU131)</f>
        <v>-2.36359591613618</v>
      </c>
      <c r="AW131" s="0" t="n">
        <f aca="false">AG131-AH131*AO131/_Rfb2+AG131*AN131/_Rfb2+AN131-AO131*AR131+AQ131*AN131</f>
        <v>1037.72293988829</v>
      </c>
      <c r="AX131" s="0" t="n">
        <f aca="false">AH131+AH131*AN131/_Rfb2+AG131*AO131/_Rfb2+AO131+AO131*AQ131+AN131*AR131</f>
        <v>-9536.29907750056</v>
      </c>
      <c r="AY131" s="0" t="n">
        <f aca="false">ATAN2(AW131,AX131)</f>
        <v>-1.46240461656291</v>
      </c>
      <c r="BA131" s="0" t="n">
        <f aca="false">SQRT(AT131^2+AU131^2)/SQRT(AW131^2+AX131^2)</f>
        <v>48.1505522539127</v>
      </c>
      <c r="BB131" s="0" t="n">
        <f aca="false">20*LOG(BA131)</f>
        <v>33.6520254509978</v>
      </c>
      <c r="BC131" s="0" t="n">
        <f aca="false">AV131-AY131</f>
        <v>-0.901191299573271</v>
      </c>
      <c r="BD131" s="0" t="n">
        <f aca="false">BC131*180/Pi-180</f>
        <v>-231.634458058459</v>
      </c>
      <c r="BF131" s="0" t="n">
        <f aca="false">20*LOG(BA131*J131*F131*C131)</f>
        <v>55.2356001661652</v>
      </c>
      <c r="BG131" s="0" t="n">
        <f aca="false">(180/Pi)*(D131+H131+BC131)</f>
        <v>-161.532835879155</v>
      </c>
      <c r="BH131" s="0" t="n">
        <f aca="false">IF(BG131&gt;180,BG131-180,BG131+180)</f>
        <v>18.4671641208447</v>
      </c>
      <c r="BI131" s="0" t="n">
        <f aca="false">IF(BH131&gt;180,BH131-360,BH131)</f>
        <v>18.4671641208447</v>
      </c>
      <c r="BJ131" s="0" t="n">
        <f aca="false">SUM((BF132&lt;0)*(BF131&gt;0))*A131</f>
        <v>0</v>
      </c>
      <c r="BK131" s="0" t="n">
        <f aca="false">IF(BJ131&gt;0,BI131,0)</f>
        <v>0</v>
      </c>
      <c r="BM131" s="0" t="n">
        <f aca="false">20*LOG(J131*F131*C131)</f>
        <v>21.5835747151674</v>
      </c>
      <c r="BN131" s="0" t="n">
        <f aca="false">(H131+D131)*180/Pi</f>
        <v>-109.898377820696</v>
      </c>
      <c r="BQ131" s="347" t="n">
        <f aca="false">20*LOG(BA131*7)</f>
        <v>50.5539862512829</v>
      </c>
      <c r="BR131" s="353"/>
      <c r="BS131" s="353"/>
      <c r="BT131" s="353" t="n">
        <v>1621.81</v>
      </c>
      <c r="BU131" s="353" t="n">
        <v>10.9787</v>
      </c>
      <c r="BV131" s="353" t="n">
        <v>-256.753</v>
      </c>
      <c r="BW131" s="349"/>
      <c r="BY131" s="353"/>
      <c r="BZ131" s="353"/>
      <c r="CA131" s="353"/>
      <c r="CC131" s="353"/>
    </row>
    <row r="132" customFormat="false" ht="12.75" hidden="false" customHeight="false" outlineLevel="0" collapsed="false">
      <c r="A132" s="0" t="n">
        <f aca="false">A131+500</f>
        <v>49000</v>
      </c>
      <c r="B132" s="0" t="n">
        <f aca="false">A132/1000</f>
        <v>49</v>
      </c>
      <c r="C132" s="0" t="n">
        <f aca="false">SQRT((A132/Fesr)^2+1)</f>
        <v>1.00000004739384</v>
      </c>
      <c r="D132" s="0" t="n">
        <f aca="false">ATAN(A132/Fesr)</f>
        <v>0.000307876069972381</v>
      </c>
      <c r="F132" s="0" t="n">
        <f aca="false">(Ro/(Ro+Rdcr))/SQRT((A132/(Q*Fo))^2+(1-(A132^2/Fo^2))^2)</f>
        <v>1.30535260482903</v>
      </c>
      <c r="G132" s="0" t="n">
        <f aca="false">-ATAN(A132*Fo/(Q*(Fo^2-A132^2)))</f>
        <v>1.19429927489083</v>
      </c>
      <c r="H132" s="0" t="n">
        <f aca="false">IF(G132&gt;0,G132-Pi,G132)</f>
        <v>-1.94729337510917</v>
      </c>
      <c r="J132" s="0" t="n">
        <f aca="false">Vin/Vramp</f>
        <v>9</v>
      </c>
      <c r="M132" s="0" t="n">
        <f aca="false">1/(2*Pi*_Rfb1*(Cc1ea_u+Cc2ea_u)*A132)</f>
        <v>0.120298520993013</v>
      </c>
      <c r="N132" s="0" t="n">
        <f aca="false">-Pi/2</f>
        <v>-1.570796325</v>
      </c>
      <c r="O132" s="0" t="n">
        <f aca="false">SQRT(1+(A132/Fz1_u)^2)</f>
        <v>1.55976348918743</v>
      </c>
      <c r="P132" s="0" t="n">
        <f aca="false">ATAN2(Fz1_u,A132)</f>
        <v>0.87483585059516</v>
      </c>
      <c r="Q132" s="0" t="n">
        <f aca="false">SQRT(1+(A132/Fz2_u)^2)</f>
        <v>1358.28559352297</v>
      </c>
      <c r="R132" s="0" t="n">
        <f aca="false">ATAN2(Fz2_u,A132)</f>
        <v>1.5700601045342</v>
      </c>
      <c r="S132" s="0" t="n">
        <f aca="false">1/SQRT(1+(A132/Fp1_u)^2)</f>
        <v>0.265556278733653</v>
      </c>
      <c r="T132" s="0" t="n">
        <f aca="false">-ATAN2(Fp1_u,A132)</f>
        <v>-1.30201545473581</v>
      </c>
      <c r="U132" s="0" t="n">
        <f aca="false">1/SQRT(1+(A132/Fp2_u)^2)</f>
        <v>0.991270814943173</v>
      </c>
      <c r="V132" s="0" t="n">
        <f aca="false">-ATAN2(Fp2_u,A132)</f>
        <v>-0.132226430648209</v>
      </c>
      <c r="X132" s="0" t="n">
        <f aca="false">20*LOG(C132*J132*O132*Q132*F132*M132*S132*U132)</f>
        <v>57.9325879357012</v>
      </c>
      <c r="Y132" s="0" t="n">
        <f aca="false">(180/Pi)*(D132+H132+N132+P132+R132+T132+V132)</f>
        <v>-143.647839185291</v>
      </c>
      <c r="Z132" s="0" t="n">
        <f aca="false">Y132+180</f>
        <v>36.3521608147087</v>
      </c>
      <c r="AC132" s="0" t="n">
        <v>1</v>
      </c>
      <c r="AD132" s="0" t="n">
        <f aca="false">Rcea1_u*Cc1ea_u*A132*2*Pi</f>
        <v>1.1970221978736</v>
      </c>
      <c r="AE132" s="0" t="n">
        <f aca="false">-Rcea1_u*Cc1ea_u*Cc2ea_u*(A132*2*Pi)^2</f>
        <v>-5.52801752392802E-005</v>
      </c>
      <c r="AF132" s="0" t="n">
        <f aca="false">(Cc2ea_u+Cc1ea_u)*A132*2*Pi</f>
        <v>0.000415632707595</v>
      </c>
      <c r="AG132" s="0" t="n">
        <f aca="false">AC132*AE132/(AE132^2+AF132^2)+AD132*AF132/(AE132^2+AF132^2)</f>
        <v>2515.50164110874</v>
      </c>
      <c r="AH132" s="0" t="n">
        <f aca="false">AD132*AE132/(AE132^2+AF132^2)-AC132*AF132/(AE132^2+AF132^2)</f>
        <v>-2740.53834243744</v>
      </c>
      <c r="AJ132" s="0" t="n">
        <f aca="false">_Rfb1</f>
        <v>20000</v>
      </c>
      <c r="AK132" s="0" t="n">
        <f aca="false">_Rfb1*Rcea2_u*Cc3ea_u*A132*2*Pi</f>
        <v>72609.494636448</v>
      </c>
      <c r="AL132" s="0" t="n">
        <v>1</v>
      </c>
      <c r="AM132" s="0" t="n">
        <f aca="false">(_Rfb1+Rcea2_u)*Cc3ea_u*A132*2*Pi</f>
        <v>1358.28522541182</v>
      </c>
      <c r="AN132" s="0" t="n">
        <f aca="false">AJ132*AL132/(AL132^2+AM132^2)+AK132*AM132/(AL132^2+AM132^2)</f>
        <v>53.4675474352579</v>
      </c>
      <c r="AO132" s="0" t="n">
        <f aca="false">AK132*AL132/(AL132^2+AM132^2)-AJ132*AM132/(AL132^2+AM132^2)</f>
        <v>-14.6850838685351</v>
      </c>
      <c r="AQ132" s="0" t="n">
        <f aca="false">Eadcg/(1+(Eadcg*A132/GBP)^2)</f>
        <v>4.73475681915377</v>
      </c>
      <c r="AR132" s="0" t="n">
        <f aca="false">-(A132*Eadcg*Eadcg/GBP)/(1+(Eadcg*A132/GBP)^2)</f>
        <v>-122.265625341008</v>
      </c>
      <c r="AT132" s="0" t="n">
        <f aca="false">-AR132*AH132+AG132*AQ132</f>
        <v>-323163.345660291</v>
      </c>
      <c r="AU132" s="0" t="n">
        <f aca="false">AQ132*AH132+AG132*AR132</f>
        <v>-320535.1638015</v>
      </c>
      <c r="AV132" s="0" t="n">
        <f aca="false">ATAN2(AT132,AU132)</f>
        <v>-2.36027740667581</v>
      </c>
      <c r="AW132" s="0" t="n">
        <f aca="false">AG132-AH132*AO132/_Rfb2+AG132*AN132/_Rfb2+AN132-AO132*AR132+AQ132*AN132</f>
        <v>1069.05776155704</v>
      </c>
      <c r="AX132" s="0" t="n">
        <f aca="false">AH132+AH132*AN132/_Rfb2+AG132*AO132/_Rfb2+AO132+AO132*AQ132+AN132*AR132</f>
        <v>-9444.55844729127</v>
      </c>
      <c r="AY132" s="0" t="n">
        <f aca="false">ATAN2(AW132,AX132)</f>
        <v>-1.45808309324613</v>
      </c>
      <c r="BA132" s="0" t="n">
        <f aca="false">SQRT(AT132^2+AU132^2)/SQRT(AW132^2+AX132^2)</f>
        <v>47.8878024677881</v>
      </c>
      <c r="BB132" s="0" t="n">
        <f aca="false">20*LOG(BA132)</f>
        <v>33.6044981616035</v>
      </c>
      <c r="BC132" s="0" t="n">
        <f aca="false">AV132-AY132</f>
        <v>-0.902194313429677</v>
      </c>
      <c r="BD132" s="0" t="n">
        <f aca="false">BC132*180/Pi-180</f>
        <v>-231.69192651929</v>
      </c>
      <c r="BF132" s="0" t="n">
        <f aca="false">20*LOG(BA132*J132*F132*C132)</f>
        <v>55.0039055648391</v>
      </c>
      <c r="BG132" s="0" t="n">
        <f aca="false">(180/Pi)*(D132+H132+BC132)</f>
        <v>-163.245978514877</v>
      </c>
      <c r="BH132" s="0" t="n">
        <f aca="false">IF(BG132&gt;180,BG132-180,BG132+180)</f>
        <v>16.7540214851227</v>
      </c>
      <c r="BI132" s="0" t="n">
        <f aca="false">IF(BH132&gt;180,BH132-360,BH132)</f>
        <v>16.7540214851227</v>
      </c>
      <c r="BJ132" s="0" t="n">
        <f aca="false">SUM((BF133&lt;0)*(BF132&gt;0))*A132</f>
        <v>0</v>
      </c>
      <c r="BK132" s="0" t="n">
        <f aca="false">IF(BJ132&gt;0,BI132,0)</f>
        <v>0</v>
      </c>
      <c r="BM132" s="0" t="n">
        <f aca="false">20*LOG(J132*F132*C132)</f>
        <v>21.3994074032356</v>
      </c>
      <c r="BN132" s="0" t="n">
        <f aca="false">(H132+D132)*180/Pi</f>
        <v>-111.554051995587</v>
      </c>
      <c r="BQ132" s="347" t="n">
        <f aca="false">20*LOG(BA132*7)</f>
        <v>50.5064589618886</v>
      </c>
      <c r="BR132" s="353"/>
      <c r="BS132" s="353"/>
      <c r="BT132" s="353" t="n">
        <v>1659.587</v>
      </c>
      <c r="BU132" s="353" t="n">
        <v>10.7578</v>
      </c>
      <c r="BV132" s="353" t="n">
        <v>-256.857</v>
      </c>
      <c r="BW132" s="349"/>
      <c r="BY132" s="353"/>
      <c r="BZ132" s="353"/>
      <c r="CA132" s="353"/>
      <c r="CC132" s="353"/>
    </row>
    <row r="133" customFormat="false" ht="12.75" hidden="false" customHeight="false" outlineLevel="0" collapsed="false">
      <c r="A133" s="0" t="n">
        <f aca="false">A132+500</f>
        <v>49500</v>
      </c>
      <c r="B133" s="0" t="n">
        <f aca="false">A133/1000</f>
        <v>49.5</v>
      </c>
      <c r="C133" s="0" t="n">
        <f aca="false">SQRT((A133/Fesr)^2+1)</f>
        <v>1.000000048366</v>
      </c>
      <c r="D133" s="0" t="n">
        <f aca="false">ATAN(A133/Fesr)</f>
        <v>0.000311017662321548</v>
      </c>
      <c r="F133" s="0" t="n">
        <f aca="false">(Ro/(Ro+Rdcr))/SQRT((A133/(Q*Fo))^2+(1-(A133^2/Fo^2))^2)</f>
        <v>1.27735521404601</v>
      </c>
      <c r="G133" s="0" t="n">
        <f aca="false">-ATAN(A133*Fo/(Q*(Fo^2-A133^2)))</f>
        <v>1.16629358446525</v>
      </c>
      <c r="H133" s="0" t="n">
        <f aca="false">IF(G133&gt;0,G133-Pi,G133)</f>
        <v>-1.97529906553475</v>
      </c>
      <c r="J133" s="0" t="n">
        <f aca="false">Vin/Vramp</f>
        <v>9</v>
      </c>
      <c r="M133" s="0" t="n">
        <f aca="false">1/(2*Pi*_Rfb1*(Cc1ea_u+Cc2ea_u)*A133)</f>
        <v>0.119083384417326</v>
      </c>
      <c r="N133" s="0" t="n">
        <f aca="false">-Pi/2</f>
        <v>-1.570796325</v>
      </c>
      <c r="O133" s="0" t="n">
        <f aca="false">SQRT(1+(A133/Fz1_u)^2)</f>
        <v>1.56915691409296</v>
      </c>
      <c r="P133" s="0" t="n">
        <f aca="false">ATAN2(Fz1_u,A133)</f>
        <v>0.879826451100723</v>
      </c>
      <c r="Q133" s="0" t="n">
        <f aca="false">SQRT(1+(A133/Fz2_u)^2)</f>
        <v>1372.1456431252</v>
      </c>
      <c r="R133" s="0" t="n">
        <f aca="false">ATAN2(Fz2_u,A133)</f>
        <v>1.57006754112004</v>
      </c>
      <c r="S133" s="0" t="n">
        <f aca="false">1/SQRT(1+(A133/Fp1_u)^2)</f>
        <v>0.263060396203849</v>
      </c>
      <c r="T133" s="0" t="n">
        <f aca="false">-ATAN2(Fp1_u,A133)</f>
        <v>-1.30460336892379</v>
      </c>
      <c r="U133" s="0" t="n">
        <f aca="false">1/SQRT(1+(A133/Fp2_u)^2)</f>
        <v>0.991094144331822</v>
      </c>
      <c r="V133" s="0" t="n">
        <f aca="false">-ATAN2(Fp2_u,A133)</f>
        <v>-0.133559770862101</v>
      </c>
      <c r="X133" s="0" t="n">
        <f aca="false">20*LOG(C133*J133*O133*Q133*F133*M133*S133*U133)</f>
        <v>57.7128470080247</v>
      </c>
      <c r="Y133" s="0" t="n">
        <f aca="false">(180/Pi)*(D133+H133+N133+P133+R133+T133+V133)</f>
        <v>-145.190571947245</v>
      </c>
      <c r="Z133" s="0" t="n">
        <f aca="false">Y133+180</f>
        <v>34.8094280527554</v>
      </c>
      <c r="AC133" s="0" t="n">
        <v>1</v>
      </c>
      <c r="AD133" s="0" t="n">
        <f aca="false">Rcea1_u*Cc1ea_u*A133*2*Pi</f>
        <v>1.2092367100968</v>
      </c>
      <c r="AE133" s="0" t="n">
        <f aca="false">-Rcea1_u*Cc1ea_u*Cc2ea_u*(A133*2*Pi)^2</f>
        <v>-5.64140980341718E-005</v>
      </c>
      <c r="AF133" s="0" t="n">
        <f aca="false">(Cc2ea_u+Cc1ea_u)*A133*2*Pi</f>
        <v>0.0004198738576725</v>
      </c>
      <c r="AG133" s="0" t="n">
        <f aca="false">AC133*AE133/(AE133^2+AF133^2)+AD133*AF133/(AE133^2+AF133^2)</f>
        <v>2514.60506349779</v>
      </c>
      <c r="AH133" s="0" t="n">
        <f aca="false">AD133*AE133/(AE133^2+AF133^2)-AC133*AF133/(AE133^2+AF133^2)</f>
        <v>-2719.52910547728</v>
      </c>
      <c r="AJ133" s="0" t="n">
        <f aca="false">_Rfb1</f>
        <v>20000</v>
      </c>
      <c r="AK133" s="0" t="n">
        <f aca="false">_Rfb1*Rcea2_u*Cc3ea_u*A133*2*Pi</f>
        <v>73350.407847024</v>
      </c>
      <c r="AL133" s="0" t="n">
        <v>1</v>
      </c>
      <c r="AM133" s="0" t="n">
        <f aca="false">(_Rfb1+Rcea2_u)*Cc3ea_u*A133*2*Pi</f>
        <v>1372.14527873235</v>
      </c>
      <c r="AN133" s="0" t="n">
        <f aca="false">AJ133*AL133/(AL133^2+AM133^2)+AK133*AM133/(AL133^2+AM133^2)</f>
        <v>53.4673301245829</v>
      </c>
      <c r="AO133" s="0" t="n">
        <f aca="false">AK133*AL133/(AL133^2+AM133^2)-AJ133*AM133/(AL133^2+AM133^2)</f>
        <v>-14.5367498464178</v>
      </c>
      <c r="AQ133" s="0" t="n">
        <f aca="false">Eadcg/(1+(Eadcg*A133/GBP)^2)</f>
        <v>4.63972790000252</v>
      </c>
      <c r="AR133" s="0" t="n">
        <f aca="false">-(A133*Eadcg*Eadcg/GBP)/(1+(Eadcg*A133/GBP)^2)</f>
        <v>-121.034261863416</v>
      </c>
      <c r="AT133" s="0" t="n">
        <f aca="false">-AR133*AH133+AG133*AQ133</f>
        <v>-317489.11462692</v>
      </c>
      <c r="AU133" s="0" t="n">
        <f aca="false">AQ133*AH133+AG133*AR133</f>
        <v>-316971.242804015</v>
      </c>
      <c r="AV133" s="0" t="n">
        <f aca="false">ATAN2(AT133,AU133)</f>
        <v>-2.35701072985465</v>
      </c>
      <c r="AW133" s="0" t="n">
        <f aca="false">AG133-AH133*AO133/_Rfb2+AG133*AN133/_Rfb2+AN133-AO133*AR133+AQ133*AN133</f>
        <v>1099.41371652622</v>
      </c>
      <c r="AX133" s="0" t="n">
        <f aca="false">AH133+AH133*AN133/_Rfb2+AG133*AO133/_Rfb2+AO133+AO133*AQ133+AN133*AR133</f>
        <v>-9354.77331995441</v>
      </c>
      <c r="AY133" s="0" t="n">
        <f aca="false">ATAN2(AW133,AX133)</f>
        <v>-1.45380861095736</v>
      </c>
      <c r="BA133" s="0" t="n">
        <f aca="false">SQRT(AT133^2+AU133^2)/SQRT(AW133^2+AX133^2)</f>
        <v>47.6296797872841</v>
      </c>
      <c r="BB133" s="0" t="n">
        <f aca="false">20*LOG(BA133)</f>
        <v>33.5575532354877</v>
      </c>
      <c r="BC133" s="0" t="n">
        <f aca="false">AV133-AY133</f>
        <v>-0.903202118897286</v>
      </c>
      <c r="BD133" s="0" t="n">
        <f aca="false">BC133*180/Pi-180</f>
        <v>-231.74966951922</v>
      </c>
      <c r="BF133" s="0" t="n">
        <f aca="false">20*LOG(BA133*J133*F133*C133)</f>
        <v>54.7686375460782</v>
      </c>
      <c r="BG133" s="0" t="n">
        <f aca="false">(180/Pi)*(D133+H133+BC133)</f>
        <v>-164.908149380394</v>
      </c>
      <c r="BH133" s="0" t="n">
        <f aca="false">IF(BG133&gt;180,BG133-180,BG133+180)</f>
        <v>15.0918506196057</v>
      </c>
      <c r="BI133" s="0" t="n">
        <f aca="false">IF(BH133&gt;180,BH133-360,BH133)</f>
        <v>15.0918506196057</v>
      </c>
      <c r="BJ133" s="0" t="n">
        <f aca="false">SUM((BF134&lt;0)*(BF133&gt;0))*A133</f>
        <v>0</v>
      </c>
      <c r="BK133" s="0" t="n">
        <f aca="false">IF(BJ133&gt;0,BI133,0)</f>
        <v>0</v>
      </c>
      <c r="BM133" s="0" t="n">
        <f aca="false">20*LOG(J133*F133*C133)</f>
        <v>21.2110843105904</v>
      </c>
      <c r="BN133" s="0" t="n">
        <f aca="false">(H133+D133)*180/Pi</f>
        <v>-113.158479861174</v>
      </c>
      <c r="BQ133" s="347" t="n">
        <f aca="false">20*LOG(BA133*7)</f>
        <v>50.4595140357729</v>
      </c>
      <c r="BR133" s="353"/>
      <c r="BS133" s="353"/>
      <c r="BT133" s="353" t="n">
        <v>1698.244</v>
      </c>
      <c r="BU133" s="353" t="n">
        <v>10.5805</v>
      </c>
      <c r="BV133" s="353" t="n">
        <v>-256.313</v>
      </c>
      <c r="BW133" s="349"/>
      <c r="BY133" s="353"/>
      <c r="BZ133" s="353"/>
      <c r="CA133" s="353"/>
      <c r="CC133" s="353"/>
    </row>
    <row r="134" customFormat="false" ht="12.75" hidden="false" customHeight="false" outlineLevel="0" collapsed="false">
      <c r="A134" s="0" t="n">
        <f aca="false">A133+500</f>
        <v>50000</v>
      </c>
      <c r="B134" s="0" t="n">
        <f aca="false">A134/1000</f>
        <v>50</v>
      </c>
      <c r="C134" s="0" t="n">
        <f aca="false">SQRT((A134/Fesr)^2+1)</f>
        <v>1.00000004934802</v>
      </c>
      <c r="D134" s="0" t="n">
        <f aca="false">ATAN(A134/Fesr)</f>
        <v>0.000314159254664575</v>
      </c>
      <c r="F134" s="0" t="n">
        <f aca="false">(Ro/(Ro+Rdcr))/SQRT((A134/(Q*Fo))^2+(1-(A134^2/Fo^2))^2)</f>
        <v>1.24943945168596</v>
      </c>
      <c r="G134" s="0" t="n">
        <f aca="false">-ATAN(A134*Fo/(Q*(Fo^2-A134^2)))</f>
        <v>1.1391792658477</v>
      </c>
      <c r="H134" s="0" t="n">
        <f aca="false">IF(G134&gt;0,G134-Pi,G134)</f>
        <v>-2.0024133841523</v>
      </c>
      <c r="J134" s="0" t="n">
        <f aca="false">Vin/Vramp</f>
        <v>9</v>
      </c>
      <c r="M134" s="0" t="n">
        <f aca="false">1/(2*Pi*_Rfb1*(Cc1ea_u+Cc2ea_u)*A134)</f>
        <v>0.117892550573153</v>
      </c>
      <c r="N134" s="0" t="n">
        <f aca="false">-Pi/2</f>
        <v>-1.570796325</v>
      </c>
      <c r="O134" s="0" t="n">
        <f aca="false">SQRT(1+(A134/Fz1_u)^2)</f>
        <v>1.578588954892</v>
      </c>
      <c r="P134" s="0" t="n">
        <f aca="false">ATAN2(Fz1_u,A134)</f>
        <v>0.884757535704784</v>
      </c>
      <c r="Q134" s="0" t="n">
        <f aca="false">SQRT(1+(A134/Fz2_u)^2)</f>
        <v>1386.00569280181</v>
      </c>
      <c r="R134" s="0" t="n">
        <f aca="false">ATAN2(Fz2_u,A134)</f>
        <v>1.57007482897425</v>
      </c>
      <c r="S134" s="0" t="n">
        <f aca="false">1/SQRT(1+(A134/Fp1_u)^2)</f>
        <v>0.260609295988181</v>
      </c>
      <c r="T134" s="0" t="n">
        <f aca="false">-ATAN2(Fp1_u,A134)</f>
        <v>-1.30714307338884</v>
      </c>
      <c r="U134" s="0" t="n">
        <f aca="false">1/SQRT(1+(A134/Fp2_u)^2)</f>
        <v>0.990915775981211</v>
      </c>
      <c r="V134" s="0" t="n">
        <f aca="false">-ATAN2(Fp2_u,A134)</f>
        <v>-0.134892633519307</v>
      </c>
      <c r="X134" s="0" t="n">
        <f aca="false">20*LOG(C134*J134*O134*Q134*F134*M134*S134*U134)</f>
        <v>57.4900965802032</v>
      </c>
      <c r="Y134" s="0" t="n">
        <f aca="false">(180/Pi)*(D134+H134+N134+P134+R134+T134+V134)</f>
        <v>-146.68286182259</v>
      </c>
      <c r="Z134" s="0" t="n">
        <f aca="false">Y134+180</f>
        <v>33.31713817741</v>
      </c>
      <c r="AC134" s="0" t="n">
        <v>1</v>
      </c>
      <c r="AD134" s="0" t="n">
        <f aca="false">Rcea1_u*Cc1ea_u*A134*2*Pi</f>
        <v>1.22145122232</v>
      </c>
      <c r="AE134" s="0" t="n">
        <f aca="false">-Rcea1_u*Cc1ea_u*Cc2ea_u*(A134*2*Pi)^2</f>
        <v>-5.75595327356104E-005</v>
      </c>
      <c r="AF134" s="0" t="n">
        <f aca="false">(Cc2ea_u+Cc1ea_u)*A134*2*Pi</f>
        <v>0.00042411500775</v>
      </c>
      <c r="AG134" s="0" t="n">
        <f aca="false">AC134*AE134/(AE134^2+AF134^2)+AD134*AF134/(AE134^2+AF134^2)</f>
        <v>2513.70003222642</v>
      </c>
      <c r="AH134" s="0" t="n">
        <f aca="false">AD134*AE134/(AE134^2+AF134^2)-AC134*AF134/(AE134^2+AF134^2)</f>
        <v>-2699.0023422307</v>
      </c>
      <c r="AJ134" s="0" t="n">
        <f aca="false">_Rfb1</f>
        <v>20000</v>
      </c>
      <c r="AK134" s="0" t="n">
        <f aca="false">_Rfb1*Rcea2_u*Cc3ea_u*A134*2*Pi</f>
        <v>74091.3210576</v>
      </c>
      <c r="AL134" s="0" t="n">
        <v>1</v>
      </c>
      <c r="AM134" s="0" t="n">
        <f aca="false">(_Rfb1+Rcea2_u)*Cc3ea_u*A134*2*Pi</f>
        <v>1386.00533205288</v>
      </c>
      <c r="AN134" s="0" t="n">
        <f aca="false">AJ134*AL134/(AL134^2+AM134^2)+AK134*AM134/(AL134^2+AM134^2)</f>
        <v>53.4671193005719</v>
      </c>
      <c r="AO134" s="0" t="n">
        <f aca="false">AK134*AL134/(AL134^2+AM134^2)-AJ134*AM134/(AL134^2+AM134^2)</f>
        <v>-14.3913825000627</v>
      </c>
      <c r="AQ134" s="0" t="n">
        <f aca="false">Eadcg/(1+(Eadcg*A134/GBP)^2)</f>
        <v>4.54753010293785</v>
      </c>
      <c r="AR134" s="0" t="n">
        <f aca="false">-(A134*Eadcg*Eadcg/GBP)/(1+(Eadcg*A134/GBP)^2)</f>
        <v>-119.827418212412</v>
      </c>
      <c r="AT134" s="0" t="n">
        <f aca="false">-AR134*AH134+AG134*AQ134</f>
        <v>-311983.355852453</v>
      </c>
      <c r="AU134" s="0" t="n">
        <f aca="false">AQ134*AH134+AG134*AR134</f>
        <v>-313483.979421343</v>
      </c>
      <c r="AV134" s="0" t="n">
        <f aca="false">ATAN2(AT134,AU134)</f>
        <v>-2.35379529105758</v>
      </c>
      <c r="AW134" s="0" t="n">
        <f aca="false">AG134-AH134*AO134/_Rfb2+AG134*AN134/_Rfb2+AN134-AO134*AR134+AQ134*AN134</f>
        <v>1128.82934256889</v>
      </c>
      <c r="AX134" s="0" t="n">
        <f aca="false">AH134+AH134*AN134/_Rfb2+AG134*AO134/_Rfb2+AO134+AO134*AQ134+AN134*AR134</f>
        <v>-9266.8834094107</v>
      </c>
      <c r="AY134" s="0" t="n">
        <f aca="false">ATAN2(AW134,AX134)</f>
        <v>-1.44958025945715</v>
      </c>
      <c r="BA134" s="0" t="n">
        <f aca="false">SQRT(AT134^2+AU134^2)/SQRT(AW134^2+AX134^2)</f>
        <v>47.3760365963998</v>
      </c>
      <c r="BB134" s="0" t="n">
        <f aca="false">20*LOG(BA134)</f>
        <v>33.5111745104656</v>
      </c>
      <c r="BC134" s="0" t="n">
        <f aca="false">AV134-AY134</f>
        <v>-0.904215031600425</v>
      </c>
      <c r="BD134" s="0" t="n">
        <f aca="false">BC134*180/Pi-180</f>
        <v>-231.807705142192</v>
      </c>
      <c r="BF134" s="0" t="n">
        <f aca="false">20*LOG(BA134*J134*F134*C134)</f>
        <v>54.5303294257953</v>
      </c>
      <c r="BG134" s="0" t="n">
        <f aca="false">(180/Pi)*(D134+H134+BC134)</f>
        <v>-166.519541026317</v>
      </c>
      <c r="BH134" s="0" t="n">
        <f aca="false">IF(BG134&gt;180,BG134-180,BG134+180)</f>
        <v>13.4804589736829</v>
      </c>
      <c r="BI134" s="0" t="n">
        <f aca="false">IF(BH134&gt;180,BH134-360,BH134)</f>
        <v>13.4804589736829</v>
      </c>
      <c r="BJ134" s="0" t="n">
        <f aca="false">SUM((BF135&lt;0)*(BF134&gt;0))*A134</f>
        <v>0</v>
      </c>
      <c r="BK134" s="0" t="n">
        <f aca="false">IF(BJ134&gt;0,BI134,0)</f>
        <v>0</v>
      </c>
      <c r="BM134" s="0" t="n">
        <f aca="false">20*LOG(J134*F134*C134)</f>
        <v>21.0191549153297</v>
      </c>
      <c r="BN134" s="0" t="n">
        <f aca="false">(H134+D134)*180/Pi</f>
        <v>-114.711835884126</v>
      </c>
      <c r="BQ134" s="347" t="n">
        <f aca="false">20*LOG(BA134*7)</f>
        <v>50.4131353107507</v>
      </c>
      <c r="BR134" s="353"/>
      <c r="BS134" s="353"/>
      <c r="BT134" s="353" t="n">
        <v>1737.801</v>
      </c>
      <c r="BU134" s="353" t="n">
        <v>10.4643</v>
      </c>
      <c r="BV134" s="353" t="n">
        <v>-256.379</v>
      </c>
      <c r="BW134" s="349"/>
      <c r="BY134" s="353"/>
      <c r="BZ134" s="353"/>
      <c r="CA134" s="353"/>
      <c r="CC134" s="353"/>
    </row>
    <row r="135" customFormat="false" ht="12.75" hidden="false" customHeight="false" outlineLevel="0" collapsed="false">
      <c r="A135" s="0" t="n">
        <f aca="false">A134+500</f>
        <v>50500</v>
      </c>
      <c r="B135" s="0" t="n">
        <f aca="false">A135/1000</f>
        <v>50.5</v>
      </c>
      <c r="C135" s="0" t="n">
        <f aca="false">SQRT((A135/Fesr)^2+1)</f>
        <v>1.00000005033992</v>
      </c>
      <c r="D135" s="0" t="n">
        <f aca="false">ATAN(A135/Fesr)</f>
        <v>0.000317300847001401</v>
      </c>
      <c r="F135" s="0" t="n">
        <f aca="false">(Ro/(Ro+Rdcr))/SQRT((A135/(Q*Fo))^2+(1-(A135^2/Fo^2))^2)</f>
        <v>1.22169949356382</v>
      </c>
      <c r="G135" s="0" t="n">
        <f aca="false">-ATAN(A135*Fo/(Q*(Fo^2-A135^2)))</f>
        <v>1.11294857546625</v>
      </c>
      <c r="H135" s="0" t="n">
        <f aca="false">IF(G135&gt;0,G135-Pi,G135)</f>
        <v>-2.02864407453375</v>
      </c>
      <c r="J135" s="0" t="n">
        <f aca="false">Vin/Vramp</f>
        <v>9</v>
      </c>
      <c r="M135" s="0" t="n">
        <f aca="false">1/(2*Pi*_Rfb1*(Cc1ea_u+Cc2ea_u)*A135)</f>
        <v>0.116725297597181</v>
      </c>
      <c r="N135" s="0" t="n">
        <f aca="false">-Pi/2</f>
        <v>-1.570796325</v>
      </c>
      <c r="O135" s="0" t="n">
        <f aca="false">SQRT(1+(A135/Fz1_u)^2)</f>
        <v>1.58805892352457</v>
      </c>
      <c r="P135" s="0" t="n">
        <f aca="false">ATAN2(Fz1_u,A135)</f>
        <v>0.889629927178287</v>
      </c>
      <c r="Q135" s="0" t="n">
        <f aca="false">SQRT(1+(A135/Fz2_u)^2)</f>
        <v>1399.86574255056</v>
      </c>
      <c r="R135" s="0" t="n">
        <f aca="false">ATAN2(Fz2_u,A135)</f>
        <v>1.57008197251459</v>
      </c>
      <c r="S135" s="0" t="n">
        <f aca="false">1/SQRT(1+(A135/Fp1_u)^2)</f>
        <v>0.258201831423663</v>
      </c>
      <c r="T135" s="0" t="n">
        <f aca="false">-ATAN2(Fp1_u,A135)</f>
        <v>-1.30963587096617</v>
      </c>
      <c r="U135" s="0" t="n">
        <f aca="false">1/SQRT(1+(A135/Fp2_u)^2)</f>
        <v>0.990735712708535</v>
      </c>
      <c r="V135" s="0" t="n">
        <f aca="false">-ATAN2(Fp2_u,A135)</f>
        <v>-0.136225014143184</v>
      </c>
      <c r="X135" s="0" t="n">
        <f aca="false">20*LOG(C135*J135*O135*Q135*F135*M135*S135*U135)</f>
        <v>57.2648409934252</v>
      </c>
      <c r="Y135" s="0" t="n">
        <f aca="false">(180/Pi)*(D135+H135+N135+P135+R135+T135+V135)</f>
        <v>-148.125179481363</v>
      </c>
      <c r="Z135" s="0" t="n">
        <f aca="false">Y135+180</f>
        <v>31.8748205186367</v>
      </c>
      <c r="AC135" s="0" t="n">
        <v>1</v>
      </c>
      <c r="AD135" s="0" t="n">
        <f aca="false">Rcea1_u*Cc1ea_u*A135*2*Pi</f>
        <v>1.2336657345432</v>
      </c>
      <c r="AE135" s="0" t="n">
        <f aca="false">-Rcea1_u*Cc1ea_u*Cc2ea_u*(A135*2*Pi)^2</f>
        <v>-5.87164793435962E-005</v>
      </c>
      <c r="AF135" s="0" t="n">
        <f aca="false">(Cc2ea_u+Cc1ea_u)*A135*2*Pi</f>
        <v>0.0004283561578275</v>
      </c>
      <c r="AG135" s="0" t="n">
        <f aca="false">AC135*AE135/(AE135^2+AF135^2)+AD135*AF135/(AE135^2+AF135^2)</f>
        <v>2512.78656623639</v>
      </c>
      <c r="AH135" s="0" t="n">
        <f aca="false">AD135*AE135/(AE135^2+AF135^2)-AC135*AF135/(AE135^2+AF135^2)</f>
        <v>-2678.94358360877</v>
      </c>
      <c r="AJ135" s="0" t="n">
        <f aca="false">_Rfb1</f>
        <v>20000</v>
      </c>
      <c r="AK135" s="0" t="n">
        <f aca="false">_Rfb1*Rcea2_u*Cc3ea_u*A135*2*Pi</f>
        <v>74832.234268176</v>
      </c>
      <c r="AL135" s="0" t="n">
        <v>1</v>
      </c>
      <c r="AM135" s="0" t="n">
        <f aca="false">(_Rfb1+Rcea2_u)*Cc3ea_u*A135*2*Pi</f>
        <v>1399.86538537341</v>
      </c>
      <c r="AN135" s="0" t="n">
        <f aca="false">AJ135*AL135/(AL135^2+AM135^2)+AK135*AM135/(AL135^2+AM135^2)</f>
        <v>53.4669147076035</v>
      </c>
      <c r="AO135" s="0" t="n">
        <f aca="false">AK135*AL135/(AL135^2+AM135^2)-AJ135*AM135/(AL135^2+AM135^2)</f>
        <v>-14.2488937105704</v>
      </c>
      <c r="AQ135" s="0" t="n">
        <f aca="false">Eadcg/(1+(Eadcg*A135/GBP)^2)</f>
        <v>4.4580521261192</v>
      </c>
      <c r="AR135" s="0" t="n">
        <f aca="false">-(A135*Eadcg*Eadcg/GBP)/(1+(Eadcg*A135/GBP)^2)</f>
        <v>-118.644370258473</v>
      </c>
      <c r="AT135" s="0" t="n">
        <f aca="false">-AR135*AH135+AG135*AQ135</f>
        <v>-306639.440941146</v>
      </c>
      <c r="AU135" s="0" t="n">
        <f aca="false">AQ135*AH135+AG135*AR135</f>
        <v>-310070.849883728</v>
      </c>
      <c r="AV135" s="0" t="n">
        <f aca="false">ATAN2(AT135,AU135)</f>
        <v>-2.35063049428754</v>
      </c>
      <c r="AW135" s="0" t="n">
        <f aca="false">AG135-AH135*AO135/_Rfb2+AG135*AN135/_Rfb2+AN135-AO135*AR135+AQ135*AN135</f>
        <v>1157.34128574887</v>
      </c>
      <c r="AX135" s="0" t="n">
        <f aca="false">AH135+AH135*AN135/_Rfb2+AG135*AO135/_Rfb2+AO135+AO135*AQ135+AN135*AR135</f>
        <v>-9180.83088792364</v>
      </c>
      <c r="AY135" s="0" t="n">
        <f aca="false">ATAN2(AW135,AX135)</f>
        <v>-1.44539716059675</v>
      </c>
      <c r="BA135" s="0" t="n">
        <f aca="false">SQRT(AT135^2+AU135^2)/SQRT(AW135^2+AX135^2)</f>
        <v>47.1267310365207</v>
      </c>
      <c r="BB135" s="0" t="n">
        <f aca="false">20*LOG(BA135)</f>
        <v>33.4653463160761</v>
      </c>
      <c r="BC135" s="0" t="n">
        <f aca="false">AV135-AY135</f>
        <v>-0.905233333690793</v>
      </c>
      <c r="BD135" s="0" t="n">
        <f aca="false">BC135*180/Pi-180</f>
        <v>-231.866049554306</v>
      </c>
      <c r="BF135" s="0" t="n">
        <f aca="false">20*LOG(BA135*J135*F135*C135)</f>
        <v>54.2894848190533</v>
      </c>
      <c r="BG135" s="0" t="n">
        <f aca="false">(180/Pi)*(D135+H135+BC135)</f>
        <v>-168.080613292738</v>
      </c>
      <c r="BH135" s="0" t="n">
        <f aca="false">IF(BG135&gt;180,BG135-180,BG135+180)</f>
        <v>11.9193867072621</v>
      </c>
      <c r="BI135" s="0" t="n">
        <f aca="false">IF(BH135&gt;180,BH135-360,BH135)</f>
        <v>11.9193867072621</v>
      </c>
      <c r="BJ135" s="0" t="n">
        <f aca="false">SUM((BF136&lt;0)*(BF135&gt;0))*A135</f>
        <v>0</v>
      </c>
      <c r="BK135" s="0" t="n">
        <f aca="false">IF(BJ135&gt;0,BI135,0)</f>
        <v>0</v>
      </c>
      <c r="BM135" s="0" t="n">
        <f aca="false">20*LOG(J135*F135*C135)</f>
        <v>20.8241385029772</v>
      </c>
      <c r="BN135" s="0" t="n">
        <f aca="false">(H135+D135)*180/Pi</f>
        <v>-116.214563738432</v>
      </c>
      <c r="BQ135" s="347" t="n">
        <f aca="false">20*LOG(BA135*7)</f>
        <v>50.3673071163613</v>
      </c>
      <c r="BR135" s="353"/>
      <c r="BS135" s="353"/>
      <c r="BT135" s="353" t="n">
        <v>1778.279</v>
      </c>
      <c r="BU135" s="353" t="n">
        <v>10.2137</v>
      </c>
      <c r="BV135" s="353" t="n">
        <v>-256.015</v>
      </c>
      <c r="BW135" s="349"/>
      <c r="BY135" s="353"/>
      <c r="BZ135" s="353"/>
      <c r="CA135" s="353"/>
      <c r="CC135" s="353"/>
    </row>
    <row r="136" customFormat="false" ht="12.75" hidden="false" customHeight="false" outlineLevel="0" collapsed="false">
      <c r="A136" s="0" t="n">
        <f aca="false">A135+500</f>
        <v>51000</v>
      </c>
      <c r="B136" s="0" t="n">
        <f aca="false">A136/1000</f>
        <v>51</v>
      </c>
      <c r="C136" s="0" t="n">
        <f aca="false">SQRT((A136/Fesr)^2+1)</f>
        <v>1.00000005134168</v>
      </c>
      <c r="D136" s="0" t="n">
        <f aca="false">ATAN(A136/Fesr)</f>
        <v>0.000320442439331964</v>
      </c>
      <c r="F136" s="0" t="n">
        <f aca="false">(Ro/(Ro+Rdcr))/SQRT((A136/(Q*Fo))^2+(1-(A136^2/Fo^2))^2)</f>
        <v>1.19421791277236</v>
      </c>
      <c r="G136" s="0" t="n">
        <f aca="false">-ATAN(A136*Fo/(Q*(Fo^2-A136^2)))</f>
        <v>1.08758974081005</v>
      </c>
      <c r="H136" s="0" t="n">
        <f aca="false">IF(G136&gt;0,G136-Pi,G136)</f>
        <v>-2.05400290918995</v>
      </c>
      <c r="J136" s="0" t="n">
        <f aca="false">Vin/Vramp</f>
        <v>9</v>
      </c>
      <c r="M136" s="0" t="n">
        <f aca="false">1/(2*Pi*_Rfb1*(Cc1ea_u+Cc2ea_u)*A136)</f>
        <v>0.115580931934464</v>
      </c>
      <c r="N136" s="0" t="n">
        <f aca="false">-Pi/2</f>
        <v>-1.570796325</v>
      </c>
      <c r="O136" s="0" t="n">
        <f aca="false">SQRT(1+(A136/Fz1_u)^2)</f>
        <v>1.59756614551095</v>
      </c>
      <c r="P136" s="0" t="n">
        <f aca="false">ATAN2(Fz1_u,A136)</f>
        <v>0.894444439971305</v>
      </c>
      <c r="Q136" s="0" t="n">
        <f aca="false">SQRT(1+(A136/Fz2_u)^2)</f>
        <v>1413.72579236936</v>
      </c>
      <c r="R136" s="0" t="n">
        <f aca="false">ATAN2(Fz2_u,A136)</f>
        <v>1.57008897598558</v>
      </c>
      <c r="S136" s="0" t="n">
        <f aca="false">1/SQRT(1+(A136/Fp1_u)^2)</f>
        <v>0.255836892839928</v>
      </c>
      <c r="T136" s="0" t="n">
        <f aca="false">-ATAN2(Fp1_u,A136)</f>
        <v>-1.31208301913975</v>
      </c>
      <c r="U136" s="0" t="n">
        <f aca="false">1/SQRT(1+(A136/Fp2_u)^2)</f>
        <v>0.990553957354999</v>
      </c>
      <c r="V136" s="0" t="n">
        <f aca="false">-ATAN2(Fp2_u,A136)</f>
        <v>-0.137556908267176</v>
      </c>
      <c r="X136" s="0" t="n">
        <f aca="false">20*LOG(C136*J136*O136*Q136*F136*M136*S136*U136)</f>
        <v>57.0375528830692</v>
      </c>
      <c r="Y136" s="0" t="n">
        <f aca="false">(180/Pi)*(D136+H136+N136+P136+R136+T136+V136)</f>
        <v>-149.518224323615</v>
      </c>
      <c r="Z136" s="0" t="n">
        <f aca="false">Y136+180</f>
        <v>30.4817756763854</v>
      </c>
      <c r="AC136" s="0" t="n">
        <v>1</v>
      </c>
      <c r="AD136" s="0" t="n">
        <f aca="false">Rcea1_u*Cc1ea_u*A136*2*Pi</f>
        <v>1.2458802467664</v>
      </c>
      <c r="AE136" s="0" t="n">
        <f aca="false">-Rcea1_u*Cc1ea_u*Cc2ea_u*(A136*2*Pi)^2</f>
        <v>-5.98849378581291E-005</v>
      </c>
      <c r="AF136" s="0" t="n">
        <f aca="false">(Cc2ea_u+Cc1ea_u)*A136*2*Pi</f>
        <v>0.000432597307905</v>
      </c>
      <c r="AG136" s="0" t="n">
        <f aca="false">AC136*AE136/(AE136^2+AF136^2)+AD136*AF136/(AE136^2+AF136^2)</f>
        <v>2511.86468462502</v>
      </c>
      <c r="AH136" s="0" t="n">
        <f aca="false">AD136*AE136/(AE136^2+AF136^2)-AC136*AF136/(AE136^2+AF136^2)</f>
        <v>-2659.33892681421</v>
      </c>
      <c r="AJ136" s="0" t="n">
        <f aca="false">_Rfb1</f>
        <v>20000</v>
      </c>
      <c r="AK136" s="0" t="n">
        <f aca="false">_Rfb1*Rcea2_u*Cc3ea_u*A136*2*Pi</f>
        <v>75573.147478752</v>
      </c>
      <c r="AL136" s="0" t="n">
        <v>1</v>
      </c>
      <c r="AM136" s="0" t="n">
        <f aca="false">(_Rfb1+Rcea2_u)*Cc3ea_u*A136*2*Pi</f>
        <v>1413.72543869394</v>
      </c>
      <c r="AN136" s="0" t="n">
        <f aca="false">AJ136*AL136/(AL136^2+AM136^2)+AK136*AM136/(AL136^2+AM136^2)</f>
        <v>53.4667161025252</v>
      </c>
      <c r="AO136" s="0" t="n">
        <f aca="false">AK136*AL136/(AL136^2+AM136^2)-AJ136*AM136/(AL136^2+AM136^2)</f>
        <v>-14.1091988146758</v>
      </c>
      <c r="AQ136" s="0" t="n">
        <f aca="false">Eadcg/(1+(Eadcg*A136/GBP)^2)</f>
        <v>4.37118808155231</v>
      </c>
      <c r="AR136" s="0" t="n">
        <f aca="false">-(A136*Eadcg*Eadcg/GBP)/(1+(Eadcg*A136/GBP)^2)</f>
        <v>-117.484422067881</v>
      </c>
      <c r="AT136" s="0" t="n">
        <f aca="false">-AR136*AH136+AG136*AQ136</f>
        <v>-301451.063927482</v>
      </c>
      <c r="AU136" s="0" t="n">
        <f aca="false">AQ136*AH136+AG136*AR136</f>
        <v>-306729.44140759</v>
      </c>
      <c r="AV136" s="0" t="n">
        <f aca="false">ATAN2(AT136,AU136)</f>
        <v>-2.34751574283112</v>
      </c>
      <c r="AW136" s="0" t="n">
        <f aca="false">AG136-AH136*AO136/_Rfb2+AG136*AN136/_Rfb2+AN136-AO136*AR136+AQ136*AN136</f>
        <v>1184.98441078768</v>
      </c>
      <c r="AX136" s="0" t="n">
        <f aca="false">AH136+AH136*AN136/_Rfb2+AG136*AO136/_Rfb2+AO136+AO136*AQ136+AN136*AR136</f>
        <v>-9096.5602614436</v>
      </c>
      <c r="AY136" s="0" t="n">
        <f aca="false">ATAN2(AW136,AX136)</f>
        <v>-1.44125846686936</v>
      </c>
      <c r="BA136" s="0" t="n">
        <f aca="false">SQRT(AT136^2+AU136^2)/SQRT(AW136^2+AX136^2)</f>
        <v>46.8816267553842</v>
      </c>
      <c r="BB136" s="0" t="n">
        <f aca="false">20*LOG(BA136)</f>
        <v>33.4200534589333</v>
      </c>
      <c r="BC136" s="0" t="n">
        <f aca="false">AV136-AY136</f>
        <v>-0.906257275961762</v>
      </c>
      <c r="BD136" s="0" t="n">
        <f aca="false">BC136*180/Pi-180</f>
        <v>-231.924717124964</v>
      </c>
      <c r="BF136" s="0" t="n">
        <f aca="false">20*LOG(BA136*J136*F136*C136)</f>
        <v>54.0465757162949</v>
      </c>
      <c r="BG136" s="0" t="n">
        <f aca="false">(180/Pi)*(D136+H136+BC136)</f>
        <v>-169.592055064245</v>
      </c>
      <c r="BH136" s="0" t="n">
        <f aca="false">IF(BG136&gt;180,BG136-180,BG136+180)</f>
        <v>10.4079449357549</v>
      </c>
      <c r="BI136" s="0" t="n">
        <f aca="false">IF(BH136&gt;180,BH136-360,BH136)</f>
        <v>10.4079449357549</v>
      </c>
      <c r="BJ136" s="0" t="n">
        <f aca="false">SUM((BF137&lt;0)*(BF136&gt;0))*A136</f>
        <v>0</v>
      </c>
      <c r="BK136" s="0" t="n">
        <f aca="false">IF(BJ136&gt;0,BI136,0)</f>
        <v>0</v>
      </c>
      <c r="BM136" s="0" t="n">
        <f aca="false">20*LOG(J136*F136*C136)</f>
        <v>20.6265222573616</v>
      </c>
      <c r="BN136" s="0" t="n">
        <f aca="false">(H136+D136)*180/Pi</f>
        <v>-117.667337939281</v>
      </c>
      <c r="BQ136" s="347" t="n">
        <f aca="false">20*LOG(BA136*7)</f>
        <v>50.3220142592185</v>
      </c>
      <c r="BR136" s="353"/>
      <c r="BS136" s="353"/>
      <c r="BT136" s="353" t="n">
        <v>1819.701</v>
      </c>
      <c r="BU136" s="353" t="n">
        <v>10.0452</v>
      </c>
      <c r="BV136" s="353" t="n">
        <v>-255.833</v>
      </c>
      <c r="BW136" s="349"/>
      <c r="BY136" s="353"/>
      <c r="BZ136" s="353"/>
      <c r="CA136" s="353"/>
      <c r="CC136" s="353"/>
    </row>
    <row r="137" customFormat="false" ht="12.75" hidden="false" customHeight="false" outlineLevel="0" collapsed="false">
      <c r="A137" s="0" t="n">
        <f aca="false">A136+500</f>
        <v>51500</v>
      </c>
      <c r="B137" s="0" t="n">
        <f aca="false">A137/1000</f>
        <v>51.5</v>
      </c>
      <c r="C137" s="0" t="n">
        <f aca="false">SQRT((A137/Fesr)^2+1)</f>
        <v>1.00000005235332</v>
      </c>
      <c r="D137" s="0" t="n">
        <f aca="false">ATAN(A137/Fesr)</f>
        <v>0.000323584031656202</v>
      </c>
      <c r="F137" s="0" t="n">
        <f aca="false">(Ro/(Ro+Rdcr))/SQRT((A137/(Q*Fo))^2+(1-(A137^2/Fo^2))^2)</f>
        <v>1.16706616487491</v>
      </c>
      <c r="G137" s="0" t="n">
        <f aca="false">-ATAN(A137*Fo/(Q*(Fo^2-A137^2)))</f>
        <v>1.06308759688069</v>
      </c>
      <c r="H137" s="0" t="n">
        <f aca="false">IF(G137&gt;0,G137-Pi,G137)</f>
        <v>-2.07850505311931</v>
      </c>
      <c r="J137" s="0" t="n">
        <f aca="false">Vin/Vramp</f>
        <v>9</v>
      </c>
      <c r="M137" s="0" t="n">
        <f aca="false">1/(2*Pi*_Rfb1*(Cc1ea_u+Cc2ea_u)*A137)</f>
        <v>0.114458786964226</v>
      </c>
      <c r="N137" s="0" t="n">
        <f aca="false">-Pi/2</f>
        <v>-1.570796325</v>
      </c>
      <c r="O137" s="0" t="n">
        <f aca="false">SQRT(1+(A137/Fz1_u)^2)</f>
        <v>1.60710995970938</v>
      </c>
      <c r="P137" s="0" t="n">
        <f aca="false">ATAN2(Fz1_u,A137)</f>
        <v>0.899201880033849</v>
      </c>
      <c r="Q137" s="0" t="n">
        <f aca="false">SQRT(1+(A137/Fz2_u)^2)</f>
        <v>1427.58584225614</v>
      </c>
      <c r="R137" s="0" t="n">
        <f aca="false">ATAN2(Fz2_u,A137)</f>
        <v>1.5700958434669</v>
      </c>
      <c r="S137" s="0" t="n">
        <f aca="false">1/SQRT(1+(A137/Fp1_u)^2)</f>
        <v>0.253513406167712</v>
      </c>
      <c r="T137" s="0" t="n">
        <f aca="false">-ATAN2(Fp1_u,A137)</f>
        <v>-1.31448573194461</v>
      </c>
      <c r="U137" s="0" t="n">
        <f aca="false">1/SQRT(1+(A137/Fp2_u)^2)</f>
        <v>0.990370512785692</v>
      </c>
      <c r="V137" s="0" t="n">
        <f aca="false">-ATAN2(Fp2_u,A137)</f>
        <v>-0.138888311434889</v>
      </c>
      <c r="X137" s="0" t="n">
        <f aca="false">20*LOG(C137*J137*O137*Q137*F137*M137*S137*U137)</f>
        <v>56.8086721186899</v>
      </c>
      <c r="Y137" s="0" t="n">
        <f aca="false">(180/Pi)*(D137+H137+N137+P137+R137+T137+V137)</f>
        <v>-150.862888132219</v>
      </c>
      <c r="Z137" s="0" t="n">
        <f aca="false">Y137+180</f>
        <v>29.1371118677808</v>
      </c>
      <c r="AC137" s="0" t="n">
        <v>1</v>
      </c>
      <c r="AD137" s="0" t="n">
        <f aca="false">Rcea1_u*Cc1ea_u*A137*2*Pi</f>
        <v>1.2580947589896</v>
      </c>
      <c r="AE137" s="0" t="n">
        <f aca="false">-Rcea1_u*Cc1ea_u*Cc2ea_u*(A137*2*Pi)^2</f>
        <v>-6.10649082792091E-005</v>
      </c>
      <c r="AF137" s="0" t="n">
        <f aca="false">(Cc2ea_u+Cc1ea_u)*A137*2*Pi</f>
        <v>0.0004368384579825</v>
      </c>
      <c r="AG137" s="0" t="n">
        <f aca="false">AC137*AE137/(AE137^2+AF137^2)+AD137*AF137/(AE137^2+AF137^2)</f>
        <v>2510.93440664421</v>
      </c>
      <c r="AH137" s="0" t="n">
        <f aca="false">AD137*AE137/(AE137^2+AF137^2)-AC137*AF137/(AE137^2+AF137^2)</f>
        <v>-2640.17500785849</v>
      </c>
      <c r="AJ137" s="0" t="n">
        <f aca="false">_Rfb1</f>
        <v>20000</v>
      </c>
      <c r="AK137" s="0" t="n">
        <f aca="false">_Rfb1*Rcea2_u*Cc3ea_u*A137*2*Pi</f>
        <v>76314.060689328</v>
      </c>
      <c r="AL137" s="0" t="n">
        <v>1</v>
      </c>
      <c r="AM137" s="0" t="n">
        <f aca="false">(_Rfb1+Rcea2_u)*Cc3ea_u*A137*2*Pi</f>
        <v>1427.58549201447</v>
      </c>
      <c r="AN137" s="0" t="n">
        <f aca="false">AJ137*AL137/(AL137^2+AM137^2)+AK137*AM137/(AL137^2+AM137^2)</f>
        <v>53.4665232539303</v>
      </c>
      <c r="AO137" s="0" t="n">
        <f aca="false">AK137*AL137/(AL137^2+AM137^2)-AJ137*AM137/(AL137^2+AM137^2)</f>
        <v>-13.9722164369992</v>
      </c>
      <c r="AQ137" s="0" t="n">
        <f aca="false">Eadcg/(1+(Eadcg*A137/GBP)^2)</f>
        <v>4.28683718227452</v>
      </c>
      <c r="AR137" s="0" t="n">
        <f aca="false">-(A137*Eadcg*Eadcg/GBP)/(1+(Eadcg*A137/GBP)^2)</f>
        <v>-116.346904545521</v>
      </c>
      <c r="AT137" s="0" t="n">
        <f aca="false">-AR137*AH137+AG137*AQ137</f>
        <v>-296412.222646129</v>
      </c>
      <c r="AU137" s="0" t="n">
        <f aca="false">AQ137*AH137+AG137*AR137</f>
        <v>-303457.446121299</v>
      </c>
      <c r="AV137" s="0" t="n">
        <f aca="false">ATAN2(AT137,AU137)</f>
        <v>-2.34445043987575</v>
      </c>
      <c r="AW137" s="0" t="n">
        <f aca="false">AG137-AH137*AO137/_Rfb2+AG137*AN137/_Rfb2+AN137-AO137*AR137+AQ137*AN137</f>
        <v>1211.79190399539</v>
      </c>
      <c r="AX137" s="0" t="n">
        <f aca="false">AH137+AH137*AN137/_Rfb2+AG137*AO137/_Rfb2+AO137+AO137*AQ137+AN137*AR137</f>
        <v>-9014.01825249073</v>
      </c>
      <c r="AY137" s="0" t="n">
        <f aca="false">ATAN2(AW137,AX137)</f>
        <v>-1.43716336003488</v>
      </c>
      <c r="BA137" s="0" t="n">
        <f aca="false">SQRT(AT137^2+AU137^2)/SQRT(AW137^2+AX137^2)</f>
        <v>46.6405926680806</v>
      </c>
      <c r="BB137" s="0" t="n">
        <f aca="false">20*LOG(BA137)</f>
        <v>33.3752812084504</v>
      </c>
      <c r="BC137" s="0" t="n">
        <f aca="false">AV137-AY137</f>
        <v>-0.907287079840867</v>
      </c>
      <c r="BD137" s="0" t="n">
        <f aca="false">BC137*180/Pi-180</f>
        <v>-231.983720541031</v>
      </c>
      <c r="BF137" s="0" t="n">
        <f aca="false">20*LOG(BA137*J137*F137*C137)</f>
        <v>53.8020414189035</v>
      </c>
      <c r="BG137" s="0" t="n">
        <f aca="false">(180/Pi)*(D137+H137+BC137)</f>
        <v>-171.054747918109</v>
      </c>
      <c r="BH137" s="0" t="n">
        <f aca="false">IF(BG137&gt;180,BG137-180,BG137+180)</f>
        <v>8.945252081891</v>
      </c>
      <c r="BI137" s="0" t="n">
        <f aca="false">IF(BH137&gt;180,BH137-360,BH137)</f>
        <v>8.945252081891</v>
      </c>
      <c r="BJ137" s="0" t="n">
        <f aca="false">SUM((BF138&lt;0)*(BF137&gt;0))*A137</f>
        <v>0</v>
      </c>
      <c r="BK137" s="0" t="n">
        <f aca="false">IF(BJ137&gt;0,BI137,0)</f>
        <v>0</v>
      </c>
      <c r="BM137" s="0" t="n">
        <f aca="false">20*LOG(J137*F137*C137)</f>
        <v>20.4267602104532</v>
      </c>
      <c r="BN137" s="0" t="n">
        <f aca="false">(H137+D137)*180/Pi</f>
        <v>-119.071027377078</v>
      </c>
      <c r="BQ137" s="347" t="n">
        <f aca="false">20*LOG(BA137*7)</f>
        <v>50.2772420087355</v>
      </c>
      <c r="BR137" s="353"/>
      <c r="BS137" s="353"/>
      <c r="BT137" s="353" t="n">
        <v>1862.087</v>
      </c>
      <c r="BU137" s="353" t="n">
        <v>9.87672</v>
      </c>
      <c r="BV137" s="353" t="n">
        <v>-255.47</v>
      </c>
      <c r="BW137" s="349"/>
      <c r="BY137" s="353"/>
      <c r="BZ137" s="353"/>
      <c r="CA137" s="353"/>
      <c r="CC137" s="353"/>
    </row>
    <row r="138" customFormat="false" ht="12.75" hidden="false" customHeight="false" outlineLevel="0" collapsed="false">
      <c r="A138" s="0" t="n">
        <f aca="false">A137+500</f>
        <v>52000</v>
      </c>
      <c r="B138" s="0" t="n">
        <f aca="false">A138/1000</f>
        <v>52</v>
      </c>
      <c r="C138" s="0" t="n">
        <f aca="false">SQRT((A138/Fesr)^2+1)</f>
        <v>1.00000005337482</v>
      </c>
      <c r="D138" s="0" t="n">
        <f aca="false">ATAN(A138/Fesr)</f>
        <v>0.000326725623974053</v>
      </c>
      <c r="F138" s="0" t="n">
        <f aca="false">(Ro/(Ro+Rdcr))/SQRT((A138/(Q*Fo))^2+(1-(A138^2/Fo^2))^2)</f>
        <v>1.14030522245821</v>
      </c>
      <c r="G138" s="0" t="n">
        <f aca="false">-ATAN(A138*Fo/(Q*(Fo^2-A138^2)))</f>
        <v>1.03942417945731</v>
      </c>
      <c r="H138" s="0" t="n">
        <f aca="false">IF(G138&gt;0,G138-Pi,G138)</f>
        <v>-2.10216847054269</v>
      </c>
      <c r="J138" s="0" t="n">
        <f aca="false">Vin/Vramp</f>
        <v>9</v>
      </c>
      <c r="M138" s="0" t="n">
        <f aca="false">1/(2*Pi*_Rfb1*(Cc1ea_u+Cc2ea_u)*A138)</f>
        <v>0.113358221704955</v>
      </c>
      <c r="N138" s="0" t="n">
        <f aca="false">-Pi/2</f>
        <v>-1.570796325</v>
      </c>
      <c r="O138" s="0" t="n">
        <f aca="false">SQRT(1+(A138/Fz1_u)^2)</f>
        <v>1.61668971807493</v>
      </c>
      <c r="P138" s="0" t="n">
        <f aca="false">ATAN2(Fz1_u,A138)</f>
        <v>0.903903044656833</v>
      </c>
      <c r="Q138" s="0" t="n">
        <f aca="false">SQRT(1+(A138/Fz2_u)^2)</f>
        <v>1441.44589220897</v>
      </c>
      <c r="R138" s="0" t="n">
        <f aca="false">ATAN2(Fz2_u,A138)</f>
        <v>1.57010257888135</v>
      </c>
      <c r="S138" s="0" t="n">
        <f aca="false">1/SQRT(1+(A138/Fp1_u)^2)</f>
        <v>0.251230331604408</v>
      </c>
      <c r="T138" s="0" t="n">
        <f aca="false">-ATAN2(Fp1_u,A138)</f>
        <v>-1.31684518177722</v>
      </c>
      <c r="U138" s="0" t="n">
        <f aca="false">1/SQRT(1+(A138/Fp2_u)^2)</f>
        <v>0.990185381889466</v>
      </c>
      <c r="V138" s="0" t="n">
        <f aca="false">-ATAN2(Fp2_u,A138)</f>
        <v>-0.140219219200178</v>
      </c>
      <c r="X138" s="0" t="n">
        <f aca="false">20*LOG(C138*J138*O138*Q138*F138*M138*S138*U138)</f>
        <v>56.5786054711859</v>
      </c>
      <c r="Y138" s="0" t="n">
        <f aca="false">(180/Pi)*(D138+H138+N138+P138+R138+T138+V138)</f>
        <v>-152.160221193676</v>
      </c>
      <c r="Z138" s="0" t="n">
        <f aca="false">Y138+180</f>
        <v>27.8397788063237</v>
      </c>
      <c r="AC138" s="0" t="n">
        <v>1</v>
      </c>
      <c r="AD138" s="0" t="n">
        <f aca="false">Rcea1_u*Cc1ea_u*A138*2*Pi</f>
        <v>1.2703092712128</v>
      </c>
      <c r="AE138" s="0" t="n">
        <f aca="false">-Rcea1_u*Cc1ea_u*Cc2ea_u*(A138*2*Pi)^2</f>
        <v>-6.22563906068362E-005</v>
      </c>
      <c r="AF138" s="0" t="n">
        <f aca="false">(Cc2ea_u+Cc1ea_u)*A138*2*Pi</f>
        <v>0.00044107960806</v>
      </c>
      <c r="AG138" s="0" t="n">
        <f aca="false">AC138*AE138/(AE138^2+AF138^2)+AD138*AF138/(AE138^2+AF138^2)</f>
        <v>2509.99575169942</v>
      </c>
      <c r="AH138" s="0" t="n">
        <f aca="false">AD138*AE138/(AE138^2+AF138^2)-AC138*AF138/(AE138^2+AF138^2)</f>
        <v>-2621.43897566449</v>
      </c>
      <c r="AJ138" s="0" t="n">
        <f aca="false">_Rfb1</f>
        <v>20000</v>
      </c>
      <c r="AK138" s="0" t="n">
        <f aca="false">_Rfb1*Rcea2_u*Cc3ea_u*A138*2*Pi</f>
        <v>77054.973899904</v>
      </c>
      <c r="AL138" s="0" t="n">
        <v>1</v>
      </c>
      <c r="AM138" s="0" t="n">
        <f aca="false">(_Rfb1+Rcea2_u)*Cc3ea_u*A138*2*Pi</f>
        <v>1441.445545335</v>
      </c>
      <c r="AN138" s="0" t="n">
        <f aca="false">AJ138*AL138/(AL138^2+AM138^2)+AK138*AM138/(AL138^2+AM138^2)</f>
        <v>53.4663359414837</v>
      </c>
      <c r="AO138" s="0" t="n">
        <f aca="false">AK138*AL138/(AL138^2+AM138^2)-AJ138*AM138/(AL138^2+AM138^2)</f>
        <v>-13.8378683319757</v>
      </c>
      <c r="AQ138" s="0" t="n">
        <f aca="false">Eadcg/(1+(Eadcg*A138/GBP)^2)</f>
        <v>4.20490345041664</v>
      </c>
      <c r="AR138" s="0" t="n">
        <f aca="false">-(A138*Eadcg*Eadcg/GBP)/(1+(Eadcg*A138/GBP)^2)</f>
        <v>-115.231174155218</v>
      </c>
      <c r="AT138" s="0" t="n">
        <f aca="false">-AR138*AH138+AG138*AQ138</f>
        <v>-291517.201345218</v>
      </c>
      <c r="AU138" s="0" t="n">
        <f aca="false">AQ138*AH138+AG138*AR138</f>
        <v>-300252.655386761</v>
      </c>
      <c r="AV138" s="0" t="n">
        <f aca="false">ATAN2(AT138,AU138)</f>
        <v>-2.34143398908165</v>
      </c>
      <c r="AW138" s="0" t="n">
        <f aca="false">AG138-AH138*AO138/_Rfb2+AG138*AN138/_Rfb2+AN138-AO138*AR138+AQ138*AN138</f>
        <v>1237.79536933246</v>
      </c>
      <c r="AX138" s="0" t="n">
        <f aca="false">AH138+AH138*AN138/_Rfb2+AG138*AO138/_Rfb2+AO138+AO138*AQ138+AN138*AR138</f>
        <v>-8933.15369004844</v>
      </c>
      <c r="AY138" s="0" t="n">
        <f aca="false">ATAN2(AW138,AX138)</f>
        <v>-1.43311104981409</v>
      </c>
      <c r="BA138" s="0" t="n">
        <f aca="false">SQRT(AT138^2+AU138^2)/SQRT(AW138^2+AX138^2)</f>
        <v>46.4035027294649</v>
      </c>
      <c r="BB138" s="0" t="n">
        <f aca="false">20*LOG(BA138)</f>
        <v>33.3310152829351</v>
      </c>
      <c r="BC138" s="0" t="n">
        <f aca="false">AV138-AY138</f>
        <v>-0.908322939267553</v>
      </c>
      <c r="BD138" s="0" t="n">
        <f aca="false">BC138*180/Pi-180</f>
        <v>-232.043070914416</v>
      </c>
      <c r="BF138" s="0" t="n">
        <f aca="false">20*LOG(BA138*J138*F138*C138)</f>
        <v>53.5562882021861</v>
      </c>
      <c r="BG138" s="0" t="n">
        <f aca="false">(180/Pi)*(D138+H138+BC138)</f>
        <v>-172.469732240279</v>
      </c>
      <c r="BH138" s="0" t="n">
        <f aca="false">IF(BG138&gt;180,BG138-180,BG138+180)</f>
        <v>7.53026775972091</v>
      </c>
      <c r="BI138" s="0" t="n">
        <f aca="false">IF(BH138&gt;180,BH138-360,BH138)</f>
        <v>7.53026775972091</v>
      </c>
      <c r="BJ138" s="0" t="n">
        <f aca="false">SUM((BF139&lt;0)*(BF138&gt;0))*A138</f>
        <v>0</v>
      </c>
      <c r="BK138" s="0" t="n">
        <f aca="false">IF(BJ138&gt;0,BI138,0)</f>
        <v>0</v>
      </c>
      <c r="BM138" s="0" t="n">
        <f aca="false">20*LOG(J138*F138*C138)</f>
        <v>20.225272919251</v>
      </c>
      <c r="BN138" s="0" t="n">
        <f aca="false">(H138+D138)*180/Pi</f>
        <v>-120.426661325863</v>
      </c>
      <c r="BQ138" s="347" t="n">
        <f aca="false">20*LOG(BA138*7)</f>
        <v>50.2329760832202</v>
      </c>
      <c r="BR138" s="353"/>
      <c r="BS138" s="353"/>
      <c r="BT138" s="353" t="n">
        <v>1905.461</v>
      </c>
      <c r="BU138" s="353" t="n">
        <v>9.71342</v>
      </c>
      <c r="BV138" s="353" t="n">
        <v>-255.059</v>
      </c>
      <c r="BW138" s="349"/>
      <c r="BY138" s="353"/>
      <c r="BZ138" s="353"/>
      <c r="CA138" s="353"/>
      <c r="CC138" s="353"/>
    </row>
    <row r="139" customFormat="false" ht="12.75" hidden="false" customHeight="false" outlineLevel="0" collapsed="false">
      <c r="A139" s="0" t="n">
        <f aca="false">A138+500</f>
        <v>52500</v>
      </c>
      <c r="B139" s="0" t="n">
        <f aca="false">A139/1000</f>
        <v>52.5</v>
      </c>
      <c r="C139" s="0" t="n">
        <f aca="false">SQRT((A139/Fesr)^2+1)</f>
        <v>1.00000005440619</v>
      </c>
      <c r="D139" s="0" t="n">
        <f aca="false">ATAN(A139/Fesr)</f>
        <v>0.000329867216285454</v>
      </c>
      <c r="F139" s="0" t="n">
        <f aca="false">(Ro/(Ro+Rdcr))/SQRT((A139/(Q*Fo))^2+(1-(A139^2/Fo^2))^2)</f>
        <v>1.11398631063222</v>
      </c>
      <c r="G139" s="0" t="n">
        <f aca="false">-ATAN(A139*Fo/(Q*(Fo^2-A139^2)))</f>
        <v>1.01657926877096</v>
      </c>
      <c r="H139" s="0" t="n">
        <f aca="false">IF(G139&gt;0,G139-Pi,G139)</f>
        <v>-2.12501338122904</v>
      </c>
      <c r="J139" s="0" t="n">
        <f aca="false">Vin/Vramp</f>
        <v>9</v>
      </c>
      <c r="M139" s="0" t="n">
        <f aca="false">1/(2*Pi*_Rfb1*(Cc1ea_u+Cc2ea_u)*A139)</f>
        <v>0.112278619593479</v>
      </c>
      <c r="N139" s="0" t="n">
        <f aca="false">-Pi/2</f>
        <v>-1.570796325</v>
      </c>
      <c r="O139" s="0" t="n">
        <f aca="false">SQRT(1+(A139/Fz1_u)^2)</f>
        <v>1.62630478541969</v>
      </c>
      <c r="P139" s="0" t="n">
        <f aca="false">ATAN2(Fz1_u,A139)</f>
        <v>0.908548722332078</v>
      </c>
      <c r="Q139" s="0" t="n">
        <f aca="false">SQRT(1+(A139/Fz2_u)^2)</f>
        <v>1455.30594222593</v>
      </c>
      <c r="R139" s="0" t="n">
        <f aca="false">ATAN2(Fz2_u,A139)</f>
        <v>1.57010918600224</v>
      </c>
      <c r="S139" s="0" t="n">
        <f aca="false">1/SQRT(1+(A139/Fp1_u)^2)</f>
        <v>0.248986662334369</v>
      </c>
      <c r="T139" s="0" t="n">
        <f aca="false">-ATAN2(Fp1_u,A139)</f>
        <v>-1.31916250111885</v>
      </c>
      <c r="U139" s="0" t="n">
        <f aca="false">1/SQRT(1+(A139/Fp2_u)^2)</f>
        <v>0.989998567578813</v>
      </c>
      <c r="V139" s="0" t="n">
        <f aca="false">-ATAN2(Fp2_u,A139)</f>
        <v>-0.141549627127224</v>
      </c>
      <c r="X139" s="0" t="n">
        <f aca="false">20*LOG(C139*J139*O139*Q139*F139*M139*S139*U139)</f>
        <v>56.3477268784972</v>
      </c>
      <c r="Y139" s="0" t="n">
        <f aca="false">(180/Pi)*(D139+H139+N139+P139+R139+T139+V139)</f>
        <v>-153.411401254205</v>
      </c>
      <c r="Z139" s="0" t="n">
        <f aca="false">Y139+180</f>
        <v>26.5885987457954</v>
      </c>
      <c r="AC139" s="0" t="n">
        <v>1</v>
      </c>
      <c r="AD139" s="0" t="n">
        <f aca="false">Rcea1_u*Cc1ea_u*A139*2*Pi</f>
        <v>1.282523783436</v>
      </c>
      <c r="AE139" s="0" t="n">
        <f aca="false">-Rcea1_u*Cc1ea_u*Cc2ea_u*(A139*2*Pi)^2</f>
        <v>-6.34593848410105E-005</v>
      </c>
      <c r="AF139" s="0" t="n">
        <f aca="false">(Cc2ea_u+Cc1ea_u)*A139*2*Pi</f>
        <v>0.0004453207581375</v>
      </c>
      <c r="AG139" s="0" t="n">
        <f aca="false">AC139*AE139/(AE139^2+AF139^2)+AD139*AF139/(AE139^2+AF139^2)</f>
        <v>2509.04873934874</v>
      </c>
      <c r="AH139" s="0" t="n">
        <f aca="false">AD139*AE139/(AE139^2+AF139^2)-AC139*AF139/(AE139^2+AF139^2)</f>
        <v>-2603.11846764901</v>
      </c>
      <c r="AJ139" s="0" t="n">
        <f aca="false">_Rfb1</f>
        <v>20000</v>
      </c>
      <c r="AK139" s="0" t="n">
        <f aca="false">_Rfb1*Rcea2_u*Cc3ea_u*A139*2*Pi</f>
        <v>77795.88711048</v>
      </c>
      <c r="AL139" s="0" t="n">
        <v>1</v>
      </c>
      <c r="AM139" s="0" t="n">
        <f aca="false">(_Rfb1+Rcea2_u)*Cc3ea_u*A139*2*Pi</f>
        <v>1455.30559865552</v>
      </c>
      <c r="AN139" s="0" t="n">
        <f aca="false">AJ139*AL139/(AL139^2+AM139^2)+AK139*AM139/(AL139^2+AM139^2)</f>
        <v>53.4661539552921</v>
      </c>
      <c r="AO139" s="0" t="n">
        <f aca="false">AK139*AL139/(AL139^2+AM139^2)-AJ139*AM139/(AL139^2+AM139^2)</f>
        <v>-13.7060792348165</v>
      </c>
      <c r="AQ139" s="0" t="n">
        <f aca="false">Eadcg/(1+(Eadcg*A139/GBP)^2)</f>
        <v>4.12529544456472</v>
      </c>
      <c r="AR139" s="0" t="n">
        <f aca="false">-(A139*Eadcg*Eadcg/GBP)/(1+(Eadcg*A139/GBP)^2)</f>
        <v>-114.136611712494</v>
      </c>
      <c r="AT139" s="0" t="n">
        <f aca="false">-AR139*AH139+AG139*AQ139</f>
        <v>-286760.554449052</v>
      </c>
      <c r="AU139" s="0" t="n">
        <f aca="false">AQ139*AH139+AG139*AR139</f>
        <v>-297112.954487025</v>
      </c>
      <c r="AV139" s="0" t="n">
        <f aca="false">ATAN2(AT139,AU139)</f>
        <v>-2.33846579511113</v>
      </c>
      <c r="AW139" s="0" t="n">
        <f aca="false">AG139-AH139*AO139/_Rfb2+AG139*AN139/_Rfb2+AN139-AO139*AR139+AQ139*AN139</f>
        <v>1263.02491812113</v>
      </c>
      <c r="AX139" s="0" t="n">
        <f aca="false">AH139+AH139*AN139/_Rfb2+AG139*AO139/_Rfb2+AO139+AO139*AQ139+AN139*AR139</f>
        <v>-8853.917405981</v>
      </c>
      <c r="AY139" s="0" t="n">
        <f aca="false">ATAN2(AW139,AX139)</f>
        <v>-1.42910077264833</v>
      </c>
      <c r="BA139" s="0" t="n">
        <f aca="false">SQRT(AT139^2+AU139^2)/SQRT(AW139^2+AX139^2)</f>
        <v>46.1702357173908</v>
      </c>
      <c r="BB139" s="0" t="n">
        <f aca="false">20*LOG(BA139)</f>
        <v>33.2872418360524</v>
      </c>
      <c r="BC139" s="0" t="n">
        <f aca="false">AV139-AY139</f>
        <v>-0.909365022462804</v>
      </c>
      <c r="BD139" s="0" t="n">
        <f aca="false">BC139*180/Pi-180</f>
        <v>-232.102777883474</v>
      </c>
      <c r="BF139" s="0" t="n">
        <f aca="false">20*LOG(BA139*J139*F139*C139)</f>
        <v>53.3096895771141</v>
      </c>
      <c r="BG139" s="0" t="n">
        <f aca="false">(180/Pi)*(D139+H139+BC139)</f>
        <v>-173.838176176533</v>
      </c>
      <c r="BH139" s="0" t="n">
        <f aca="false">IF(BG139&gt;180,BG139-180,BG139+180)</f>
        <v>6.16182382346747</v>
      </c>
      <c r="BI139" s="0" t="n">
        <f aca="false">IF(BH139&gt;180,BH139-360,BH139)</f>
        <v>6.16182382346747</v>
      </c>
      <c r="BJ139" s="0" t="n">
        <f aca="false">SUM((BF140&lt;0)*(BF139&gt;0))*A139</f>
        <v>0</v>
      </c>
      <c r="BK139" s="0" t="n">
        <f aca="false">IF(BJ139&gt;0,BI139,0)</f>
        <v>0</v>
      </c>
      <c r="BM139" s="0" t="n">
        <f aca="false">20*LOG(J139*F139*C139)</f>
        <v>20.0224477410617</v>
      </c>
      <c r="BN139" s="0" t="n">
        <f aca="false">(H139+D139)*180/Pi</f>
        <v>-121.735398293059</v>
      </c>
      <c r="BQ139" s="347" t="n">
        <f aca="false">20*LOG(BA139*7)</f>
        <v>50.1892026363375</v>
      </c>
      <c r="BR139" s="353"/>
      <c r="BS139" s="353"/>
      <c r="BT139" s="353" t="n">
        <v>1949.845</v>
      </c>
      <c r="BU139" s="353" t="n">
        <v>9.52685</v>
      </c>
      <c r="BV139" s="353" t="n">
        <v>-254.971</v>
      </c>
      <c r="BW139" s="349"/>
      <c r="BY139" s="353"/>
      <c r="BZ139" s="353"/>
      <c r="CA139" s="353"/>
      <c r="CC139" s="353"/>
    </row>
    <row r="140" customFormat="false" ht="12.75" hidden="false" customHeight="false" outlineLevel="0" collapsed="false">
      <c r="A140" s="0" t="n">
        <f aca="false">A139+500</f>
        <v>53000</v>
      </c>
      <c r="B140" s="0" t="n">
        <f aca="false">A140/1000</f>
        <v>53</v>
      </c>
      <c r="C140" s="0" t="n">
        <f aca="false">SQRT((A140/Fesr)^2+1)</f>
        <v>1.00000005544744</v>
      </c>
      <c r="D140" s="0" t="n">
        <f aca="false">ATAN(A140/Fesr)</f>
        <v>0.000333008808590344</v>
      </c>
      <c r="F140" s="0" t="n">
        <f aca="false">(Ro/(Ro+Rdcr))/SQRT((A140/(Q*Fo))^2+(1-(A140^2/Fo^2))^2)</f>
        <v>1.08815170232365</v>
      </c>
      <c r="G140" s="0" t="n">
        <f aca="false">-ATAN(A140*Fo/(Q*(Fo^2-A140^2)))</f>
        <v>0.994530880209831</v>
      </c>
      <c r="H140" s="0" t="n">
        <f aca="false">IF(G140&gt;0,G140-Pi,G140)</f>
        <v>-2.14706176979017</v>
      </c>
      <c r="J140" s="0" t="n">
        <f aca="false">Vin/Vramp</f>
        <v>9</v>
      </c>
      <c r="M140" s="0" t="n">
        <f aca="false">1/(2*Pi*_Rfb1*(Cc1ea_u+Cc2ea_u)*A140)</f>
        <v>0.111219387333163</v>
      </c>
      <c r="N140" s="0" t="n">
        <f aca="false">-Pi/2</f>
        <v>-1.570796325</v>
      </c>
      <c r="O140" s="0" t="n">
        <f aca="false">SQRT(1+(A140/Fz1_u)^2)</f>
        <v>1.63595453917476</v>
      </c>
      <c r="P140" s="0" t="n">
        <f aca="false">ATAN2(Fz1_u,A140)</f>
        <v>0.913139692630256</v>
      </c>
      <c r="Q140" s="0" t="n">
        <f aca="false">SQRT(1+(A140/Fz2_u)^2)</f>
        <v>1469.16599230523</v>
      </c>
      <c r="R140" s="0" t="n">
        <f aca="false">ATAN2(Fz2_u,A140)</f>
        <v>1.57011566846054</v>
      </c>
      <c r="S140" s="0" t="n">
        <f aca="false">1/SQRT(1+(A140/Fp1_u)^2)</f>
        <v>0.246781423301695</v>
      </c>
      <c r="T140" s="0" t="n">
        <f aca="false">-ATAN2(Fp1_u,A140)</f>
        <v>-1.32143878417652</v>
      </c>
      <c r="U140" s="0" t="n">
        <f aca="false">1/SQRT(1+(A140/Fp2_u)^2)</f>
        <v>0.989810072789743</v>
      </c>
      <c r="V140" s="0" t="n">
        <f aca="false">-ATAN2(Fp2_u,A140)</f>
        <v>-0.142879530790619</v>
      </c>
      <c r="X140" s="0" t="n">
        <f aca="false">20*LOG(C140*J140*O140*Q140*F140*M140*S140*U140)</f>
        <v>56.1163781893115</v>
      </c>
      <c r="Y140" s="0" t="n">
        <f aca="false">(180/Pi)*(D140+H140+N140+P140+R140+T140+V140)</f>
        <v>-154.617705505017</v>
      </c>
      <c r="Z140" s="0" t="n">
        <f aca="false">Y140+180</f>
        <v>25.382294494983</v>
      </c>
      <c r="AC140" s="0" t="n">
        <v>1</v>
      </c>
      <c r="AD140" s="0" t="n">
        <f aca="false">Rcea1_u*Cc1ea_u*A140*2*Pi</f>
        <v>1.2947382956592</v>
      </c>
      <c r="AE140" s="0" t="n">
        <f aca="false">-Rcea1_u*Cc1ea_u*Cc2ea_u*(A140*2*Pi)^2</f>
        <v>-6.46738909817319E-005</v>
      </c>
      <c r="AF140" s="0" t="n">
        <f aca="false">(Cc2ea_u+Cc1ea_u)*A140*2*Pi</f>
        <v>0.000449561908215</v>
      </c>
      <c r="AG140" s="0" t="n">
        <f aca="false">AC140*AE140/(AE140^2+AF140^2)+AD140*AF140/(AE140^2+AF140^2)</f>
        <v>2508.09338930185</v>
      </c>
      <c r="AH140" s="0" t="n">
        <f aca="false">AD140*AE140/(AE140^2+AF140^2)-AC140*AF140/(AE140^2+AF140^2)</f>
        <v>-2585.20158668757</v>
      </c>
      <c r="AJ140" s="0" t="n">
        <f aca="false">_Rfb1</f>
        <v>20000</v>
      </c>
      <c r="AK140" s="0" t="n">
        <f aca="false">_Rfb1*Rcea2_u*Cc3ea_u*A140*2*Pi</f>
        <v>78536.800321056</v>
      </c>
      <c r="AL140" s="0" t="n">
        <v>1</v>
      </c>
      <c r="AM140" s="0" t="n">
        <f aca="false">(_Rfb1+Rcea2_u)*Cc3ea_u*A140*2*Pi</f>
        <v>1469.16565197605</v>
      </c>
      <c r="AN140" s="0" t="n">
        <f aca="false">AJ140*AL140/(AL140^2+AM140^2)+AK140*AM140/(AL140^2+AM140^2)</f>
        <v>53.4659770953162</v>
      </c>
      <c r="AO140" s="0" t="n">
        <f aca="false">AK140*AL140/(AL140^2+AM140^2)-AJ140*AM140/(AL140^2+AM140^2)</f>
        <v>-13.576776720907</v>
      </c>
      <c r="AQ140" s="0" t="n">
        <f aca="false">Eadcg/(1+(Eadcg*A140/GBP)^2)</f>
        <v>4.04792600497774</v>
      </c>
      <c r="AR140" s="0" t="n">
        <f aca="false">-(A140*Eadcg*Eadcg/GBP)/(1+(Eadcg*A140/GBP)^2)</f>
        <v>-113.062621245033</v>
      </c>
      <c r="AT140" s="0" t="n">
        <f aca="false">-AR140*AH140+AG140*AQ140</f>
        <v>-282137.091384248</v>
      </c>
      <c r="AU140" s="0" t="n">
        <f aca="false">AQ140*AH140+AG140*AR140</f>
        <v>-294036.317652669</v>
      </c>
      <c r="AV140" s="0" t="n">
        <f aca="false">ATAN2(AT140,AU140)</f>
        <v>-2.33554526411808</v>
      </c>
      <c r="AW140" s="0" t="n">
        <f aca="false">AG140-AH140*AO140/_Rfb2+AG140*AN140/_Rfb2+AN140-AO140*AR140+AQ140*AN140</f>
        <v>1287.5092528815</v>
      </c>
      <c r="AX140" s="0" t="n">
        <f aca="false">AH140+AH140*AN140/_Rfb2+AG140*AO140/_Rfb2+AO140+AO140*AQ140+AN140*AR140</f>
        <v>-8776.26213752722</v>
      </c>
      <c r="AY140" s="0" t="n">
        <f aca="false">ATAN2(AW140,AX140)</f>
        <v>-1.42513179052118</v>
      </c>
      <c r="BA140" s="0" t="n">
        <f aca="false">SQRT(AT140^2+AU140^2)/SQRT(AW140^2+AX140^2)</f>
        <v>45.9406750262096</v>
      </c>
      <c r="BB140" s="0" t="n">
        <f aca="false">20*LOG(BA140)</f>
        <v>33.2439474436513</v>
      </c>
      <c r="BC140" s="0" t="n">
        <f aca="false">AV140-AY140</f>
        <v>-0.910413473596905</v>
      </c>
      <c r="BD140" s="0" t="n">
        <f aca="false">BC140*180/Pi-180</f>
        <v>-232.162849708552</v>
      </c>
      <c r="BF140" s="0" t="n">
        <f aca="false">20*LOG(BA140*J140*F140*C140)</f>
        <v>53.0625870302865</v>
      </c>
      <c r="BG140" s="0" t="n">
        <f aca="false">(180/Pi)*(D140+H140+BC140)</f>
        <v>-175.161347612692</v>
      </c>
      <c r="BH140" s="0" t="n">
        <f aca="false">IF(BG140&gt;180,BG140-180,BG140+180)</f>
        <v>4.8386523873084</v>
      </c>
      <c r="BI140" s="0" t="n">
        <f aca="false">IF(BH140&gt;180,BH140-360,BH140)</f>
        <v>4.8386523873084</v>
      </c>
      <c r="BJ140" s="0" t="n">
        <f aca="false">SUM((BF141&lt;0)*(BF140&gt;0))*A140</f>
        <v>0</v>
      </c>
      <c r="BK140" s="0" t="n">
        <f aca="false">IF(BJ140&gt;0,BI140,0)</f>
        <v>0</v>
      </c>
      <c r="BM140" s="0" t="n">
        <f aca="false">20*LOG(J140*F140*C140)</f>
        <v>19.8186395866352</v>
      </c>
      <c r="BN140" s="0" t="n">
        <f aca="false">(H140+D140)*180/Pi</f>
        <v>-122.998497904139</v>
      </c>
      <c r="BQ140" s="347" t="n">
        <f aca="false">20*LOG(BA140*7)</f>
        <v>50.1459082439364</v>
      </c>
      <c r="BR140" s="353"/>
      <c r="BS140" s="353"/>
      <c r="BT140" s="353" t="n">
        <v>1995.262</v>
      </c>
      <c r="BU140" s="353" t="n">
        <v>9.33494</v>
      </c>
      <c r="BV140" s="353" t="n">
        <v>-254.804</v>
      </c>
      <c r="BW140" s="349"/>
      <c r="BY140" s="353"/>
      <c r="BZ140" s="353"/>
      <c r="CA140" s="353"/>
      <c r="CC140" s="353"/>
    </row>
    <row r="141" customFormat="false" ht="12.75" hidden="false" customHeight="false" outlineLevel="0" collapsed="false">
      <c r="A141" s="0" t="n">
        <f aca="false">A140+500</f>
        <v>53500</v>
      </c>
      <c r="B141" s="0" t="n">
        <f aca="false">A141/1000</f>
        <v>53.5</v>
      </c>
      <c r="C141" s="0" t="n">
        <f aca="false">SQRT((A141/Fesr)^2+1)</f>
        <v>1.00000005649855</v>
      </c>
      <c r="D141" s="0" t="n">
        <f aca="false">ATAN(A141/Fesr)</f>
        <v>0.00033615040088866</v>
      </c>
      <c r="F141" s="0" t="n">
        <f aca="false">(Ro/(Ro+Rdcr))/SQRT((A141/(Q*Fo))^2+(1-(A141^2/Fo^2))^2)</f>
        <v>1.06283553957894</v>
      </c>
      <c r="G141" s="0" t="n">
        <f aca="false">-ATAN(A141*Fo/(Q*(Fo^2-A141^2)))</f>
        <v>0.973255701105655</v>
      </c>
      <c r="H141" s="0" t="n">
        <f aca="false">IF(G141&gt;0,G141-Pi,G141)</f>
        <v>-2.16833694889435</v>
      </c>
      <c r="J141" s="0" t="n">
        <f aca="false">Vin/Vramp</f>
        <v>9</v>
      </c>
      <c r="M141" s="0" t="n">
        <f aca="false">1/(2*Pi*_Rfb1*(Cc1ea_u+Cc2ea_u)*A141)</f>
        <v>0.110179953806685</v>
      </c>
      <c r="N141" s="0" t="n">
        <f aca="false">-Pi/2</f>
        <v>-1.570796325</v>
      </c>
      <c r="O141" s="0" t="n">
        <f aca="false">SQRT(1+(A141/Fz1_u)^2)</f>
        <v>1.64563836915396</v>
      </c>
      <c r="P141" s="0" t="n">
        <f aca="false">ATAN2(Fz1_u,A141)</f>
        <v>0.917676726095773</v>
      </c>
      <c r="Q141" s="0" t="n">
        <f aca="false">SQRT(1+(A141/Fz2_u)^2)</f>
        <v>1483.02604244512</v>
      </c>
      <c r="R141" s="0" t="n">
        <f aca="false">ATAN2(Fz2_u,A141)</f>
        <v>1.57012202975145</v>
      </c>
      <c r="S141" s="0" t="n">
        <f aca="false">1/SQRT(1+(A141/Fp1_u)^2)</f>
        <v>0.244613670033329</v>
      </c>
      <c r="T141" s="0" t="n">
        <f aca="false">-ATAN2(Fp1_u,A141)</f>
        <v>-1.32367508844603</v>
      </c>
      <c r="U141" s="0" t="n">
        <f aca="false">1/SQRT(1+(A141/Fp2_u)^2)</f>
        <v>0.989619900481656</v>
      </c>
      <c r="V141" s="0" t="n">
        <f aca="false">-ATAN2(Fp2_u,A141)</f>
        <v>-0.144208925775444</v>
      </c>
      <c r="X141" s="0" t="n">
        <f aca="false">20*LOG(C141*J141*O141*Q141*F141*M141*S141*U141)</f>
        <v>55.8848702755085</v>
      </c>
      <c r="Y141" s="0" t="n">
        <f aca="false">(180/Pi)*(D141+H141+N141+P141+R141+T141+V141)</f>
        <v>-155.780485651502</v>
      </c>
      <c r="Z141" s="0" t="n">
        <f aca="false">Y141+180</f>
        <v>24.2195143484981</v>
      </c>
      <c r="AC141" s="0" t="n">
        <v>1</v>
      </c>
      <c r="AD141" s="0" t="n">
        <f aca="false">Rcea1_u*Cc1ea_u*A141*2*Pi</f>
        <v>1.3069528078824</v>
      </c>
      <c r="AE141" s="0" t="n">
        <f aca="false">-Rcea1_u*Cc1ea_u*Cc2ea_u*(A141*2*Pi)^2</f>
        <v>-6.58999090290004E-005</v>
      </c>
      <c r="AF141" s="0" t="n">
        <f aca="false">(Cc2ea_u+Cc1ea_u)*A141*2*Pi</f>
        <v>0.0004538030582925</v>
      </c>
      <c r="AG141" s="0" t="n">
        <f aca="false">AC141*AE141/(AE141^2+AF141^2)+AD141*AF141/(AE141^2+AF141^2)</f>
        <v>2507.12972141907</v>
      </c>
      <c r="AH141" s="0" t="n">
        <f aca="false">AD141*AE141/(AE141^2+AF141^2)-AC141*AF141/(AE141^2+AF141^2)</f>
        <v>-2567.67687937082</v>
      </c>
      <c r="AJ141" s="0" t="n">
        <f aca="false">_Rfb1</f>
        <v>20000</v>
      </c>
      <c r="AK141" s="0" t="n">
        <f aca="false">_Rfb1*Rcea2_u*Cc3ea_u*A141*2*Pi</f>
        <v>79277.713531632</v>
      </c>
      <c r="AL141" s="0" t="n">
        <v>1</v>
      </c>
      <c r="AM141" s="0" t="n">
        <f aca="false">(_Rfb1+Rcea2_u)*Cc3ea_u*A141*2*Pi</f>
        <v>1483.02570529658</v>
      </c>
      <c r="AN141" s="0" t="n">
        <f aca="false">AJ141*AL141/(AL141^2+AM141^2)+AK141*AM141/(AL141^2+AM141^2)</f>
        <v>53.4658051708201</v>
      </c>
      <c r="AO141" s="0" t="n">
        <f aca="false">AK141*AL141/(AL141^2+AM141^2)-AJ141*AM141/(AL141^2+AM141^2)</f>
        <v>-13.4498910730884</v>
      </c>
      <c r="AQ141" s="0" t="n">
        <f aca="false">Eadcg/(1+(Eadcg*A141/GBP)^2)</f>
        <v>3.97271201533786</v>
      </c>
      <c r="AR141" s="0" t="n">
        <f aca="false">-(A141*Eadcg*Eadcg/GBP)/(1+(Eadcg*A141/GBP)^2)</f>
        <v>-112.008628916443</v>
      </c>
      <c r="AT141" s="0" t="n">
        <f aca="false">-AR141*AH141+AG141*AQ141</f>
        <v>-277641.862390485</v>
      </c>
      <c r="AU141" s="0" t="n">
        <f aca="false">AQ141*AH141+AG141*AR141</f>
        <v>-291020.803401996</v>
      </c>
      <c r="AV141" s="0" t="n">
        <f aca="false">ATAN2(AT141,AU141)</f>
        <v>-2.33267180419989</v>
      </c>
      <c r="AW141" s="0" t="n">
        <f aca="false">AG141-AH141*AO141/_Rfb2+AG141*AN141/_Rfb2+AN141-AO141*AR141+AQ141*AN141</f>
        <v>1311.27574572779</v>
      </c>
      <c r="AX141" s="0" t="n">
        <f aca="false">AH141+AH141*AN141/_Rfb2+AG141*AO141/_Rfb2+AO141+AO141*AQ141+AN141*AR141</f>
        <v>-8700.14243545716</v>
      </c>
      <c r="AY141" s="0" t="n">
        <f aca="false">ATAN2(AW141,AX141)</f>
        <v>-1.42120338983869</v>
      </c>
      <c r="BA141" s="0" t="n">
        <f aca="false">SQRT(AT141^2+AU141^2)/SQRT(AW141^2+AX141^2)</f>
        <v>45.7147084700043</v>
      </c>
      <c r="BB141" s="0" t="n">
        <f aca="false">20*LOG(BA141)</f>
        <v>33.2011190909497</v>
      </c>
      <c r="BC141" s="0" t="n">
        <f aca="false">AV141-AY141</f>
        <v>-0.911468414361199</v>
      </c>
      <c r="BD141" s="0" t="n">
        <f aca="false">BC141*180/Pi-180</f>
        <v>-232.223293362052</v>
      </c>
      <c r="BF141" s="0" t="n">
        <f aca="false">20*LOG(BA141*J141*F141*C141)</f>
        <v>52.8152911328317</v>
      </c>
      <c r="BG141" s="0" t="n">
        <f aca="false">(180/Pi)*(D141+H141+BC141)</f>
        <v>-176.440589238658</v>
      </c>
      <c r="BH141" s="0" t="n">
        <f aca="false">IF(BG141&gt;180,BG141-180,BG141+180)</f>
        <v>3.55941076134172</v>
      </c>
      <c r="BI141" s="0" t="n">
        <f aca="false">IF(BH141&gt;180,BH141-360,BH141)</f>
        <v>3.55941076134172</v>
      </c>
      <c r="BJ141" s="0" t="n">
        <f aca="false">SUM((BF142&lt;0)*(BF141&gt;0))*A141</f>
        <v>0</v>
      </c>
      <c r="BK141" s="0" t="n">
        <f aca="false">IF(BJ141&gt;0,BI141,0)</f>
        <v>0</v>
      </c>
      <c r="BM141" s="0" t="n">
        <f aca="false">20*LOG(J141*F141*C141)</f>
        <v>19.614172041882</v>
      </c>
      <c r="BN141" s="0" t="n">
        <f aca="false">(H141+D141)*180/Pi</f>
        <v>-124.217295876606</v>
      </c>
      <c r="BQ141" s="347" t="n">
        <f aca="false">20*LOG(BA141*7)</f>
        <v>50.1030798912348</v>
      </c>
      <c r="BR141" s="353"/>
      <c r="BS141" s="353"/>
      <c r="BT141" s="353" t="n">
        <v>2041.738</v>
      </c>
      <c r="BU141" s="353" t="n">
        <v>9.08847</v>
      </c>
      <c r="BV141" s="353" t="n">
        <v>-254.411</v>
      </c>
      <c r="BW141" s="349"/>
      <c r="BY141" s="353"/>
      <c r="BZ141" s="353"/>
      <c r="CA141" s="353"/>
      <c r="CC141" s="353"/>
    </row>
    <row r="142" customFormat="false" ht="12.75" hidden="false" customHeight="false" outlineLevel="0" collapsed="false">
      <c r="A142" s="0" t="n">
        <f aca="false">A141+500</f>
        <v>54000</v>
      </c>
      <c r="B142" s="0" t="n">
        <f aca="false">A142/1000</f>
        <v>54</v>
      </c>
      <c r="C142" s="0" t="n">
        <f aca="false">SQRT((A142/Fesr)^2+1)</f>
        <v>1.00000005755953</v>
      </c>
      <c r="D142" s="0" t="n">
        <f aca="false">ATAN(A142/Fesr)</f>
        <v>0.000339291993180341</v>
      </c>
      <c r="F142" s="0" t="n">
        <f aca="false">(Ro/(Ro+Rdcr))/SQRT((A142/(Q*Fo))^2+(1-(A142^2/Fo^2))^2)</f>
        <v>1.03806465410676</v>
      </c>
      <c r="G142" s="0" t="n">
        <f aca="false">-ATAN(A142*Fo/(Q*(Fo^2-A142^2)))</f>
        <v>0.952729474517577</v>
      </c>
      <c r="H142" s="0" t="n">
        <f aca="false">IF(G142&gt;0,G142-Pi,G142)</f>
        <v>-2.18886317548242</v>
      </c>
      <c r="J142" s="0" t="n">
        <f aca="false">Vin/Vramp</f>
        <v>9</v>
      </c>
      <c r="M142" s="0" t="n">
        <f aca="false">1/(2*Pi*_Rfb1*(Cc1ea_u+Cc2ea_u)*A142)</f>
        <v>0.109159769049216</v>
      </c>
      <c r="N142" s="0" t="n">
        <f aca="false">-Pi/2</f>
        <v>-1.570796325</v>
      </c>
      <c r="O142" s="0" t="n">
        <f aca="false">SQRT(1+(A142/Fz1_u)^2)</f>
        <v>1.65535567731971</v>
      </c>
      <c r="P142" s="0" t="n">
        <f aca="false">ATAN2(Fz1_u,A142)</f>
        <v>0.922160584157572</v>
      </c>
      <c r="Q142" s="0" t="n">
        <f aca="false">SQRT(1+(A142/Fz2_u)^2)</f>
        <v>1496.8860926439</v>
      </c>
      <c r="R142" s="0" t="n">
        <f aca="false">ATAN2(Fz2_u,A142)</f>
        <v>1.57012827324072</v>
      </c>
      <c r="S142" s="0" t="n">
        <f aca="false">1/SQRT(1+(A142/Fp1_u)^2)</f>
        <v>0.242482487510352</v>
      </c>
      <c r="T142" s="0" t="n">
        <f aca="false">-ATAN2(Fp1_u,A142)</f>
        <v>-1.32587243620113</v>
      </c>
      <c r="U142" s="0" t="n">
        <f aca="false">1/SQRT(1+(A142/Fp2_u)^2)</f>
        <v>0.989428053637219</v>
      </c>
      <c r="V142" s="0" t="n">
        <f aca="false">-ATAN2(Fp2_u,A142)</f>
        <v>-0.145537807677346</v>
      </c>
      <c r="X142" s="0" t="n">
        <f aca="false">20*LOG(C142*J142*O142*Q142*F142*M142*S142*U142)</f>
        <v>55.65348441701</v>
      </c>
      <c r="Y142" s="0" t="n">
        <f aca="false">(180/Pi)*(D142+H142+N142+P142+R142+T142+V142)</f>
        <v>-156.901146014107</v>
      </c>
      <c r="Z142" s="0" t="n">
        <f aca="false">Y142+180</f>
        <v>23.0988539858926</v>
      </c>
      <c r="AC142" s="0" t="n">
        <v>1</v>
      </c>
      <c r="AD142" s="0" t="n">
        <f aca="false">Rcea1_u*Cc1ea_u*A142*2*Pi</f>
        <v>1.3191673201056</v>
      </c>
      <c r="AE142" s="0" t="n">
        <f aca="false">-Rcea1_u*Cc1ea_u*Cc2ea_u*(A142*2*Pi)^2</f>
        <v>-6.7137438982816E-005</v>
      </c>
      <c r="AF142" s="0" t="n">
        <f aca="false">(Cc2ea_u+Cc1ea_u)*A142*2*Pi</f>
        <v>0.00045804420837</v>
      </c>
      <c r="AG142" s="0" t="n">
        <f aca="false">AC142*AE142/(AE142^2+AF142^2)+AD142*AF142/(AE142^2+AF142^2)</f>
        <v>2506.1577557103</v>
      </c>
      <c r="AH142" s="0" t="n">
        <f aca="false">AD142*AE142/(AE142^2+AF142^2)-AC142*AF142/(AE142^2+AF142^2)</f>
        <v>-2550.533315469</v>
      </c>
      <c r="AJ142" s="0" t="n">
        <f aca="false">_Rfb1</f>
        <v>20000</v>
      </c>
      <c r="AK142" s="0" t="n">
        <f aca="false">_Rfb1*Rcea2_u*Cc3ea_u*A142*2*Pi</f>
        <v>80018.626742208</v>
      </c>
      <c r="AL142" s="0" t="n">
        <v>1</v>
      </c>
      <c r="AM142" s="0" t="n">
        <f aca="false">(_Rfb1+Rcea2_u)*Cc3ea_u*A142*2*Pi</f>
        <v>1496.88575861711</v>
      </c>
      <c r="AN142" s="0" t="n">
        <f aca="false">AJ142*AL142/(AL142^2+AM142^2)+AK142*AM142/(AL142^2+AM142^2)</f>
        <v>53.4656379998574</v>
      </c>
      <c r="AO142" s="0" t="n">
        <f aca="false">AK142*AL142/(AL142^2+AM142^2)-AJ142*AM142/(AL142^2+AM142^2)</f>
        <v>-13.3253551563131</v>
      </c>
      <c r="AQ142" s="0" t="n">
        <f aca="false">Eadcg/(1+(Eadcg*A142/GBP)^2)</f>
        <v>3.89957417981879</v>
      </c>
      <c r="AR142" s="0" t="n">
        <f aca="false">-(A142*Eadcg*Eadcg/GBP)/(1+(Eadcg*A142/GBP)^2)</f>
        <v>-110.974082009283</v>
      </c>
      <c r="AT142" s="0" t="n">
        <f aca="false">-AR142*AH142+AG142*AQ142</f>
        <v>-273270.145243546</v>
      </c>
      <c r="AU142" s="0" t="n">
        <f aca="false">AQ142*AH142+AG142*AR142</f>
        <v>-288064.550172167</v>
      </c>
      <c r="AV142" s="0" t="n">
        <f aca="false">ATAN2(AT142,AU142)</f>
        <v>-2.32984482581432</v>
      </c>
      <c r="AW142" s="0" t="n">
        <f aca="false">AG142-AH142*AO142/_Rfb2+AG142*AN142/_Rfb2+AN142-AO142*AR142+AQ142*AN142</f>
        <v>1334.35051172425</v>
      </c>
      <c r="AX142" s="0" t="n">
        <f aca="false">AH142+AH142*AN142/_Rfb2+AG142*AO142/_Rfb2+AO142+AO142*AQ142+AN142*AR142</f>
        <v>-8625.51457751042</v>
      </c>
      <c r="AY142" s="0" t="n">
        <f aca="false">ATAN2(AW142,AX142)</f>
        <v>-1.41731488036498</v>
      </c>
      <c r="BA142" s="0" t="n">
        <f aca="false">SQRT(AT142^2+AU142^2)/SQRT(AW142^2+AX142^2)</f>
        <v>45.4922280950624</v>
      </c>
      <c r="BB142" s="0" t="n">
        <f aca="false">20*LOG(BA142)</f>
        <v>33.1587441600741</v>
      </c>
      <c r="BC142" s="0" t="n">
        <f aca="false">AV142-AY142</f>
        <v>-0.91252994544934</v>
      </c>
      <c r="BD142" s="0" t="n">
        <f aca="false">BC142*180/Pi-180</f>
        <v>-232.284114613294</v>
      </c>
      <c r="BF142" s="0" t="n">
        <f aca="false">20*LOG(BA142*J142*F142*C142)</f>
        <v>52.5680829219043</v>
      </c>
      <c r="BG142" s="0" t="n">
        <f aca="false">(180/Pi)*(D142+H142+BC142)</f>
        <v>-177.677296644091</v>
      </c>
      <c r="BH142" s="0" t="n">
        <f aca="false">IF(BG142&gt;180,BG142-180,BG142+180)</f>
        <v>2.32270335590934</v>
      </c>
      <c r="BI142" s="0" t="n">
        <f aca="false">IF(BH142&gt;180,BH142-360,BH142)</f>
        <v>2.32270335590934</v>
      </c>
      <c r="BJ142" s="0" t="n">
        <f aca="false">SUM((BF143&lt;0)*(BF142&gt;0))*A142</f>
        <v>0</v>
      </c>
      <c r="BK142" s="0" t="n">
        <f aca="false">IF(BJ142&gt;0,BI142,0)</f>
        <v>0</v>
      </c>
      <c r="BM142" s="0" t="n">
        <f aca="false">20*LOG(J142*F142*C142)</f>
        <v>19.4093387618302</v>
      </c>
      <c r="BN142" s="0" t="n">
        <f aca="false">(H142+D142)*180/Pi</f>
        <v>-125.393182030797</v>
      </c>
      <c r="BQ142" s="347" t="n">
        <f aca="false">20*LOG(BA142*7)</f>
        <v>50.0607049603592</v>
      </c>
      <c r="BR142" s="353"/>
      <c r="BS142" s="353"/>
      <c r="BT142" s="353" t="n">
        <v>2089.296</v>
      </c>
      <c r="BU142" s="353" t="n">
        <v>8.96986</v>
      </c>
      <c r="BV142" s="353" t="n">
        <v>-254.113</v>
      </c>
      <c r="BW142" s="349"/>
      <c r="BY142" s="353"/>
      <c r="BZ142" s="353"/>
      <c r="CA142" s="353"/>
      <c r="CC142" s="353"/>
    </row>
    <row r="143" customFormat="false" ht="12.75" hidden="false" customHeight="false" outlineLevel="0" collapsed="false">
      <c r="A143" s="0" t="n">
        <f aca="false">A142+500</f>
        <v>54500</v>
      </c>
      <c r="B143" s="0" t="n">
        <f aca="false">A143/1000</f>
        <v>54.5</v>
      </c>
      <c r="C143" s="0" t="n">
        <f aca="false">SQRT((A143/Fesr)^2+1)</f>
        <v>1.00000005863038</v>
      </c>
      <c r="D143" s="0" t="n">
        <f aca="false">ATAN(A143/Fesr)</f>
        <v>0.000342433585465325</v>
      </c>
      <c r="F143" s="0" t="n">
        <f aca="false">(Ro/(Ro+Rdcr))/SQRT((A143/(Q*Fo))^2+(1-(A143^2/Fo^2))^2)</f>
        <v>1.01385936665631</v>
      </c>
      <c r="G143" s="0" t="n">
        <f aca="false">-ATAN(A143*Fo/(Q*(Fo^2-A143^2)))</f>
        <v>0.932927332292535</v>
      </c>
      <c r="H143" s="0" t="n">
        <f aca="false">IF(G143&gt;0,G143-Pi,G143)</f>
        <v>-2.20866531770746</v>
      </c>
      <c r="J143" s="0" t="n">
        <f aca="false">Vin/Vramp</f>
        <v>9</v>
      </c>
      <c r="M143" s="0" t="n">
        <f aca="false">1/(2*Pi*_Rfb1*(Cc1ea_u+Cc2ea_u)*A143)</f>
        <v>0.108158303278122</v>
      </c>
      <c r="N143" s="0" t="n">
        <f aca="false">-Pi/2</f>
        <v>-1.570796325</v>
      </c>
      <c r="O143" s="0" t="n">
        <f aca="false">SQRT(1+(A143/Fz1_u)^2)</f>
        <v>1.66510587755109</v>
      </c>
      <c r="P143" s="0" t="n">
        <f aca="false">ATAN2(Fz1_u,A143)</f>
        <v>0.926592019054923</v>
      </c>
      <c r="Q143" s="0" t="n">
        <f aca="false">SQRT(1+(A143/Fz2_u)^2)</f>
        <v>1510.74614289996</v>
      </c>
      <c r="R143" s="0" t="n">
        <f aca="false">ATAN2(Fz2_u,A143)</f>
        <v>1.57013440217062</v>
      </c>
      <c r="S143" s="0" t="n">
        <f aca="false">1/SQRT(1+(A143/Fp1_u)^2)</f>
        <v>0.240386989085451</v>
      </c>
      <c r="T143" s="0" t="n">
        <f aca="false">-ATAN2(Fp1_u,A143)</f>
        <v>-1.32803181591277</v>
      </c>
      <c r="U143" s="0" t="n">
        <f aca="false">1/SQRT(1+(A143/Fp2_u)^2)</f>
        <v>0.98923453526224</v>
      </c>
      <c r="V143" s="0" t="n">
        <f aca="false">-ATAN2(Fp2_u,A143)</f>
        <v>-0.146866172102623</v>
      </c>
      <c r="X143" s="0" t="n">
        <f aca="false">20*LOG(C143*J143*O143*Q143*F143*M143*S143*U143)</f>
        <v>55.4224738762046</v>
      </c>
      <c r="Y143" s="0" t="n">
        <f aca="false">(180/Pi)*(D143+H143+N143+P143+R143+T143+V143)</f>
        <v>-157.981124530621</v>
      </c>
      <c r="Z143" s="0" t="n">
        <f aca="false">Y143+180</f>
        <v>22.018875469379</v>
      </c>
      <c r="AC143" s="0" t="n">
        <v>1</v>
      </c>
      <c r="AD143" s="0" t="n">
        <f aca="false">Rcea1_u*Cc1ea_u*A143*2*Pi</f>
        <v>1.3313818323288</v>
      </c>
      <c r="AE143" s="0" t="n">
        <f aca="false">-Rcea1_u*Cc1ea_u*Cc2ea_u*(A143*2*Pi)^2</f>
        <v>-6.83864808431787E-005</v>
      </c>
      <c r="AF143" s="0" t="n">
        <f aca="false">(Cc2ea_u+Cc1ea_u)*A143*2*Pi</f>
        <v>0.0004622853584475</v>
      </c>
      <c r="AG143" s="0" t="n">
        <f aca="false">AC143*AE143/(AE143^2+AF143^2)+AD143*AF143/(AE143^2+AF143^2)</f>
        <v>2505.17751233408</v>
      </c>
      <c r="AH143" s="0" t="n">
        <f aca="false">AD143*AE143/(AE143^2+AF143^2)-AC143*AF143/(AE143^2+AF143^2)</f>
        <v>-2533.76026852691</v>
      </c>
      <c r="AJ143" s="0" t="n">
        <f aca="false">_Rfb1</f>
        <v>20000</v>
      </c>
      <c r="AK143" s="0" t="n">
        <f aca="false">_Rfb1*Rcea2_u*Cc3ea_u*A143*2*Pi</f>
        <v>80759.539952784</v>
      </c>
      <c r="AL143" s="0" t="n">
        <v>1</v>
      </c>
      <c r="AM143" s="0" t="n">
        <f aca="false">(_Rfb1+Rcea2_u)*Cc3ea_u*A143*2*Pi</f>
        <v>1510.74581193764</v>
      </c>
      <c r="AN143" s="0" t="n">
        <f aca="false">AJ143*AL143/(AL143^2+AM143^2)+AK143*AM143/(AL143^2+AM143^2)</f>
        <v>53.4654754087893</v>
      </c>
      <c r="AO143" s="0" t="n">
        <f aca="false">AK143*AL143/(AL143^2+AM143^2)-AJ143*AM143/(AL143^2+AM143^2)</f>
        <v>-13.2031042991993</v>
      </c>
      <c r="AQ143" s="0" t="n">
        <f aca="false">Eadcg/(1+(Eadcg*A143/GBP)^2)</f>
        <v>3.8284368143575</v>
      </c>
      <c r="AR143" s="0" t="n">
        <f aca="false">-(A143*Eadcg*Eadcg/GBP)/(1+(Eadcg*A143/GBP)^2)</f>
        <v>-109.958447963569</v>
      </c>
      <c r="AT143" s="0" t="n">
        <f aca="false">-AR143*AH143+AG143*AQ143</f>
        <v>-269017.432824254</v>
      </c>
      <c r="AU143" s="0" t="n">
        <f aca="false">AQ143*AH143+AG143*AR143</f>
        <v>-285165.772220275</v>
      </c>
      <c r="AV143" s="0" t="n">
        <f aca="false">ATAN2(AT143,AU143)</f>
        <v>-2.32706374216334</v>
      </c>
      <c r="AW143" s="0" t="n">
        <f aca="false">AG143-AH143*AO143/_Rfb2+AG143*AN143/_Rfb2+AN143-AO143*AR143+AQ143*AN143</f>
        <v>1356.75847756754</v>
      </c>
      <c r="AX143" s="0" t="n">
        <f aca="false">AH143+AH143*AN143/_Rfb2+AG143*AO143/_Rfb2+AO143+AO143*AQ143+AN143*AR143</f>
        <v>-8552.33648676421</v>
      </c>
      <c r="AY143" s="0" t="n">
        <f aca="false">ATAN2(AW143,AX143)</f>
        <v>-1.4134655942101</v>
      </c>
      <c r="BA143" s="0" t="n">
        <f aca="false">SQRT(AT143^2+AU143^2)/SQRT(AW143^2+AX143^2)</f>
        <v>45.2731300011142</v>
      </c>
      <c r="BB143" s="0" t="n">
        <f aca="false">20*LOG(BA143)</f>
        <v>33.1168104179463</v>
      </c>
      <c r="BC143" s="0" t="n">
        <f aca="false">AV143-AY143</f>
        <v>-0.91359814795324</v>
      </c>
      <c r="BD143" s="0" t="n">
        <f aca="false">BC143*180/Pi-180</f>
        <v>-232.345318108502</v>
      </c>
      <c r="BF143" s="0" t="n">
        <f aca="false">20*LOG(BA143*J143*F143*C143)</f>
        <v>52.3212154719339</v>
      </c>
      <c r="BG143" s="0" t="n">
        <f aca="false">(180/Pi)*(D143+H143+BC143)</f>
        <v>-178.872899315429</v>
      </c>
      <c r="BH143" s="0" t="n">
        <f aca="false">IF(BG143&gt;180,BG143-180,BG143+180)</f>
        <v>1.12710068457059</v>
      </c>
      <c r="BI143" s="0" t="n">
        <f aca="false">IF(BH143&gt;180,BH143-360,BH143)</f>
        <v>1.12710068457059</v>
      </c>
      <c r="BJ143" s="0" t="n">
        <f aca="false">SUM((BF144&lt;0)*(BF143&gt;0))*A143</f>
        <v>0</v>
      </c>
      <c r="BK143" s="0" t="n">
        <f aca="false">IF(BJ143&gt;0,BI143,0)</f>
        <v>0</v>
      </c>
      <c r="BM143" s="0" t="n">
        <f aca="false">20*LOG(J143*F143*C143)</f>
        <v>19.2044050539876</v>
      </c>
      <c r="BN143" s="0" t="n">
        <f aca="false">(H143+D143)*180/Pi</f>
        <v>-126.527581206927</v>
      </c>
      <c r="BQ143" s="347" t="n">
        <f aca="false">20*LOG(BA143*7)</f>
        <v>50.0187712182315</v>
      </c>
      <c r="BR143" s="353"/>
      <c r="BS143" s="353"/>
      <c r="BT143" s="353" t="n">
        <v>2137.962</v>
      </c>
      <c r="BU143" s="353" t="n">
        <v>8.68736</v>
      </c>
      <c r="BV143" s="353" t="n">
        <v>-254.34</v>
      </c>
      <c r="BW143" s="349"/>
      <c r="BY143" s="353"/>
      <c r="BZ143" s="353"/>
      <c r="CA143" s="353"/>
      <c r="CC143" s="353"/>
    </row>
    <row r="144" customFormat="false" ht="12.75" hidden="false" customHeight="false" outlineLevel="0" collapsed="false">
      <c r="A144" s="0" t="n">
        <f aca="false">A143+500</f>
        <v>55000</v>
      </c>
      <c r="B144" s="0" t="n">
        <f aca="false">A144/1000</f>
        <v>55</v>
      </c>
      <c r="C144" s="0" t="n">
        <f aca="false">SQRT((A144/Fesr)^2+1)</f>
        <v>1.0000000597111</v>
      </c>
      <c r="D144" s="0" t="n">
        <f aca="false">ATAN(A144/Fesr)</f>
        <v>0.00034557517774355</v>
      </c>
      <c r="F144" s="0" t="n">
        <f aca="false">(Ro/(Ro+Rdcr))/SQRT((A144/(Q*Fo))^2+(1-(A144^2/Fo^2))^2)</f>
        <v>0.990234250385914</v>
      </c>
      <c r="G144" s="0" t="n">
        <f aca="false">-ATAN(A144*Fo/(Q*(Fo^2-A144^2)))</f>
        <v>0.913824080614576</v>
      </c>
      <c r="H144" s="0" t="n">
        <f aca="false">IF(G144&gt;0,G144-Pi,G144)</f>
        <v>-2.22776856938542</v>
      </c>
      <c r="J144" s="0" t="n">
        <f aca="false">Vin/Vramp</f>
        <v>9</v>
      </c>
      <c r="M144" s="0" t="n">
        <f aca="false">1/(2*Pi*_Rfb1*(Cc1ea_u+Cc2ea_u)*A144)</f>
        <v>0.107175045975594</v>
      </c>
      <c r="N144" s="0" t="n">
        <f aca="false">-Pi/2</f>
        <v>-1.570796325</v>
      </c>
      <c r="O144" s="0" t="n">
        <f aca="false">SQRT(1+(A144/Fz1_u)^2)</f>
        <v>1.6748883954143</v>
      </c>
      <c r="P144" s="0" t="n">
        <f aca="false">ATAN2(Fz1_u,A144)</f>
        <v>0.930971773777303</v>
      </c>
      <c r="Q144" s="0" t="n">
        <f aca="false">SQRT(1+(A144/Fz2_u)^2)</f>
        <v>1524.60619321174</v>
      </c>
      <c r="R144" s="0" t="n">
        <f aca="false">ATAN2(Fz2_u,A144)</f>
        <v>1.57014041966547</v>
      </c>
      <c r="S144" s="0" t="n">
        <f aca="false">1/SQRT(1+(A144/Fp1_u)^2)</f>
        <v>0.238326315444611</v>
      </c>
      <c r="T144" s="0" t="n">
        <f aca="false">-ATAN2(Fp1_u,A144)</f>
        <v>-1.33015418360213</v>
      </c>
      <c r="U144" s="0" t="n">
        <f aca="false">1/SQRT(1+(A144/Fp2_u)^2)</f>
        <v>0.989039348385539</v>
      </c>
      <c r="V144" s="0" t="n">
        <f aca="false">-ATAN2(Fp2_u,A144)</f>
        <v>-0.148194014668296</v>
      </c>
      <c r="X144" s="0" t="n">
        <f aca="false">20*LOG(C144*J144*O144*Q144*F144*M144*S144*U144)</f>
        <v>55.192065592366</v>
      </c>
      <c r="Y144" s="0" t="n">
        <f aca="false">(180/Pi)*(D144+H144+N144+P144+R144+T144+V144)</f>
        <v>-159.021876476048</v>
      </c>
      <c r="Z144" s="0" t="n">
        <f aca="false">Y144+180</f>
        <v>20.9781235239519</v>
      </c>
      <c r="AC144" s="0" t="n">
        <v>1</v>
      </c>
      <c r="AD144" s="0" t="n">
        <f aca="false">Rcea1_u*Cc1ea_u*A144*2*Pi</f>
        <v>1.343596344552</v>
      </c>
      <c r="AE144" s="0" t="n">
        <f aca="false">-Rcea1_u*Cc1ea_u*Cc2ea_u*(A144*2*Pi)^2</f>
        <v>-6.96470346100886E-005</v>
      </c>
      <c r="AF144" s="0" t="n">
        <f aca="false">(Cc2ea_u+Cc1ea_u)*A144*2*Pi</f>
        <v>0.000466526508525</v>
      </c>
      <c r="AG144" s="0" t="n">
        <f aca="false">AC144*AE144/(AE144^2+AF144^2)+AD144*AF144/(AE144^2+AF144^2)</f>
        <v>2504.18901159652</v>
      </c>
      <c r="AH144" s="0" t="n">
        <f aca="false">AD144*AE144/(AE144^2+AF144^2)-AC144*AF144/(AE144^2+AF144^2)</f>
        <v>-2517.34749751724</v>
      </c>
      <c r="AJ144" s="0" t="n">
        <f aca="false">_Rfb1</f>
        <v>20000</v>
      </c>
      <c r="AK144" s="0" t="n">
        <f aca="false">_Rfb1*Rcea2_u*Cc3ea_u*A144*2*Pi</f>
        <v>81500.45316336</v>
      </c>
      <c r="AL144" s="0" t="n">
        <v>1</v>
      </c>
      <c r="AM144" s="0" t="n">
        <f aca="false">(_Rfb1+Rcea2_u)*Cc3ea_u*A144*2*Pi</f>
        <v>1524.60586525817</v>
      </c>
      <c r="AN144" s="0" t="n">
        <f aca="false">AJ144*AL144/(AL144^2+AM144^2)+AK144*AM144/(AL144^2+AM144^2)</f>
        <v>53.4653172318336</v>
      </c>
      <c r="AO144" s="0" t="n">
        <f aca="false">AK144*AL144/(AL144^2+AM144^2)-AJ144*AM144/(AL144^2+AM144^2)</f>
        <v>-13.0830761820469</v>
      </c>
      <c r="AQ144" s="0" t="n">
        <f aca="false">Eadcg/(1+(Eadcg*A144/GBP)^2)</f>
        <v>3.7592276511048</v>
      </c>
      <c r="AR144" s="0" t="n">
        <f aca="false">-(A144*Eadcg*Eadcg/GBP)/(1+(Eadcg*A144/GBP)^2)</f>
        <v>-108.961213467273</v>
      </c>
      <c r="AT144" s="0" t="n">
        <f aca="false">-AR144*AH144+AG144*AQ144</f>
        <v>-264879.421472294</v>
      </c>
      <c r="AU144" s="0" t="n">
        <f aca="false">AQ144*AH144+AG144*AR144</f>
        <v>-282322.755775073</v>
      </c>
      <c r="AV144" s="0" t="n">
        <f aca="false">ATAN2(AT144,AU144)</f>
        <v>-2.32432796954611</v>
      </c>
      <c r="AW144" s="0" t="n">
        <f aca="false">AG144-AH144*AO144/_Rfb2+AG144*AN144/_Rfb2+AN144-AO144*AR144+AQ144*AN144</f>
        <v>1378.5234459328</v>
      </c>
      <c r="AX144" s="0" t="n">
        <f aca="false">AH144+AH144*AN144/_Rfb2+AG144*AO144/_Rfb2+AO144+AO144*AQ144+AN144*AR144</f>
        <v>-8480.56765460533</v>
      </c>
      <c r="AY144" s="0" t="n">
        <f aca="false">ATAN2(AW144,AX144)</f>
        <v>-1.40965488486754</v>
      </c>
      <c r="BA144" s="0" t="n">
        <f aca="false">SQRT(AT144^2+AU144^2)/SQRT(AW144^2+AX144^2)</f>
        <v>45.0573141708902</v>
      </c>
      <c r="BB144" s="0" t="n">
        <f aca="false">20*LOG(BA144)</f>
        <v>33.0753060045133</v>
      </c>
      <c r="BC144" s="0" t="n">
        <f aca="false">AV144-AY144</f>
        <v>-0.914673084678572</v>
      </c>
      <c r="BD144" s="0" t="n">
        <f aca="false">BC144*180/Pi-180</f>
        <v>-232.406907446178</v>
      </c>
      <c r="BF144" s="0" t="n">
        <f aca="false">20*LOG(BA144*J144*F144*C144)</f>
        <v>52.0749155860353</v>
      </c>
      <c r="BG144" s="0" t="n">
        <f aca="false">(180/Pi)*(D144+H144+BC144)</f>
        <v>-180.0288443505</v>
      </c>
      <c r="BH144" s="0" t="n">
        <f aca="false">IF(BG144&gt;180,BG144-180,BG144+180)</f>
        <v>-0.0288443505001794</v>
      </c>
      <c r="BI144" s="0" t="n">
        <f aca="false">IF(BH144&gt;180,BH144-360,BH144)</f>
        <v>-0.0288443505001794</v>
      </c>
      <c r="BJ144" s="0" t="n">
        <f aca="false">SUM((BF145&lt;0)*(BF144&gt;0))*A144</f>
        <v>0</v>
      </c>
      <c r="BK144" s="0" t="n">
        <f aca="false">IF(BJ144&gt;0,BI144,0)</f>
        <v>0</v>
      </c>
      <c r="BM144" s="0" t="n">
        <f aca="false">20*LOG(J144*F144*C144)</f>
        <v>18.999609581522</v>
      </c>
      <c r="BN144" s="0" t="n">
        <f aca="false">(H144+D144)*180/Pi</f>
        <v>-127.621936904322</v>
      </c>
      <c r="BQ144" s="347" t="n">
        <f aca="false">20*LOG(BA144*7)</f>
        <v>49.9772668047984</v>
      </c>
      <c r="BR144" s="353"/>
      <c r="BS144" s="353"/>
      <c r="BT144" s="353" t="n">
        <v>2187.762</v>
      </c>
      <c r="BU144" s="353" t="n">
        <v>8.53088</v>
      </c>
      <c r="BV144" s="353" t="n">
        <v>-253.785</v>
      </c>
      <c r="BW144" s="349"/>
      <c r="BY144" s="353"/>
      <c r="BZ144" s="353"/>
      <c r="CA144" s="353"/>
      <c r="CC144" s="353"/>
    </row>
    <row r="145" customFormat="false" ht="12.75" hidden="false" customHeight="false" outlineLevel="0" collapsed="false">
      <c r="A145" s="0" t="n">
        <f aca="false">A144+500</f>
        <v>55500</v>
      </c>
      <c r="B145" s="0" t="n">
        <f aca="false">A145/1000</f>
        <v>55.5</v>
      </c>
      <c r="C145" s="0" t="n">
        <f aca="false">SQRT((A145/Fesr)^2+1)</f>
        <v>1.0000000608017</v>
      </c>
      <c r="D145" s="0" t="n">
        <f aca="false">ATAN(A145/Fesr)</f>
        <v>0.000348716770014953</v>
      </c>
      <c r="F145" s="0" t="n">
        <f aca="false">(Ro/(Ro+Rdcr))/SQRT((A145/(Q*Fo))^2+(1-(A145^2/Fo^2))^2)</f>
        <v>0.967198848071899</v>
      </c>
      <c r="G145" s="0" t="n">
        <f aca="false">-ATAN(A145*Fo/(Q*(Fo^2-A145^2)))</f>
        <v>0.895394441834543</v>
      </c>
      <c r="H145" s="0" t="n">
        <f aca="false">IF(G145&gt;0,G145-Pi,G145)</f>
        <v>-2.24619820816546</v>
      </c>
      <c r="J145" s="0" t="n">
        <f aca="false">Vin/Vramp</f>
        <v>9</v>
      </c>
      <c r="M145" s="0" t="n">
        <f aca="false">1/(2*Pi*_Rfb1*(Cc1ea_u+Cc2ea_u)*A145)</f>
        <v>0.106209505020858</v>
      </c>
      <c r="N145" s="0" t="n">
        <f aca="false">-Pi/2</f>
        <v>-1.570796325</v>
      </c>
      <c r="O145" s="0" t="n">
        <f aca="false">SQRT(1+(A145/Fz1_u)^2)</f>
        <v>1.68470266793565</v>
      </c>
      <c r="P145" s="0" t="n">
        <f aca="false">ATAN2(Fz1_u,A145)</f>
        <v>0.935300582017477</v>
      </c>
      <c r="Q145" s="0" t="n">
        <f aca="false">SQRT(1+(A145/Fz2_u)^2)</f>
        <v>1538.46624357774</v>
      </c>
      <c r="R145" s="0" t="n">
        <f aca="false">ATAN2(Fz2_u,A145)</f>
        <v>1.57014632873703</v>
      </c>
      <c r="S145" s="0" t="n">
        <f aca="false">1/SQRT(1+(A145/Fp1_u)^2)</f>
        <v>0.236299633611142</v>
      </c>
      <c r="T145" s="0" t="n">
        <f aca="false">-ATAN2(Fp1_u,A145)</f>
        <v>-1.33224046413086</v>
      </c>
      <c r="U145" s="0" t="n">
        <f aca="false">1/SQRT(1+(A145/Fp2_u)^2)</f>
        <v>0.988842496058821</v>
      </c>
      <c r="V145" s="0" t="n">
        <f aca="false">-ATAN2(Fp2_u,A145)</f>
        <v>-0.149521331002192</v>
      </c>
      <c r="X145" s="0" t="n">
        <f aca="false">20*LOG(C145*J145*O145*Q145*F145*M145*S145*U145)</f>
        <v>54.962461938928</v>
      </c>
      <c r="Y145" s="0" t="n">
        <f aca="false">(180/Pi)*(D145+H145+N145+P145+R145+T145+V145)</f>
        <v>-160.024860683105</v>
      </c>
      <c r="Z145" s="0" t="n">
        <f aca="false">Y145+180</f>
        <v>19.9751393168949</v>
      </c>
      <c r="AC145" s="0" t="n">
        <v>1</v>
      </c>
      <c r="AD145" s="0" t="n">
        <f aca="false">Rcea1_u*Cc1ea_u*A145*2*Pi</f>
        <v>1.3558108567752</v>
      </c>
      <c r="AE145" s="0" t="n">
        <f aca="false">-Rcea1_u*Cc1ea_u*Cc2ea_u*(A145*2*Pi)^2</f>
        <v>-7.09191002835456E-005</v>
      </c>
      <c r="AF145" s="0" t="n">
        <f aca="false">(Cc2ea_u+Cc1ea_u)*A145*2*Pi</f>
        <v>0.0004707676586025</v>
      </c>
      <c r="AG145" s="0" t="n">
        <f aca="false">AC145*AE145/(AE145^2+AF145^2)+AD145*AF145/(AE145^2+AF145^2)</f>
        <v>2503.19227395031</v>
      </c>
      <c r="AH145" s="0" t="n">
        <f aca="false">AD145*AE145/(AE145^2+AF145^2)-AC145*AF145/(AE145^2+AF145^2)</f>
        <v>-2501.28512948579</v>
      </c>
      <c r="AJ145" s="0" t="n">
        <f aca="false">_Rfb1</f>
        <v>20000</v>
      </c>
      <c r="AK145" s="0" t="n">
        <f aca="false">_Rfb1*Rcea2_u*Cc3ea_u*A145*2*Pi</f>
        <v>82241.366373936</v>
      </c>
      <c r="AL145" s="0" t="n">
        <v>1</v>
      </c>
      <c r="AM145" s="0" t="n">
        <f aca="false">(_Rfb1+Rcea2_u)*Cc3ea_u*A145*2*Pi</f>
        <v>1538.4659185787</v>
      </c>
      <c r="AN145" s="0" t="n">
        <f aca="false">AJ145*AL145/(AL145^2+AM145^2)+AK145*AM145/(AL145^2+AM145^2)</f>
        <v>53.465163310642</v>
      </c>
      <c r="AO145" s="0" t="n">
        <f aca="false">AK145*AL145/(AL145^2+AM145^2)-AJ145*AM145/(AL145^2+AM145^2)</f>
        <v>-12.9652107309058</v>
      </c>
      <c r="AQ145" s="0" t="n">
        <f aca="false">Eadcg/(1+(Eadcg*A145/GBP)^2)</f>
        <v>3.69187765511275</v>
      </c>
      <c r="AR145" s="0" t="n">
        <f aca="false">-(A145*Eadcg*Eadcg/GBP)/(1+(Eadcg*A145/GBP)^2)</f>
        <v>-107.981883595565</v>
      </c>
      <c r="AT145" s="0" t="n">
        <f aca="false">-AR145*AH145+AG145*AQ145</f>
        <v>-260852.000068805</v>
      </c>
      <c r="AU145" s="0" t="n">
        <f aca="false">AQ145*AH145+AG145*AR145</f>
        <v>-279533.855421635</v>
      </c>
      <c r="AV145" s="0" t="n">
        <f aca="false">ATAN2(AT145,AU145)</f>
        <v>-2.32163692768291</v>
      </c>
      <c r="AW145" s="0" t="n">
        <f aca="false">AG145-AH145*AO145/_Rfb2+AG145*AN145/_Rfb2+AN145-AO145*AR145+AQ145*AN145</f>
        <v>1399.6681557931</v>
      </c>
      <c r="AX145" s="0" t="n">
        <f aca="false">AH145+AH145*AN145/_Rfb2+AG145*AO145/_Rfb2+AO145+AO145*AQ145+AN145*AR145</f>
        <v>-8410.16906800537</v>
      </c>
      <c r="AY145" s="0" t="n">
        <f aca="false">ATAN2(AW145,AX145)</f>
        <v>-1.40588212629848</v>
      </c>
      <c r="BA145" s="0" t="n">
        <f aca="false">SQRT(AT145^2+AU145^2)/SQRT(AW145^2+AX145^2)</f>
        <v>44.8446843075762</v>
      </c>
      <c r="BB145" s="0" t="n">
        <f aca="false">20*LOG(BA145)</f>
        <v>33.0342194213119</v>
      </c>
      <c r="BC145" s="0" t="n">
        <f aca="false">AV145-AY145</f>
        <v>-0.915754801384428</v>
      </c>
      <c r="BD145" s="0" t="n">
        <f aca="false">BC145*180/Pi-180</f>
        <v>-232.468885248123</v>
      </c>
      <c r="BF145" s="0" t="n">
        <f aca="false">20*LOG(BA145*J145*F145*C145)</f>
        <v>51.8293855504326</v>
      </c>
      <c r="BG145" s="0" t="n">
        <f aca="false">(180/Pi)*(D145+H145+BC145)</f>
        <v>-181.14658267372</v>
      </c>
      <c r="BH145" s="0" t="n">
        <f aca="false">IF(BG145&gt;180,BG145-180,BG145+180)</f>
        <v>-1.14658267372016</v>
      </c>
      <c r="BI145" s="0" t="n">
        <f aca="false">IF(BH145&gt;180,BH145-360,BH145)</f>
        <v>-1.14658267372016</v>
      </c>
      <c r="BJ145" s="0" t="n">
        <f aca="false">SUM((BF146&lt;0)*(BF145&gt;0))*A145</f>
        <v>0</v>
      </c>
      <c r="BK145" s="0" t="n">
        <f aca="false">IF(BJ145&gt;0,BI145,0)</f>
        <v>0</v>
      </c>
      <c r="BM145" s="0" t="n">
        <f aca="false">20*LOG(J145*F145*C145)</f>
        <v>18.7951661291206</v>
      </c>
      <c r="BN145" s="0" t="n">
        <f aca="false">(H145+D145)*180/Pi</f>
        <v>-128.677697425597</v>
      </c>
      <c r="BQ145" s="347" t="n">
        <f aca="false">20*LOG(BA145*7)</f>
        <v>49.9361802215971</v>
      </c>
      <c r="BR145" s="353"/>
      <c r="BS145" s="353"/>
      <c r="BT145" s="353" t="n">
        <v>2238.721</v>
      </c>
      <c r="BU145" s="353" t="n">
        <v>8.34969</v>
      </c>
      <c r="BV145" s="353" t="n">
        <v>-253.783</v>
      </c>
      <c r="BW145" s="349"/>
      <c r="BY145" s="353"/>
      <c r="BZ145" s="353"/>
      <c r="CA145" s="353"/>
      <c r="CC145" s="353"/>
    </row>
    <row r="146" customFormat="false" ht="12.75" hidden="false" customHeight="false" outlineLevel="0" collapsed="false">
      <c r="A146" s="0" t="n">
        <f aca="false">A145+500</f>
        <v>56000</v>
      </c>
      <c r="B146" s="0" t="n">
        <f aca="false">A146/1000</f>
        <v>56</v>
      </c>
      <c r="C146" s="0" t="n">
        <f aca="false">SQRT((A146/Fesr)^2+1)</f>
        <v>1.00000006190216</v>
      </c>
      <c r="D146" s="0" t="n">
        <f aca="false">ATAN(A146/Fesr)</f>
        <v>0.000351858362279472</v>
      </c>
      <c r="F146" s="0" t="n">
        <f aca="false">(Ro/(Ro+Rdcr))/SQRT((A146/(Q*Fo))^2+(1-(A146^2/Fo^2))^2)</f>
        <v>0.94475833685393</v>
      </c>
      <c r="G146" s="0" t="n">
        <f aca="false">-ATAN(A146*Fo/(Q*(Fo^2-A146^2)))</f>
        <v>0.877613256669671</v>
      </c>
      <c r="H146" s="0" t="n">
        <f aca="false">IF(G146&gt;0,G146-Pi,G146)</f>
        <v>-2.26397939333033</v>
      </c>
      <c r="J146" s="0" t="n">
        <f aca="false">Vin/Vramp</f>
        <v>9</v>
      </c>
      <c r="M146" s="0" t="n">
        <f aca="false">1/(2*Pi*_Rfb1*(Cc1ea_u+Cc2ea_u)*A146)</f>
        <v>0.105261205868886</v>
      </c>
      <c r="N146" s="0" t="n">
        <f aca="false">-Pi/2</f>
        <v>-1.570796325</v>
      </c>
      <c r="O146" s="0" t="n">
        <f aca="false">SQRT(1+(A146/Fz1_u)^2)</f>
        <v>1.69454814337723</v>
      </c>
      <c r="P146" s="0" t="n">
        <f aca="false">ATAN2(Fz1_u,A146)</f>
        <v>0.939579168136978</v>
      </c>
      <c r="Q146" s="0" t="n">
        <f aca="false">SQRT(1+(A146/Fz2_u)^2)</f>
        <v>1552.32629399649</v>
      </c>
      <c r="R146" s="0" t="n">
        <f aca="false">ATAN2(Fz2_u,A146)</f>
        <v>1.57015213228951</v>
      </c>
      <c r="S146" s="0" t="n">
        <f aca="false">1/SQRT(1+(A146/Fp1_u)^2)</f>
        <v>0.234306135990238</v>
      </c>
      <c r="T146" s="0" t="n">
        <f aca="false">-ATAN2(Fp1_u,A146)</f>
        <v>-1.3342915524318</v>
      </c>
      <c r="U146" s="0" t="n">
        <f aca="false">1/SQRT(1+(A146/Fp2_u)^2)</f>
        <v>0.98864398135655</v>
      </c>
      <c r="V146" s="0" t="n">
        <f aca="false">-ATAN2(Fp2_u,A146)</f>
        <v>-0.150848116743019</v>
      </c>
      <c r="X146" s="0" t="n">
        <f aca="false">20*LOG(C146*J146*O146*Q146*F146*M146*S146*U146)</f>
        <v>54.7338424977789</v>
      </c>
      <c r="Y146" s="0" t="n">
        <f aca="false">(180/Pi)*(D146+H146+N146+P146+R146+T146+V146)</f>
        <v>-160.991528029246</v>
      </c>
      <c r="Z146" s="0" t="n">
        <f aca="false">Y146+180</f>
        <v>19.0084719707536</v>
      </c>
      <c r="AC146" s="0" t="n">
        <v>1</v>
      </c>
      <c r="AD146" s="0" t="n">
        <f aca="false">Rcea1_u*Cc1ea_u*A146*2*Pi</f>
        <v>1.3680253689984</v>
      </c>
      <c r="AE146" s="0" t="n">
        <f aca="false">-Rcea1_u*Cc1ea_u*Cc2ea_u*(A146*2*Pi)^2</f>
        <v>-7.22026778635497E-005</v>
      </c>
      <c r="AF146" s="0" t="n">
        <f aca="false">(Cc2ea_u+Cc1ea_u)*A146*2*Pi</f>
        <v>0.00047500880868</v>
      </c>
      <c r="AG146" s="0" t="n">
        <f aca="false">AC146*AE146/(AE146^2+AF146^2)+AD146*AF146/(AE146^2+AF146^2)</f>
        <v>2502.18731999368</v>
      </c>
      <c r="AH146" s="0" t="n">
        <f aca="false">AD146*AE146/(AE146^2+AF146^2)-AC146*AF146/(AE146^2+AF146^2)</f>
        <v>-2485.56364312634</v>
      </c>
      <c r="AJ146" s="0" t="n">
        <f aca="false">_Rfb1</f>
        <v>20000</v>
      </c>
      <c r="AK146" s="0" t="n">
        <f aca="false">_Rfb1*Rcea2_u*Cc3ea_u*A146*2*Pi</f>
        <v>82982.279584512</v>
      </c>
      <c r="AL146" s="0" t="n">
        <v>1</v>
      </c>
      <c r="AM146" s="0" t="n">
        <f aca="false">(_Rfb1+Rcea2_u)*Cc3ea_u*A146*2*Pi</f>
        <v>1552.32597189923</v>
      </c>
      <c r="AN146" s="0" t="n">
        <f aca="false">AJ146*AL146/(AL146^2+AM146^2)+AK146*AM146/(AL146^2+AM146^2)</f>
        <v>53.4650134939037</v>
      </c>
      <c r="AO146" s="0" t="n">
        <f aca="false">AK146*AL146/(AL146^2+AM146^2)-AJ146*AM146/(AL146^2+AM146^2)</f>
        <v>-12.8494500173196</v>
      </c>
      <c r="AQ146" s="0" t="n">
        <f aca="false">Eadcg/(1+(Eadcg*A146/GBP)^2)</f>
        <v>3.62632085239174</v>
      </c>
      <c r="AR146" s="0" t="n">
        <f aca="false">-(A146*Eadcg*Eadcg/GBP)/(1+(Eadcg*A146/GBP)^2)</f>
        <v>-107.019980995785</v>
      </c>
      <c r="AT146" s="0" t="n">
        <f aca="false">-AR146*AH146+AG146*AQ146</f>
        <v>-256931.239796112</v>
      </c>
      <c r="AU146" s="0" t="n">
        <f aca="false">AQ146*AH146+AG146*AR146</f>
        <v>-276797.490702633</v>
      </c>
      <c r="AV146" s="0" t="n">
        <f aca="false">ATAN2(AT146,AU146)</f>
        <v>-2.31899004001192</v>
      </c>
      <c r="AW146" s="0" t="n">
        <f aca="false">AG146-AH146*AO146/_Rfb2+AG146*AN146/_Rfb2+AN146-AO146*AR146+AQ146*AN146</f>
        <v>1420.21433899783</v>
      </c>
      <c r="AX146" s="0" t="n">
        <f aca="false">AH146+AH146*AN146/_Rfb2+AG146*AO146/_Rfb2+AO146+AO146*AQ146+AN146*AR146</f>
        <v>-8341.10314082007</v>
      </c>
      <c r="AY146" s="0" t="n">
        <f aca="false">ATAN2(AW146,AX146)</f>
        <v>-1.40214671206047</v>
      </c>
      <c r="BA146" s="0" t="n">
        <f aca="false">SQRT(AT146^2+AU146^2)/SQRT(AW146^2+AX146^2)</f>
        <v>44.6351476797665</v>
      </c>
      <c r="BB146" s="0" t="n">
        <f aca="false">20*LOG(BA146)</f>
        <v>32.9935395203634</v>
      </c>
      <c r="BC146" s="0" t="n">
        <f aca="false">AV146-AY146</f>
        <v>-0.916843327951446</v>
      </c>
      <c r="BD146" s="0" t="n">
        <f aca="false">BC146*180/Pi-180</f>
        <v>-232.531253226372</v>
      </c>
      <c r="BF146" s="0" t="n">
        <f aca="false">20*LOG(BA146*J146*F146*C146)</f>
        <v>51.5848049060513</v>
      </c>
      <c r="BG146" s="0" t="n">
        <f aca="false">(180/Pi)*(D146+H146+BC146)</f>
        <v>-182.227557517843</v>
      </c>
      <c r="BH146" s="0" t="n">
        <f aca="false">IF(BG146&gt;180,BG146-180,BG146+180)</f>
        <v>-2.22755751784348</v>
      </c>
      <c r="BI146" s="0" t="n">
        <f aca="false">IF(BH146&gt;180,BH146-360,BH146)</f>
        <v>-2.22755751784348</v>
      </c>
      <c r="BJ146" s="0" t="n">
        <f aca="false">SUM((BF147&lt;0)*(BF146&gt;0))*A146</f>
        <v>0</v>
      </c>
      <c r="BK146" s="0" t="n">
        <f aca="false">IF(BJ146&gt;0,BI146,0)</f>
        <v>0</v>
      </c>
      <c r="BM146" s="0" t="n">
        <f aca="false">20*LOG(J146*F146*C146)</f>
        <v>18.5912653856878</v>
      </c>
      <c r="BN146" s="0" t="n">
        <f aca="false">(H146+D146)*180/Pi</f>
        <v>-129.696304291471</v>
      </c>
      <c r="BQ146" s="347" t="n">
        <f aca="false">20*LOG(BA146*7)</f>
        <v>49.8955003206486</v>
      </c>
      <c r="BR146" s="353"/>
      <c r="BS146" s="353"/>
      <c r="BT146" s="353" t="n">
        <v>2290.868</v>
      </c>
      <c r="BU146" s="353" t="n">
        <v>8.28183</v>
      </c>
      <c r="BV146" s="353" t="n">
        <v>-253.62</v>
      </c>
      <c r="BW146" s="349"/>
      <c r="BY146" s="353"/>
      <c r="BZ146" s="353"/>
      <c r="CA146" s="353"/>
      <c r="CC146" s="353"/>
    </row>
    <row r="147" customFormat="false" ht="12.75" hidden="false" customHeight="false" outlineLevel="0" collapsed="false">
      <c r="A147" s="0" t="n">
        <f aca="false">A146+500</f>
        <v>56500</v>
      </c>
      <c r="B147" s="0" t="n">
        <f aca="false">A147/1000</f>
        <v>56.5</v>
      </c>
      <c r="C147" s="0" t="n">
        <f aca="false">SQRT((A147/Fesr)^2+1)</f>
        <v>1.00000006301249</v>
      </c>
      <c r="D147" s="0" t="n">
        <f aca="false">ATAN(A147/Fesr)</f>
        <v>0.000354999954537047</v>
      </c>
      <c r="F147" s="0" t="n">
        <f aca="false">(Ro/(Ro+Rdcr))/SQRT((A147/(Q*Fo))^2+(1-(A147^2/Fo^2))^2)</f>
        <v>0.922914137273375</v>
      </c>
      <c r="G147" s="0" t="n">
        <f aca="false">-ATAN(A147*Fo/(Q*(Fo^2-A147^2)))</f>
        <v>0.860455650945518</v>
      </c>
      <c r="H147" s="0" t="n">
        <f aca="false">IF(G147&gt;0,G147-Pi,G147)</f>
        <v>-2.28113699905448</v>
      </c>
      <c r="J147" s="0" t="n">
        <f aca="false">Vin/Vramp</f>
        <v>9</v>
      </c>
      <c r="M147" s="0" t="n">
        <f aca="false">1/(2*Pi*_Rfb1*(Cc1ea_u+Cc2ea_u)*A147)</f>
        <v>0.104329690772702</v>
      </c>
      <c r="N147" s="0" t="n">
        <f aca="false">-Pi/2</f>
        <v>-1.570796325</v>
      </c>
      <c r="O147" s="0" t="n">
        <f aca="false">SQRT(1+(A147/Fz1_u)^2)</f>
        <v>1.70442428101533</v>
      </c>
      <c r="P147" s="0" t="n">
        <f aca="false">ATAN2(Fz1_u,A147)</f>
        <v>0.943808247143188</v>
      </c>
      <c r="Q147" s="0" t="n">
        <f aca="false">SQRT(1+(A147/Fz2_u)^2)</f>
        <v>1566.1863444666</v>
      </c>
      <c r="R147" s="0" t="n">
        <f aca="false">ATAN2(Fz2_u,A147)</f>
        <v>1.57015783312428</v>
      </c>
      <c r="S147" s="0" t="n">
        <f aca="false">1/SQRT(1+(A147/Fp1_u)^2)</f>
        <v>0.232345039452346</v>
      </c>
      <c r="T147" s="0" t="n">
        <f aca="false">-ATAN2(Fp1_u,A147)</f>
        <v>-1.33630831468331</v>
      </c>
      <c r="U147" s="0" t="n">
        <f aca="false">1/SQRT(1+(A147/Fp2_u)^2)</f>
        <v>0.988443807375814</v>
      </c>
      <c r="V147" s="0" t="n">
        <f aca="false">-ATAN2(Fp2_u,A147)</f>
        <v>-0.152174367540443</v>
      </c>
      <c r="X147" s="0" t="n">
        <f aca="false">20*LOG(C147*J147*O147*Q147*F147*M147*S147*U147)</f>
        <v>54.5063658147192</v>
      </c>
      <c r="Y147" s="0" t="n">
        <f aca="false">(180/Pi)*(D147+H147+N147+P147+R147+T147+V147)</f>
        <v>-161.923311951383</v>
      </c>
      <c r="Z147" s="0" t="n">
        <f aca="false">Y147+180</f>
        <v>18.0766880486172</v>
      </c>
      <c r="AC147" s="0" t="n">
        <v>1</v>
      </c>
      <c r="AD147" s="0" t="n">
        <f aca="false">Rcea1_u*Cc1ea_u*A147*2*Pi</f>
        <v>1.3802398812216</v>
      </c>
      <c r="AE147" s="0" t="n">
        <f aca="false">-Rcea1_u*Cc1ea_u*Cc2ea_u*(A147*2*Pi)^2</f>
        <v>-7.3497767350101E-005</v>
      </c>
      <c r="AF147" s="0" t="n">
        <f aca="false">(Cc2ea_u+Cc1ea_u)*A147*2*Pi</f>
        <v>0.0004792499587575</v>
      </c>
      <c r="AG147" s="0" t="n">
        <f aca="false">AC147*AE147/(AE147^2+AF147^2)+AD147*AF147/(AE147^2+AF147^2)</f>
        <v>2501.17417046936</v>
      </c>
      <c r="AH147" s="0" t="n">
        <f aca="false">AD147*AE147/(AE147^2+AF147^2)-AC147*AF147/(AE147^2+AF147^2)</f>
        <v>-2470.17385322772</v>
      </c>
      <c r="AJ147" s="0" t="n">
        <f aca="false">_Rfb1</f>
        <v>20000</v>
      </c>
      <c r="AK147" s="0" t="n">
        <f aca="false">_Rfb1*Rcea2_u*Cc3ea_u*A147*2*Pi</f>
        <v>83723.192795088</v>
      </c>
      <c r="AL147" s="0" t="n">
        <v>1</v>
      </c>
      <c r="AM147" s="0" t="n">
        <f aca="false">(_Rfb1+Rcea2_u)*Cc3ea_u*A147*2*Pi</f>
        <v>1566.18602521975</v>
      </c>
      <c r="AN147" s="0" t="n">
        <f aca="false">AJ147*AL147/(AL147^2+AM147^2)+AK147*AM147/(AL147^2+AM147^2)</f>
        <v>53.4648676369732</v>
      </c>
      <c r="AO147" s="0" t="n">
        <f aca="false">AK147*AL147/(AL147^2+AM147^2)-AJ147*AM147/(AL147^2+AM147^2)</f>
        <v>-12.7357381633924</v>
      </c>
      <c r="AQ147" s="0" t="n">
        <f aca="false">Eadcg/(1+(Eadcg*A147/GBP)^2)</f>
        <v>3.56249416853885</v>
      </c>
      <c r="AR147" s="0" t="n">
        <f aca="false">-(A147*Eadcg*Eadcg/GBP)/(1+(Eadcg*A147/GBP)^2)</f>
        <v>-106.075045115328</v>
      </c>
      <c r="AT147" s="0" t="n">
        <f aca="false">-AR147*AH147+AG147*AQ147</f>
        <v>-253113.384527038</v>
      </c>
      <c r="AU147" s="0" t="n">
        <f aca="false">AQ147*AH147+AG147*AR147</f>
        <v>-274112.142921233</v>
      </c>
      <c r="AV147" s="0" t="n">
        <f aca="false">ATAN2(AT147,AU147)</f>
        <v>-2.3163867339605</v>
      </c>
      <c r="AW147" s="0" t="n">
        <f aca="false">AG147-AH147*AO147/_Rfb2+AG147*AN147/_Rfb2+AN147-AO147*AR147+AQ147*AN147</f>
        <v>1440.18277337268</v>
      </c>
      <c r="AX147" s="0" t="n">
        <f aca="false">AH147+AH147*AN147/_Rfb2+AG147*AO147/_Rfb2+AO147+AO147*AQ147+AN147*AR147</f>
        <v>-8273.3336488549</v>
      </c>
      <c r="AY147" s="0" t="n">
        <f aca="false">ATAN2(AW147,AX147)</f>
        <v>-1.39844805447804</v>
      </c>
      <c r="BA147" s="0" t="n">
        <f aca="false">SQRT(AT147^2+AU147^2)/SQRT(AW147^2+AX147^2)</f>
        <v>44.4286149735372</v>
      </c>
      <c r="BB147" s="0" t="n">
        <f aca="false">20*LOG(BA147)</f>
        <v>32.9532554933901</v>
      </c>
      <c r="BC147" s="0" t="n">
        <f aca="false">AV147-AY147</f>
        <v>-0.917938679482454</v>
      </c>
      <c r="BD147" s="0" t="n">
        <f aca="false">BC147*180/Pi-180</f>
        <v>-232.594012246254</v>
      </c>
      <c r="BF147" s="0" t="n">
        <f aca="false">20*LOG(BA147*J147*F147*C147)</f>
        <v>51.3413322014134</v>
      </c>
      <c r="BG147" s="0" t="n">
        <f aca="false">(180/Pi)*(D147+H147+BC147)</f>
        <v>-183.273194933414</v>
      </c>
      <c r="BH147" s="0" t="n">
        <f aca="false">IF(BG147&gt;180,BG147-180,BG147+180)</f>
        <v>-3.27319493341432</v>
      </c>
      <c r="BI147" s="0" t="n">
        <f aca="false">IF(BH147&gt;180,BH147-360,BH147)</f>
        <v>-3.27319493341432</v>
      </c>
      <c r="BJ147" s="0" t="n">
        <f aca="false">SUM((BF148&lt;0)*(BF147&gt;0))*A147</f>
        <v>0</v>
      </c>
      <c r="BK147" s="0" t="n">
        <f aca="false">IF(BJ147&gt;0,BI147,0)</f>
        <v>0</v>
      </c>
      <c r="BM147" s="0" t="n">
        <f aca="false">20*LOG(J147*F147*C147)</f>
        <v>18.3880767080233</v>
      </c>
      <c r="BN147" s="0" t="n">
        <f aca="false">(H147+D147)*180/Pi</f>
        <v>-130.67918268716</v>
      </c>
      <c r="BQ147" s="347" t="n">
        <f aca="false">20*LOG(BA147*7)</f>
        <v>49.8552162936752</v>
      </c>
      <c r="BR147" s="353"/>
      <c r="BS147" s="353"/>
      <c r="BT147" s="353" t="n">
        <v>2344.229</v>
      </c>
      <c r="BU147" s="353" t="n">
        <v>8.06623</v>
      </c>
      <c r="BV147" s="353" t="n">
        <v>-253.171</v>
      </c>
      <c r="BW147" s="349"/>
      <c r="BY147" s="353"/>
      <c r="BZ147" s="353"/>
      <c r="CA147" s="353"/>
      <c r="CC147" s="353"/>
    </row>
    <row r="148" customFormat="false" ht="12.75" hidden="false" customHeight="false" outlineLevel="0" collapsed="false">
      <c r="A148" s="0" t="n">
        <f aca="false">A147+500</f>
        <v>57000</v>
      </c>
      <c r="B148" s="0" t="n">
        <f aca="false">A148/1000</f>
        <v>57</v>
      </c>
      <c r="C148" s="0" t="n">
        <f aca="false">SQRT((A148/Fesr)^2+1)</f>
        <v>1.00000006413269</v>
      </c>
      <c r="D148" s="0" t="n">
        <f aca="false">ATAN(A148/Fesr)</f>
        <v>0.000358141546787613</v>
      </c>
      <c r="F148" s="0" t="n">
        <f aca="false">(Ro/(Ro+Rdcr))/SQRT((A148/(Q*Fo))^2+(1-(A148^2/Fo^2))^2)</f>
        <v>0.90166446572182</v>
      </c>
      <c r="G148" s="0" t="n">
        <f aca="false">-ATAN(A148*Fo/(Q*(Fo^2-A148^2)))</f>
        <v>0.843897170977572</v>
      </c>
      <c r="H148" s="0" t="n">
        <f aca="false">IF(G148&gt;0,G148-Pi,G148)</f>
        <v>-2.29769547902243</v>
      </c>
      <c r="J148" s="0" t="n">
        <f aca="false">Vin/Vramp</f>
        <v>9</v>
      </c>
      <c r="M148" s="0" t="n">
        <f aca="false">1/(2*Pi*_Rfb1*(Cc1ea_u+Cc2ea_u)*A148)</f>
        <v>0.103414518046625</v>
      </c>
      <c r="N148" s="0" t="n">
        <f aca="false">-Pi/2</f>
        <v>-1.570796325</v>
      </c>
      <c r="O148" s="0" t="n">
        <f aca="false">SQRT(1+(A148/Fz1_u)^2)</f>
        <v>1.71433055092177</v>
      </c>
      <c r="P148" s="0" t="n">
        <f aca="false">ATAN2(Fz1_u,A148)</f>
        <v>0.947988524677265</v>
      </c>
      <c r="Q148" s="0" t="n">
        <f aca="false">SQRT(1+(A148/Fz2_u)^2)</f>
        <v>1580.04639498672</v>
      </c>
      <c r="R148" s="0" t="n">
        <f aca="false">ATAN2(Fz2_u,A148)</f>
        <v>1.57016343394445</v>
      </c>
      <c r="S148" s="0" t="n">
        <f aca="false">1/SQRT(1+(A148/Fp1_u)^2)</f>
        <v>0.230415584453661</v>
      </c>
      <c r="T148" s="0" t="n">
        <f aca="false">-ATAN2(Fp1_u,A148)</f>
        <v>-1.33829158943003</v>
      </c>
      <c r="U148" s="0" t="n">
        <f aca="false">1/SQRT(1+(A148/Fp2_u)^2)</f>
        <v>0.988241977236202</v>
      </c>
      <c r="V148" s="0" t="n">
        <f aca="false">-ATAN2(Fp2_u,A148)</f>
        <v>-0.153500079055164</v>
      </c>
      <c r="X148" s="0" t="n">
        <f aca="false">20*LOG(C148*J148*O148*Q148*F148*M148*S148*U148)</f>
        <v>54.2801711088399</v>
      </c>
      <c r="Y148" s="0" t="n">
        <f aca="false">(180/Pi)*(D148+H148+N148+P148+R148+T148+V148)</f>
        <v>-162.821620753742</v>
      </c>
      <c r="Z148" s="0" t="n">
        <f aca="false">Y148+180</f>
        <v>17.1783792462584</v>
      </c>
      <c r="AC148" s="0" t="n">
        <v>1</v>
      </c>
      <c r="AD148" s="0" t="n">
        <f aca="false">Rcea1_u*Cc1ea_u*A148*2*Pi</f>
        <v>1.3924543934448</v>
      </c>
      <c r="AE148" s="0" t="n">
        <f aca="false">-Rcea1_u*Cc1ea_u*Cc2ea_u*(A148*2*Pi)^2</f>
        <v>-7.48043687431993E-005</v>
      </c>
      <c r="AF148" s="0" t="n">
        <f aca="false">(Cc2ea_u+Cc1ea_u)*A148*2*Pi</f>
        <v>0.000483491108835</v>
      </c>
      <c r="AG148" s="0" t="n">
        <f aca="false">AC148*AE148/(AE148^2+AF148^2)+AD148*AF148/(AE148^2+AF148^2)</f>
        <v>2500.1528462636</v>
      </c>
      <c r="AH148" s="0" t="n">
        <f aca="false">AD148*AE148/(AE148^2+AF148^2)-AC148*AF148/(AE148^2+AF148^2)</f>
        <v>-2455.10689593954</v>
      </c>
      <c r="AJ148" s="0" t="n">
        <f aca="false">_Rfb1</f>
        <v>20000</v>
      </c>
      <c r="AK148" s="0" t="n">
        <f aca="false">_Rfb1*Rcea2_u*Cc3ea_u*A148*2*Pi</f>
        <v>84464.106005664</v>
      </c>
      <c r="AL148" s="0" t="n">
        <v>1</v>
      </c>
      <c r="AM148" s="0" t="n">
        <f aca="false">(_Rfb1+Rcea2_u)*Cc3ea_u*A148*2*Pi</f>
        <v>1580.04607854028</v>
      </c>
      <c r="AN148" s="0" t="n">
        <f aca="false">AJ148*AL148/(AL148^2+AM148^2)+AK148*AM148/(AL148^2+AM148^2)</f>
        <v>53.4647256015212</v>
      </c>
      <c r="AO148" s="0" t="n">
        <f aca="false">AK148*AL148/(AL148^2+AM148^2)-AJ148*AM148/(AL148^2+AM148^2)</f>
        <v>-12.6240212518523</v>
      </c>
      <c r="AQ148" s="0" t="n">
        <f aca="false">Eadcg/(1+(Eadcg*A148/GBP)^2)</f>
        <v>3.50033727720128</v>
      </c>
      <c r="AR148" s="0" t="n">
        <f aca="false">-(A148*Eadcg*Eadcg/GBP)/(1+(Eadcg*A148/GBP)^2)</f>
        <v>-105.146631469849</v>
      </c>
      <c r="AT148" s="0" t="n">
        <f aca="false">-AR148*AH148+AG148*AQ148</f>
        <v>-249394.841799962</v>
      </c>
      <c r="AU148" s="0" t="n">
        <f aca="false">AQ148*AH148+AG148*AR148</f>
        <v>-271476.352131744</v>
      </c>
      <c r="AV148" s="0" t="n">
        <f aca="false">ATAN2(AT148,AU148)</f>
        <v>-2.31382644119258</v>
      </c>
      <c r="AW148" s="0" t="n">
        <f aca="false">AG148-AH148*AO148/_Rfb2+AG148*AN148/_Rfb2+AN148-AO148*AR148+AQ148*AN148</f>
        <v>1459.59333258324</v>
      </c>
      <c r="AX148" s="0" t="n">
        <f aca="false">AH148+AH148*AN148/_Rfb2+AG148*AO148/_Rfb2+AO148+AO148*AQ148+AN148*AR148</f>
        <v>-8206.82566845725</v>
      </c>
      <c r="AY148" s="0" t="n">
        <f aca="false">ATAN2(AW148,AX148)</f>
        <v>-1.3947855838531</v>
      </c>
      <c r="BA148" s="0" t="n">
        <f aca="false">SQRT(AT148^2+AU148^2)/SQRT(AW148^2+AX148^2)</f>
        <v>44.2250001512823</v>
      </c>
      <c r="BB148" s="0" t="n">
        <f aca="false">20*LOG(BA148)</f>
        <v>32.9133568613474</v>
      </c>
      <c r="BC148" s="0" t="n">
        <f aca="false">AV148-AY148</f>
        <v>-0.919040857339477</v>
      </c>
      <c r="BD148" s="0" t="n">
        <f aca="false">BC148*180/Pi-180</f>
        <v>-232.657162385806</v>
      </c>
      <c r="BF148" s="0" t="n">
        <f aca="false">20*LOG(BA148*J148*F148*C148)</f>
        <v>51.0991066995856</v>
      </c>
      <c r="BG148" s="0" t="n">
        <f aca="false">(180/Pi)*(D148+H148+BC148)</f>
        <v>-184.284896091389</v>
      </c>
      <c r="BH148" s="0" t="n">
        <f aca="false">IF(BG148&gt;180,BG148-180,BG148+180)</f>
        <v>-4.2848960913889</v>
      </c>
      <c r="BI148" s="0" t="n">
        <f aca="false">IF(BH148&gt;180,BH148-360,BH148)</f>
        <v>-4.2848960913889</v>
      </c>
      <c r="BJ148" s="0" t="n">
        <f aca="false">SUM((BF149&lt;0)*(BF148&gt;0))*A148</f>
        <v>0</v>
      </c>
      <c r="BK148" s="0" t="n">
        <f aca="false">IF(BJ148&gt;0,BI148,0)</f>
        <v>0</v>
      </c>
      <c r="BM148" s="0" t="n">
        <f aca="false">20*LOG(J148*F148*C148)</f>
        <v>18.1857498382382</v>
      </c>
      <c r="BN148" s="0" t="n">
        <f aca="false">(H148+D148)*180/Pi</f>
        <v>-131.627733705583</v>
      </c>
      <c r="BQ148" s="347" t="n">
        <f aca="false">20*LOG(BA148*7)</f>
        <v>49.8153176616325</v>
      </c>
      <c r="BR148" s="353"/>
      <c r="BS148" s="353"/>
      <c r="BT148" s="353" t="n">
        <v>2398.833</v>
      </c>
      <c r="BU148" s="353" t="n">
        <v>7.81402</v>
      </c>
      <c r="BV148" s="353" t="n">
        <v>-252.658</v>
      </c>
      <c r="BW148" s="349"/>
      <c r="BY148" s="353"/>
      <c r="BZ148" s="353"/>
      <c r="CA148" s="353"/>
      <c r="CC148" s="353"/>
    </row>
    <row r="149" customFormat="false" ht="12.75" hidden="false" customHeight="false" outlineLevel="0" collapsed="false">
      <c r="A149" s="0" t="n">
        <f aca="false">A148+500</f>
        <v>57500</v>
      </c>
      <c r="B149" s="0" t="n">
        <f aca="false">A149/1000</f>
        <v>57.5</v>
      </c>
      <c r="C149" s="0" t="n">
        <f aca="false">SQRT((A149/Fesr)^2+1)</f>
        <v>1.00000006526276</v>
      </c>
      <c r="D149" s="0" t="n">
        <f aca="false">ATAN(A149/Fesr)</f>
        <v>0.000361283139031111</v>
      </c>
      <c r="F149" s="0" t="n">
        <f aca="false">(Ro/(Ro+Rdcr))/SQRT((A149/(Q*Fo))^2+(1-(A149^2/Fo^2))^2)</f>
        <v>0.881004831177329</v>
      </c>
      <c r="G149" s="0" t="n">
        <f aca="false">-ATAN(A149*Fo/(Q*(Fo^2-A149^2)))</f>
        <v>0.827913891504169</v>
      </c>
      <c r="H149" s="0" t="n">
        <f aca="false">IF(G149&gt;0,G149-Pi,G149)</f>
        <v>-2.31367875849583</v>
      </c>
      <c r="J149" s="0" t="n">
        <f aca="false">Vin/Vramp</f>
        <v>9</v>
      </c>
      <c r="M149" s="0" t="n">
        <f aca="false">1/(2*Pi*_Rfb1*(Cc1ea_u+Cc2ea_u)*A149)</f>
        <v>0.102515261367959</v>
      </c>
      <c r="N149" s="0" t="n">
        <f aca="false">-Pi/2</f>
        <v>-1.570796325</v>
      </c>
      <c r="O149" s="0" t="n">
        <f aca="false">SQRT(1+(A149/Fz1_u)^2)</f>
        <v>1.72426643374814</v>
      </c>
      <c r="P149" s="0" t="n">
        <f aca="false">ATAN2(Fz1_u,A149)</f>
        <v>0.952120697012216</v>
      </c>
      <c r="Q149" s="0" t="n">
        <f aca="false">SQRT(1+(A149/Fz2_u)^2)</f>
        <v>1593.90644555554</v>
      </c>
      <c r="R149" s="0" t="n">
        <f aca="false">ATAN2(Fz2_u,A149)</f>
        <v>1.57016893735909</v>
      </c>
      <c r="S149" s="0" t="n">
        <f aca="false">1/SQRT(1+(A149/Fp1_u)^2)</f>
        <v>0.228517034192174</v>
      </c>
      <c r="T149" s="0" t="n">
        <f aca="false">-ATAN2(Fp1_u,A149)</f>
        <v>-1.34024218865293</v>
      </c>
      <c r="U149" s="0" t="n">
        <f aca="false">1/SQRT(1+(A149/Fp2_u)^2)</f>
        <v>0.988038494079667</v>
      </c>
      <c r="V149" s="0" t="n">
        <f aca="false">-ATAN2(Fp2_u,A149)</f>
        <v>-0.154825246958996</v>
      </c>
      <c r="X149" s="0" t="n">
        <f aca="false">20*LOG(C149*J149*O149*Q149*F149*M149*S149*U149)</f>
        <v>54.0553799158607</v>
      </c>
      <c r="Y149" s="0" t="n">
        <f aca="false">(180/Pi)*(D149+H149+N149+P149+R149+T149+V149)</f>
        <v>-163.687831484943</v>
      </c>
      <c r="Z149" s="0" t="n">
        <f aca="false">Y149+180</f>
        <v>16.312168515057</v>
      </c>
      <c r="AC149" s="0" t="n">
        <v>1</v>
      </c>
      <c r="AD149" s="0" t="n">
        <f aca="false">Rcea1_u*Cc1ea_u*A149*2*Pi</f>
        <v>1.404668905668</v>
      </c>
      <c r="AE149" s="0" t="n">
        <f aca="false">-Rcea1_u*Cc1ea_u*Cc2ea_u*(A149*2*Pi)^2</f>
        <v>-7.61224820428448E-005</v>
      </c>
      <c r="AF149" s="0" t="n">
        <f aca="false">(Cc2ea_u+Cc1ea_u)*A149*2*Pi</f>
        <v>0.0004877322589125</v>
      </c>
      <c r="AG149" s="0" t="n">
        <f aca="false">AC149*AE149/(AE149^2+AF149^2)+AD149*AF149/(AE149^2+AF149^2)</f>
        <v>2499.12336840503</v>
      </c>
      <c r="AH149" s="0" t="n">
        <f aca="false">AD149*AE149/(AE149^2+AF149^2)-AC149*AF149/(AE149^2+AF149^2)</f>
        <v>-2440.3542148066</v>
      </c>
      <c r="AJ149" s="0" t="n">
        <f aca="false">_Rfb1</f>
        <v>20000</v>
      </c>
      <c r="AK149" s="0" t="n">
        <f aca="false">_Rfb1*Rcea2_u*Cc3ea_u*A149*2*Pi</f>
        <v>85205.01921624</v>
      </c>
      <c r="AL149" s="0" t="n">
        <v>1</v>
      </c>
      <c r="AM149" s="0" t="n">
        <f aca="false">(_Rfb1+Rcea2_u)*Cc3ea_u*A149*2*Pi</f>
        <v>1593.90613186081</v>
      </c>
      <c r="AN149" s="0" t="n">
        <f aca="false">AJ149*AL149/(AL149^2+AM149^2)+AK149*AM149/(AL149^2+AM149^2)</f>
        <v>53.4645872552064</v>
      </c>
      <c r="AO149" s="0" t="n">
        <f aca="false">AK149*AL149/(AL149^2+AM149^2)-AJ149*AM149/(AL149^2+AM149^2)</f>
        <v>-12.5142472408072</v>
      </c>
      <c r="AQ149" s="0" t="n">
        <f aca="false">Eadcg/(1+(Eadcg*A149/GBP)^2)</f>
        <v>3.43979245769615</v>
      </c>
      <c r="AR149" s="0" t="n">
        <f aca="false">-(A149*Eadcg*Eadcg/GBP)/(1+(Eadcg*A149/GBP)^2)</f>
        <v>-104.234310949338</v>
      </c>
      <c r="AT149" s="0" t="n">
        <f aca="false">-AR149*AH149+AG149*AQ149</f>
        <v>-245772.174339187</v>
      </c>
      <c r="AU149" s="0" t="n">
        <f aca="false">AQ149*AH149+AG149*AR149</f>
        <v>-268888.714305285</v>
      </c>
      <c r="AV149" s="0" t="n">
        <f aca="false">ATAN2(AT149,AU149)</f>
        <v>-2.31130859783371</v>
      </c>
      <c r="AW149" s="0" t="n">
        <f aca="false">AG149-AH149*AO149/_Rfb2+AG149*AN149/_Rfb2+AN149-AO149*AR149+AQ149*AN149</f>
        <v>1478.46503298592</v>
      </c>
      <c r="AX149" s="0" t="n">
        <f aca="false">AH149+AH149*AN149/_Rfb2+AG149*AO149/_Rfb2+AO149+AO149*AQ149+AN149*AR149</f>
        <v>-8141.54551841315</v>
      </c>
      <c r="AY149" s="0" t="n">
        <f aca="false">ATAN2(AW149,AX149)</f>
        <v>-1.39115874771301</v>
      </c>
      <c r="BA149" s="0" t="n">
        <f aca="false">SQRT(AT149^2+AU149^2)/SQRT(AW149^2+AX149^2)</f>
        <v>44.0242203169753</v>
      </c>
      <c r="BB149" s="0" t="n">
        <f aca="false">20*LOG(BA149)</f>
        <v>32.8738334642644</v>
      </c>
      <c r="BC149" s="0" t="n">
        <f aca="false">AV149-AY149</f>
        <v>-0.920149850120701</v>
      </c>
      <c r="BD149" s="0" t="n">
        <f aca="false">BC149*180/Pi-180</f>
        <v>-232.720702991754</v>
      </c>
      <c r="BF149" s="0" t="n">
        <f aca="false">20*LOG(BA149*J149*F149*C149)</f>
        <v>50.8582500192104</v>
      </c>
      <c r="BG149" s="0" t="n">
        <f aca="false">(180/Pi)*(D149+H149+BC149)</f>
        <v>-185.26403115501</v>
      </c>
      <c r="BH149" s="0" t="n">
        <f aca="false">IF(BG149&gt;180,BG149-180,BG149+180)</f>
        <v>-5.26403115500995</v>
      </c>
      <c r="BI149" s="0" t="n">
        <f aca="false">IF(BH149&gt;180,BH149-360,BH149)</f>
        <v>-5.26403115500995</v>
      </c>
      <c r="BJ149" s="0" t="n">
        <f aca="false">SUM((BF150&lt;0)*(BF149&gt;0))*A149</f>
        <v>0</v>
      </c>
      <c r="BK149" s="0" t="n">
        <f aca="false">IF(BJ149&gt;0,BI149,0)</f>
        <v>0</v>
      </c>
      <c r="BM149" s="0" t="n">
        <f aca="false">20*LOG(J149*F149*C149)</f>
        <v>17.9844165549459</v>
      </c>
      <c r="BN149" s="0" t="n">
        <f aca="false">(H149+D149)*180/Pi</f>
        <v>-132.543328163256</v>
      </c>
      <c r="BQ149" s="347" t="n">
        <f aca="false">20*LOG(BA149*7)</f>
        <v>49.7757942645496</v>
      </c>
      <c r="BR149" s="353"/>
      <c r="BS149" s="353"/>
      <c r="BT149" s="353" t="n">
        <v>2454.709</v>
      </c>
      <c r="BU149" s="353" t="n">
        <v>7.64239</v>
      </c>
      <c r="BV149" s="353" t="n">
        <v>-251.974</v>
      </c>
      <c r="BW149" s="349"/>
      <c r="BY149" s="353"/>
      <c r="BZ149" s="353"/>
      <c r="CA149" s="353"/>
      <c r="CC149" s="353"/>
    </row>
    <row r="150" customFormat="false" ht="12.75" hidden="false" customHeight="false" outlineLevel="0" collapsed="false">
      <c r="A150" s="0" t="n">
        <f aca="false">A149+500</f>
        <v>58000</v>
      </c>
      <c r="B150" s="0" t="n">
        <f aca="false">A150/1000</f>
        <v>58</v>
      </c>
      <c r="C150" s="0" t="n">
        <f aca="false">SQRT((A150/Fesr)^2+1)</f>
        <v>1.0000000664027</v>
      </c>
      <c r="D150" s="0" t="n">
        <f aca="false">ATAN(A150/Fesr)</f>
        <v>0.000364424731267477</v>
      </c>
      <c r="F150" s="0" t="n">
        <f aca="false">(Ro/(Ro+Rdcr))/SQRT((A150/(Q*Fo))^2+(1-(A150^2/Fo^2))^2)</f>
        <v>0.860928478365455</v>
      </c>
      <c r="G150" s="0" t="n">
        <f aca="false">-ATAN(A150*Fo/(Q*(Fo^2-A150^2)))</f>
        <v>0.812482499824651</v>
      </c>
      <c r="H150" s="0" t="n">
        <f aca="false">IF(G150&gt;0,G150-Pi,G150)</f>
        <v>-2.32911015017535</v>
      </c>
      <c r="J150" s="0" t="n">
        <f aca="false">Vin/Vramp</f>
        <v>9</v>
      </c>
      <c r="M150" s="0" t="n">
        <f aca="false">1/(2*Pi*_Rfb1*(Cc1ea_u+Cc2ea_u)*A150)</f>
        <v>0.101631509114787</v>
      </c>
      <c r="N150" s="0" t="n">
        <f aca="false">-Pi/2</f>
        <v>-1.570796325</v>
      </c>
      <c r="O150" s="0" t="n">
        <f aca="false">SQRT(1+(A150/Fz1_u)^2)</f>
        <v>1.73423142051315</v>
      </c>
      <c r="P150" s="0" t="n">
        <f aca="false">ATAN2(Fz1_u,A150)</f>
        <v>0.956205451060417</v>
      </c>
      <c r="Q150" s="0" t="n">
        <f aca="false">SQRT(1+(A150/Fz2_u)^2)</f>
        <v>1607.7664961718</v>
      </c>
      <c r="R150" s="0" t="n">
        <f aca="false">ATAN2(Fz2_u,A150)</f>
        <v>1.57017434588731</v>
      </c>
      <c r="S150" s="0" t="n">
        <f aca="false">1/SQRT(1+(A150/Fp1_u)^2)</f>
        <v>0.226648673797722</v>
      </c>
      <c r="T150" s="0" t="n">
        <f aca="false">-ATAN2(Fp1_u,A150)</f>
        <v>-1.34216089879112</v>
      </c>
      <c r="U150" s="0" t="n">
        <f aca="false">1/SQRT(1+(A150/Fp2_u)^2)</f>
        <v>0.9878333610704</v>
      </c>
      <c r="V150" s="0" t="n">
        <f aca="false">-ATAN2(Fp2_u,A150)</f>
        <v>-0.156149866934933</v>
      </c>
      <c r="X150" s="0" t="n">
        <f aca="false">20*LOG(C150*J150*O150*Q150*F150*M150*S150*U150)</f>
        <v>53.8320976515013</v>
      </c>
      <c r="Y150" s="0" t="n">
        <f aca="false">(180/Pi)*(D150+H150+N150+P150+R150+T150+V150)</f>
        <v>-164.523285175127</v>
      </c>
      <c r="Z150" s="0" t="n">
        <f aca="false">Y150+180</f>
        <v>15.4767148248726</v>
      </c>
      <c r="AC150" s="0" t="n">
        <v>1</v>
      </c>
      <c r="AD150" s="0" t="n">
        <f aca="false">Rcea1_u*Cc1ea_u*A150*2*Pi</f>
        <v>1.4168834178912</v>
      </c>
      <c r="AE150" s="0" t="n">
        <f aca="false">-Rcea1_u*Cc1ea_u*Cc2ea_u*(A150*2*Pi)^2</f>
        <v>-7.74521072490374E-005</v>
      </c>
      <c r="AF150" s="0" t="n">
        <f aca="false">(Cc2ea_u+Cc1ea_u)*A150*2*Pi</f>
        <v>0.00049197340899</v>
      </c>
      <c r="AG150" s="0" t="n">
        <f aca="false">AC150*AE150/(AE150^2+AF150^2)+AD150*AF150/(AE150^2+AF150^2)</f>
        <v>2498.08575806373</v>
      </c>
      <c r="AH150" s="0" t="n">
        <f aca="false">AD150*AE150/(AE150^2+AF150^2)-AC150*AF150/(AE150^2+AF150^2)</f>
        <v>-2425.90754752581</v>
      </c>
      <c r="AJ150" s="0" t="n">
        <f aca="false">_Rfb1</f>
        <v>20000</v>
      </c>
      <c r="AK150" s="0" t="n">
        <f aca="false">_Rfb1*Rcea2_u*Cc3ea_u*A150*2*Pi</f>
        <v>85945.932426816</v>
      </c>
      <c r="AL150" s="0" t="n">
        <v>1</v>
      </c>
      <c r="AM150" s="0" t="n">
        <f aca="false">(_Rfb1+Rcea2_u)*Cc3ea_u*A150*2*Pi</f>
        <v>1607.76618518134</v>
      </c>
      <c r="AN150" s="0" t="n">
        <f aca="false">AJ150*AL150/(AL150^2+AM150^2)+AK150*AM150/(AL150^2+AM150^2)</f>
        <v>53.4644524713671</v>
      </c>
      <c r="AO150" s="0" t="n">
        <f aca="false">AK150*AL150/(AL150^2+AM150^2)-AJ150*AM150/(AL150^2+AM150^2)</f>
        <v>-12.4063658829091</v>
      </c>
      <c r="AQ150" s="0" t="n">
        <f aca="false">Eadcg/(1+(Eadcg*A150/GBP)^2)</f>
        <v>3.38080446115988</v>
      </c>
      <c r="AR150" s="0" t="n">
        <f aca="false">-(A150*Eadcg*Eadcg/GBP)/(1+(Eadcg*A150/GBP)^2)</f>
        <v>-103.337669159813</v>
      </c>
      <c r="AT150" s="0" t="n">
        <f aca="false">-AR150*AH150+AG150*AQ150</f>
        <v>-242242.092083294</v>
      </c>
      <c r="AU150" s="0" t="n">
        <f aca="false">AQ150*AH150+AG150*AR150</f>
        <v>-266347.878658667</v>
      </c>
      <c r="AV150" s="0" t="n">
        <f aca="false">ATAN2(AT150,AU150)</f>
        <v>-2.30883264467506</v>
      </c>
      <c r="AW150" s="0" t="n">
        <f aca="false">AG150-AH150*AO150/_Rfb2+AG150*AN150/_Rfb2+AN150-AO150*AR150+AQ150*AN150</f>
        <v>1496.81607767203</v>
      </c>
      <c r="AX150" s="0" t="n">
        <f aca="false">AH150+AH150*AN150/_Rfb2+AG150*AO150/_Rfb2+AO150+AO150*AQ150+AN150*AR150</f>
        <v>-8077.46070494233</v>
      </c>
      <c r="AY150" s="0" t="n">
        <f aca="false">ATAN2(AW150,AX150)</f>
        <v>-1.38756701009428</v>
      </c>
      <c r="BA150" s="0" t="n">
        <f aca="false">SQRT(AT150^2+AU150^2)/SQRT(AW150^2+AX150^2)</f>
        <v>43.8261955875353</v>
      </c>
      <c r="BB150" s="0" t="n">
        <f aca="false">20*LOG(BA150)</f>
        <v>32.8346754513859</v>
      </c>
      <c r="BC150" s="0" t="n">
        <f aca="false">AV150-AY150</f>
        <v>-0.921265634580778</v>
      </c>
      <c r="BD150" s="0" t="n">
        <f aca="false">BC150*180/Pi-180</f>
        <v>-232.784632732235</v>
      </c>
      <c r="BF150" s="0" t="n">
        <f aca="false">20*LOG(BA150*J150*F150*C150)</f>
        <v>50.6188676956891</v>
      </c>
      <c r="BG150" s="0" t="n">
        <f aca="false">(180/Pi)*(D150+H150+BC150)</f>
        <v>-186.211934511775</v>
      </c>
      <c r="BH150" s="0" t="n">
        <f aca="false">IF(BG150&gt;180,BG150-180,BG150+180)</f>
        <v>-6.21193451177535</v>
      </c>
      <c r="BI150" s="0" t="n">
        <f aca="false">IF(BH150&gt;180,BH150-360,BH150)</f>
        <v>-6.21193451177535</v>
      </c>
      <c r="BJ150" s="0" t="n">
        <f aca="false">SUM((BF151&lt;0)*(BF150&gt;0))*A150</f>
        <v>0</v>
      </c>
      <c r="BK150" s="0" t="n">
        <f aca="false">IF(BJ150&gt;0,BI150,0)</f>
        <v>0</v>
      </c>
      <c r="BM150" s="0" t="n">
        <f aca="false">20*LOG(J150*F150*C150)</f>
        <v>17.7841922443032</v>
      </c>
      <c r="BN150" s="0" t="n">
        <f aca="false">(H150+D150)*180/Pi</f>
        <v>-133.42730177954</v>
      </c>
      <c r="BQ150" s="347" t="n">
        <f aca="false">20*LOG(BA150*7)</f>
        <v>49.736636251671</v>
      </c>
      <c r="BR150" s="353"/>
      <c r="BS150" s="353"/>
      <c r="BT150" s="353" t="n">
        <v>2511.886</v>
      </c>
      <c r="BU150" s="353" t="n">
        <v>7.45716</v>
      </c>
      <c r="BV150" s="353" t="n">
        <v>-252.252</v>
      </c>
      <c r="BW150" s="349"/>
      <c r="BY150" s="353"/>
      <c r="BZ150" s="353"/>
      <c r="CA150" s="353"/>
      <c r="CC150" s="353"/>
    </row>
    <row r="151" customFormat="false" ht="12.75" hidden="false" customHeight="false" outlineLevel="0" collapsed="false">
      <c r="A151" s="0" t="n">
        <f aca="false">A150+500</f>
        <v>58500</v>
      </c>
      <c r="B151" s="0" t="n">
        <f aca="false">A151/1000</f>
        <v>58.5</v>
      </c>
      <c r="C151" s="0" t="n">
        <f aca="false">SQRT((A151/Fesr)^2+1)</f>
        <v>1.00000006755251</v>
      </c>
      <c r="D151" s="0" t="n">
        <f aca="false">ATAN(A151/Fesr)</f>
        <v>0.000367566323496649</v>
      </c>
      <c r="F151" s="0" t="n">
        <f aca="false">(Ro/(Ro+Rdcr))/SQRT((A151/(Q*Fo))^2+(1-(A151^2/Fo^2))^2)</f>
        <v>0.841426780334423</v>
      </c>
      <c r="G151" s="0" t="n">
        <f aca="false">-ATAN(A151*Fo/(Q*(Fo^2-A151^2)))</f>
        <v>0.797580359496785</v>
      </c>
      <c r="H151" s="0" t="n">
        <f aca="false">IF(G151&gt;0,G151-Pi,G151)</f>
        <v>-2.34401229050321</v>
      </c>
      <c r="J151" s="0" t="n">
        <f aca="false">Vin/Vramp</f>
        <v>9</v>
      </c>
      <c r="M151" s="0" t="n">
        <f aca="false">1/(2*Pi*_Rfb1*(Cc1ea_u+Cc2ea_u)*A151)</f>
        <v>0.100762863737738</v>
      </c>
      <c r="N151" s="0" t="n">
        <f aca="false">-Pi/2</f>
        <v>-1.570796325</v>
      </c>
      <c r="O151" s="0" t="n">
        <f aca="false">SQRT(1+(A151/Fz1_u)^2)</f>
        <v>1.74422501239297</v>
      </c>
      <c r="P151" s="0" t="n">
        <f aca="false">ATAN2(Fz1_u,A151)</f>
        <v>0.960243464389954</v>
      </c>
      <c r="Q151" s="0" t="n">
        <f aca="false">SQRT(1+(A151/Fz2_u)^2)</f>
        <v>1621.6265468343</v>
      </c>
      <c r="R151" s="0" t="n">
        <f aca="false">ATAN2(Fz2_u,A151)</f>
        <v>1.57017966196209</v>
      </c>
      <c r="S151" s="0" t="n">
        <f aca="false">1/SQRT(1+(A151/Fp1_u)^2)</f>
        <v>0.224809809554591</v>
      </c>
      <c r="T151" s="0" t="n">
        <f aca="false">-ATAN2(Fp1_u,A151)</f>
        <v>-1.34404848171799</v>
      </c>
      <c r="U151" s="0" t="n">
        <f aca="false">1/SQRT(1+(A151/Fp2_u)^2)</f>
        <v>0.987626581394694</v>
      </c>
      <c r="V151" s="0" t="n">
        <f aca="false">-ATAN2(Fp2_u,A151)</f>
        <v>-0.157473934677236</v>
      </c>
      <c r="X151" s="0" t="n">
        <f aca="false">20*LOG(C151*J151*O151*Q151*F151*M151*S151*U151)</f>
        <v>53.6104150858758</v>
      </c>
      <c r="Y151" s="0" t="n">
        <f aca="false">(180/Pi)*(D151+H151+N151+P151+R151+T151+V151)</f>
        <v>-165.329283241136</v>
      </c>
      <c r="Z151" s="0" t="n">
        <f aca="false">Y151+180</f>
        <v>14.6707167588636</v>
      </c>
      <c r="AC151" s="0" t="n">
        <v>1</v>
      </c>
      <c r="AD151" s="0" t="n">
        <f aca="false">Rcea1_u*Cc1ea_u*A151*2*Pi</f>
        <v>1.4290979301144</v>
      </c>
      <c r="AE151" s="0" t="n">
        <f aca="false">-Rcea1_u*Cc1ea_u*Cc2ea_u*(A151*2*Pi)^2</f>
        <v>-7.87932443617771E-005</v>
      </c>
      <c r="AF151" s="0" t="n">
        <f aca="false">(Cc2ea_u+Cc1ea_u)*A151*2*Pi</f>
        <v>0.0004962145590675</v>
      </c>
      <c r="AG151" s="0" t="n">
        <f aca="false">AC151*AE151/(AE151^2+AF151^2)+AD151*AF151/(AE151^2+AF151^2)</f>
        <v>2497.04003655007</v>
      </c>
      <c r="AH151" s="0" t="n">
        <f aca="false">AD151*AE151/(AE151^2+AF151^2)-AC151*AF151/(AE151^2+AF151^2)</f>
        <v>-2411.75891338214</v>
      </c>
      <c r="AJ151" s="0" t="n">
        <f aca="false">_Rfb1</f>
        <v>20000</v>
      </c>
      <c r="AK151" s="0" t="n">
        <f aca="false">_Rfb1*Rcea2_u*Cc3ea_u*A151*2*Pi</f>
        <v>86686.845637392</v>
      </c>
      <c r="AL151" s="0" t="n">
        <v>1</v>
      </c>
      <c r="AM151" s="0" t="n">
        <f aca="false">(_Rfb1+Rcea2_u)*Cc3ea_u*A151*2*Pi</f>
        <v>1621.62623850187</v>
      </c>
      <c r="AN151" s="0" t="n">
        <f aca="false">AJ151*AL151/(AL151^2+AM151^2)+AK151*AM151/(AL151^2+AM151^2)</f>
        <v>53.4643211287314</v>
      </c>
      <c r="AO151" s="0" t="n">
        <f aca="false">AK151*AL151/(AL151^2+AM151^2)-AJ151*AM151/(AL151^2+AM151^2)</f>
        <v>-12.3003286486649</v>
      </c>
      <c r="AQ151" s="0" t="n">
        <f aca="false">Eadcg/(1+(Eadcg*A151/GBP)^2)</f>
        <v>3.32332038464834</v>
      </c>
      <c r="AR151" s="0" t="n">
        <f aca="false">-(A151*Eadcg*Eadcg/GBP)/(1+(Eadcg*A151/GBP)^2)</f>
        <v>-102.456305798516</v>
      </c>
      <c r="AT151" s="0" t="n">
        <f aca="false">-AR151*AH151+AG151*AQ151</f>
        <v>-238801.444687027</v>
      </c>
      <c r="AU151" s="0" t="n">
        <f aca="false">AQ151*AH151+AG151*AR151</f>
        <v>-263852.545135612</v>
      </c>
      <c r="AV151" s="0" t="n">
        <f aca="false">ATAN2(AT151,AU151)</f>
        <v>-2.3063980273579</v>
      </c>
      <c r="AW151" s="0" t="n">
        <f aca="false">AG151-AH151*AO151/_Rfb2+AG151*AN151/_Rfb2+AN151-AO151*AR151+AQ151*AN151</f>
        <v>1514.6638978957</v>
      </c>
      <c r="AX151" s="0" t="n">
        <f aca="false">AH151+AH151*AN151/_Rfb2+AG151*AO151/_Rfb2+AO151+AO151*AQ151+AN151*AR151</f>
        <v>-8014.53986960001</v>
      </c>
      <c r="AY151" s="0" t="n">
        <f aca="false">ATAN2(AW151,AX151)</f>
        <v>-1.38400985086022</v>
      </c>
      <c r="BA151" s="0" t="n">
        <f aca="false">SQRT(AT151^2+AU151^2)/SQRT(AW151^2+AX151^2)</f>
        <v>43.6308489699953</v>
      </c>
      <c r="BB151" s="0" t="n">
        <f aca="false">20*LOG(BA151)</f>
        <v>32.7958732716076</v>
      </c>
      <c r="BC151" s="0" t="n">
        <f aca="false">AV151-AY151</f>
        <v>-0.922388176497673</v>
      </c>
      <c r="BD151" s="0" t="n">
        <f aca="false">BC151*180/Pi-180</f>
        <v>-232.848949646473</v>
      </c>
      <c r="BF151" s="0" t="n">
        <f aca="false">20*LOG(BA151*J151*F151*C151)</f>
        <v>50.3810506534979</v>
      </c>
      <c r="BG151" s="0" t="n">
        <f aca="false">(180/Pi)*(D151+H151+BC151)</f>
        <v>-187.129901173512</v>
      </c>
      <c r="BH151" s="0" t="n">
        <f aca="false">IF(BG151&gt;180,BG151-180,BG151+180)</f>
        <v>-7.12990117351154</v>
      </c>
      <c r="BI151" s="0" t="n">
        <f aca="false">IF(BH151&gt;180,BH151-360,BH151)</f>
        <v>-7.12990117351154</v>
      </c>
      <c r="BJ151" s="0" t="n">
        <f aca="false">SUM((BF152&lt;0)*(BF151&gt;0))*A151</f>
        <v>0</v>
      </c>
      <c r="BK151" s="0" t="n">
        <f aca="false">IF(BJ151&gt;0,BI151,0)</f>
        <v>0</v>
      </c>
      <c r="BM151" s="0" t="n">
        <f aca="false">20*LOG(J151*F151*C151)</f>
        <v>17.5851773818902</v>
      </c>
      <c r="BN151" s="0" t="n">
        <f aca="false">(H151+D151)*180/Pi</f>
        <v>-134.280951527038</v>
      </c>
      <c r="BQ151" s="347" t="n">
        <f aca="false">20*LOG(BA151*7)</f>
        <v>49.6978340718928</v>
      </c>
      <c r="BR151" s="353"/>
      <c r="BS151" s="353"/>
      <c r="BT151" s="353" t="n">
        <v>2570.396</v>
      </c>
      <c r="BU151" s="353" t="n">
        <v>7.31271</v>
      </c>
      <c r="BV151" s="353" t="n">
        <v>-251.702</v>
      </c>
      <c r="BW151" s="349"/>
      <c r="BY151" s="353"/>
      <c r="BZ151" s="353"/>
      <c r="CA151" s="353"/>
      <c r="CC151" s="353"/>
    </row>
    <row r="152" customFormat="false" ht="12.75" hidden="false" customHeight="false" outlineLevel="0" collapsed="false">
      <c r="A152" s="0" t="n">
        <f aca="false">A151+500</f>
        <v>59000</v>
      </c>
      <c r="B152" s="0" t="n">
        <f aca="false">A152/1000</f>
        <v>59</v>
      </c>
      <c r="C152" s="0" t="n">
        <f aca="false">SQRT((A152/Fesr)^2+1)</f>
        <v>1.00000006871218</v>
      </c>
      <c r="D152" s="0" t="n">
        <f aca="false">ATAN(A152/Fesr)</f>
        <v>0.000370707915718567</v>
      </c>
      <c r="F152" s="0" t="n">
        <f aca="false">(Ro/(Ro+Rdcr))/SQRT((A152/(Q*Fo))^2+(1-(A152^2/Fo^2))^2)</f>
        <v>0.822489583963809</v>
      </c>
      <c r="G152" s="0" t="n">
        <f aca="false">-ATAN(A152*Fo/(Q*(Fo^2-A152^2)))</f>
        <v>0.783185556628231</v>
      </c>
      <c r="H152" s="0" t="n">
        <f aca="false">IF(G152&gt;0,G152-Pi,G152)</f>
        <v>-2.35840709337177</v>
      </c>
      <c r="J152" s="0" t="n">
        <f aca="false">Vin/Vramp</f>
        <v>9</v>
      </c>
      <c r="M152" s="0" t="n">
        <f aca="false">1/(2*Pi*_Rfb1*(Cc1ea_u+Cc2ea_u)*A152)</f>
        <v>0.0999089411636889</v>
      </c>
      <c r="N152" s="0" t="n">
        <f aca="false">-Pi/2</f>
        <v>-1.570796325</v>
      </c>
      <c r="O152" s="0" t="n">
        <f aca="false">SQRT(1+(A152/Fz1_u)^2)</f>
        <v>1.75424672051487</v>
      </c>
      <c r="P152" s="0" t="n">
        <f aca="false">ATAN2(Fz1_u,A152)</f>
        <v>0.964235405249152</v>
      </c>
      <c r="Q152" s="0" t="n">
        <f aca="false">SQRT(1+(A152/Fz2_u)^2)</f>
        <v>1635.48659754184</v>
      </c>
      <c r="R152" s="0" t="n">
        <f aca="false">ATAN2(Fz2_u,A152)</f>
        <v>1.57018488793394</v>
      </c>
      <c r="S152" s="0" t="n">
        <f aca="false">1/SQRT(1+(A152/Fp1_u)^2)</f>
        <v>0.222999768155271</v>
      </c>
      <c r="T152" s="0" t="n">
        <f aca="false">-ATAN2(Fp1_u,A152)</f>
        <v>-1.34590567567386</v>
      </c>
      <c r="U152" s="0" t="n">
        <f aca="false">1/SQRT(1+(A152/Fp2_u)^2)</f>
        <v>0.987418158260813</v>
      </c>
      <c r="V152" s="0" t="n">
        <f aca="false">-ATAN2(Fp2_u,A152)</f>
        <v>-0.158797445891494</v>
      </c>
      <c r="X152" s="0" t="n">
        <f aca="false">20*LOG(C152*J152*O152*Q152*F152*M152*S152*U152)</f>
        <v>53.3904097238243</v>
      </c>
      <c r="Y152" s="0" t="n">
        <f aca="false">(180/Pi)*(D152+H152+N152+P152+R152+T152+V152)</f>
        <v>-166.107084886036</v>
      </c>
      <c r="Z152" s="0" t="n">
        <f aca="false">Y152+180</f>
        <v>13.8929151139643</v>
      </c>
      <c r="AC152" s="0" t="n">
        <v>1</v>
      </c>
      <c r="AD152" s="0" t="n">
        <f aca="false">Rcea1_u*Cc1ea_u*A152*2*Pi</f>
        <v>1.4413124423376</v>
      </c>
      <c r="AE152" s="0" t="n">
        <f aca="false">-Rcea1_u*Cc1ea_u*Cc2ea_u*(A152*2*Pi)^2</f>
        <v>-8.01458933810639E-005</v>
      </c>
      <c r="AF152" s="0" t="n">
        <f aca="false">(Cc2ea_u+Cc1ea_u)*A152*2*Pi</f>
        <v>0.000500455709145</v>
      </c>
      <c r="AG152" s="0" t="n">
        <f aca="false">AC152*AE152/(AE152^2+AF152^2)+AD152*AF152/(AE152^2+AF152^2)</f>
        <v>2495.98622531373</v>
      </c>
      <c r="AH152" s="0" t="n">
        <f aca="false">AD152*AE152/(AE152^2+AF152^2)-AC152*AF152/(AE152^2+AF152^2)</f>
        <v>-2397.90060132355</v>
      </c>
      <c r="AJ152" s="0" t="n">
        <f aca="false">_Rfb1</f>
        <v>20000</v>
      </c>
      <c r="AK152" s="0" t="n">
        <f aca="false">_Rfb1*Rcea2_u*Cc3ea_u*A152*2*Pi</f>
        <v>87427.758847968</v>
      </c>
      <c r="AL152" s="0" t="n">
        <v>1</v>
      </c>
      <c r="AM152" s="0" t="n">
        <f aca="false">(_Rfb1+Rcea2_u)*Cc3ea_u*A152*2*Pi</f>
        <v>1635.4862918224</v>
      </c>
      <c r="AN152" s="0" t="n">
        <f aca="false">AJ152*AL152/(AL152^2+AM152^2)+AK152*AM152/(AL152^2+AM152^2)</f>
        <v>53.4641931111441</v>
      </c>
      <c r="AO152" s="0" t="n">
        <f aca="false">AK152*AL152/(AL152^2+AM152^2)-AJ152*AM152/(AL152^2+AM152^2)</f>
        <v>-12.1960886536461</v>
      </c>
      <c r="AQ152" s="0" t="n">
        <f aca="false">Eadcg/(1+(Eadcg*A152/GBP)^2)</f>
        <v>3.26728955265287</v>
      </c>
      <c r="AR152" s="0" t="n">
        <f aca="false">-(A152*Eadcg*Eadcg/GBP)/(1+(Eadcg*A152/GBP)^2)</f>
        <v>-101.589834060636</v>
      </c>
      <c r="AT152" s="0" t="n">
        <f aca="false">-AR152*AH152+AG152*AQ152</f>
        <v>-235447.214464825</v>
      </c>
      <c r="AU152" s="0" t="n">
        <f aca="false">AQ152*AH152+AG152*AR152</f>
        <v>-261401.462030259</v>
      </c>
      <c r="AV152" s="0" t="n">
        <f aca="false">ATAN2(AT152,AU152)</f>
        <v>-2.3040041965396</v>
      </c>
      <c r="AW152" s="0" t="n">
        <f aca="false">AG152-AH152*AO152/_Rfb2+AG152*AN152/_Rfb2+AN152-AO152*AR152+AQ152*AN152</f>
        <v>1532.02519206167</v>
      </c>
      <c r="AX152" s="0" t="n">
        <f aca="false">AH152+AH152*AN152/_Rfb2+AG152*AO152/_Rfb2+AO152+AO152*AQ152+AN152*AR152</f>
        <v>-7952.7527399071</v>
      </c>
      <c r="AY152" s="0" t="n">
        <f aca="false">ATAN2(AW152,AX152)</f>
        <v>-1.38048676505054</v>
      </c>
      <c r="BA152" s="0" t="n">
        <f aca="false">SQRT(AT152^2+AU152^2)/SQRT(AW152^2+AX152^2)</f>
        <v>43.4381062441861</v>
      </c>
      <c r="BB152" s="0" t="n">
        <f aca="false">20*LOG(BA152)</f>
        <v>32.7574176641997</v>
      </c>
      <c r="BC152" s="0" t="n">
        <f aca="false">AV152-AY152</f>
        <v>-0.923517431489065</v>
      </c>
      <c r="BD152" s="0" t="n">
        <f aca="false">BC152*180/Pi-180</f>
        <v>-232.913651191548</v>
      </c>
      <c r="BF152" s="0" t="n">
        <f aca="false">20*LOG(BA152*J152*F152*C152)</f>
        <v>50.1448765845463</v>
      </c>
      <c r="BG152" s="0" t="n">
        <f aca="false">(180/Pi)*(D152+H152+BC152)</f>
        <v>-188.019184170844</v>
      </c>
      <c r="BH152" s="0" t="n">
        <f aca="false">IF(BG152&gt;180,BG152-180,BG152+180)</f>
        <v>-8.01918417084428</v>
      </c>
      <c r="BI152" s="0" t="n">
        <f aca="false">IF(BH152&gt;180,BH152-360,BH152)</f>
        <v>-8.01918417084428</v>
      </c>
      <c r="BJ152" s="0" t="n">
        <f aca="false">SUM((BF153&lt;0)*(BF152&gt;0))*A152</f>
        <v>0</v>
      </c>
      <c r="BK152" s="0" t="n">
        <f aca="false">IF(BJ152&gt;0,BI152,0)</f>
        <v>0</v>
      </c>
      <c r="BM152" s="0" t="n">
        <f aca="false">20*LOG(J152*F152*C152)</f>
        <v>17.3874589203465</v>
      </c>
      <c r="BN152" s="0" t="n">
        <f aca="false">(H152+D152)*180/Pi</f>
        <v>-135.105532979296</v>
      </c>
      <c r="BQ152" s="347" t="n">
        <f aca="false">20*LOG(BA152*7)</f>
        <v>49.6593784644849</v>
      </c>
      <c r="BR152" s="353"/>
      <c r="BS152" s="353"/>
      <c r="BT152" s="353" t="n">
        <v>2630.268</v>
      </c>
      <c r="BU152" s="353" t="n">
        <v>7.13504</v>
      </c>
      <c r="BV152" s="353" t="n">
        <v>-251.401</v>
      </c>
      <c r="BW152" s="349"/>
      <c r="BY152" s="353"/>
      <c r="BZ152" s="353"/>
      <c r="CA152" s="353"/>
      <c r="CC152" s="353"/>
    </row>
    <row r="153" customFormat="false" ht="12.75" hidden="false" customHeight="false" outlineLevel="0" collapsed="false">
      <c r="A153" s="0" t="n">
        <f aca="false">A152+500</f>
        <v>59500</v>
      </c>
      <c r="B153" s="0" t="n">
        <f aca="false">A153/1000</f>
        <v>59.5</v>
      </c>
      <c r="C153" s="0" t="n">
        <f aca="false">SQRT((A153/Fesr)^2+1)</f>
        <v>1.00000006988173</v>
      </c>
      <c r="D153" s="0" t="n">
        <f aca="false">ATAN(A153/Fesr)</f>
        <v>0.000373849507933166</v>
      </c>
      <c r="F153" s="0" t="n">
        <f aca="false">(Ro/(Ro+Rdcr))/SQRT((A153/(Q*Fo))^2+(1-(A153^2/Fo^2))^2)</f>
        <v>0.804105512206536</v>
      </c>
      <c r="G153" s="0" t="n">
        <f aca="false">-ATAN(A153*Fo/(Q*(Fo^2-A153^2)))</f>
        <v>0.769276931474895</v>
      </c>
      <c r="H153" s="0" t="n">
        <f aca="false">IF(G153&gt;0,G153-Pi,G153)</f>
        <v>-2.37231571852511</v>
      </c>
      <c r="J153" s="0" t="n">
        <f aca="false">Vin/Vramp</f>
        <v>9</v>
      </c>
      <c r="M153" s="0" t="n">
        <f aca="false">1/(2*Pi*_Rfb1*(Cc1ea_u+Cc2ea_u)*A153)</f>
        <v>0.0990693702295402</v>
      </c>
      <c r="N153" s="0" t="n">
        <f aca="false">-Pi/2</f>
        <v>-1.570796325</v>
      </c>
      <c r="O153" s="0" t="n">
        <f aca="false">SQRT(1+(A153/Fz1_u)^2)</f>
        <v>1.76429606575393</v>
      </c>
      <c r="P153" s="0" t="n">
        <f aca="false">ATAN2(Fz1_u,A153)</f>
        <v>0.968181932598724</v>
      </c>
      <c r="Q153" s="0" t="n">
        <f aca="false">SQRT(1+(A153/Fz2_u)^2)</f>
        <v>1649.3466482933</v>
      </c>
      <c r="R153" s="0" t="n">
        <f aca="false">ATAN2(Fz2_u,A153)</f>
        <v>1.57019002607436</v>
      </c>
      <c r="S153" s="0" t="n">
        <f aca="false">1/SQRT(1+(A153/Fp1_u)^2)</f>
        <v>0.221217895984006</v>
      </c>
      <c r="T153" s="0" t="n">
        <f aca="false">-ATAN2(Fp1_u,A153)</f>
        <v>-1.34773319615741</v>
      </c>
      <c r="U153" s="0" t="n">
        <f aca="false">1/SQRT(1+(A153/Fp2_u)^2)</f>
        <v>0.987208094898855</v>
      </c>
      <c r="V153" s="0" t="n">
        <f aca="false">-ATAN2(Fp2_u,A153)</f>
        <v>-0.16012039629471</v>
      </c>
      <c r="X153" s="0" t="n">
        <f aca="false">20*LOG(C153*J153*O153*Q153*F153*M153*S153*U153)</f>
        <v>53.1721470891737</v>
      </c>
      <c r="Y153" s="0" t="n">
        <f aca="false">(180/Pi)*(D153+H153+N153+P153+R153+T153+V153)</f>
        <v>-166.857905337701</v>
      </c>
      <c r="Z153" s="0" t="n">
        <f aca="false">Y153+180</f>
        <v>13.1420946622994</v>
      </c>
      <c r="AC153" s="0" t="n">
        <v>1</v>
      </c>
      <c r="AD153" s="0" t="n">
        <f aca="false">Rcea1_u*Cc1ea_u*A153*2*Pi</f>
        <v>1.4535269545608</v>
      </c>
      <c r="AE153" s="0" t="n">
        <f aca="false">-Rcea1_u*Cc1ea_u*Cc2ea_u*(A153*2*Pi)^2</f>
        <v>-8.15100543068979E-005</v>
      </c>
      <c r="AF153" s="0" t="n">
        <f aca="false">(Cc2ea_u+Cc1ea_u)*A153*2*Pi</f>
        <v>0.0005046968592225</v>
      </c>
      <c r="AG153" s="0" t="n">
        <f aca="false">AC153*AE153/(AE153^2+AF153^2)+AD153*AF153/(AE153^2+AF153^2)</f>
        <v>2494.9243459426</v>
      </c>
      <c r="AH153" s="0" t="n">
        <f aca="false">AD153*AE153/(AE153^2+AF153^2)-AC153*AF153/(AE153^2+AF153^2)</f>
        <v>-2384.3251586372</v>
      </c>
      <c r="AJ153" s="0" t="n">
        <f aca="false">_Rfb1</f>
        <v>20000</v>
      </c>
      <c r="AK153" s="0" t="n">
        <f aca="false">_Rfb1*Rcea2_u*Cc3ea_u*A153*2*Pi</f>
        <v>88168.672058544</v>
      </c>
      <c r="AL153" s="0" t="n">
        <v>1</v>
      </c>
      <c r="AM153" s="0" t="n">
        <f aca="false">(_Rfb1+Rcea2_u)*Cc3ea_u*A153*2*Pi</f>
        <v>1649.34634514293</v>
      </c>
      <c r="AN153" s="0" t="n">
        <f aca="false">AJ153*AL153/(AL153^2+AM153^2)+AK153*AM153/(AL153^2+AM153^2)</f>
        <v>53.4640683073099</v>
      </c>
      <c r="AO153" s="0" t="n">
        <f aca="false">AK153*AL153/(AL153^2+AM153^2)-AJ153*AM153/(AL153^2+AM153^2)</f>
        <v>-12.0936005893681</v>
      </c>
      <c r="AQ153" s="0" t="n">
        <f aca="false">Eadcg/(1+(Eadcg*A153/GBP)^2)</f>
        <v>3.21266340553712</v>
      </c>
      <c r="AR153" s="0" t="n">
        <f aca="false">-(A153*Eadcg*Eadcg/GBP)/(1+(Eadcg*A153/GBP)^2)</f>
        <v>-100.737880075725</v>
      </c>
      <c r="AT153" s="0" t="n">
        <f aca="false">-AR153*AH153+AG153*AQ153</f>
        <v>-232176.509746534</v>
      </c>
      <c r="AU153" s="0" t="n">
        <f aca="false">AQ153*AH153+AG153*AR153</f>
        <v>-258993.423743627</v>
      </c>
      <c r="AV153" s="0" t="n">
        <f aca="false">ATAN2(AT153,AU153)</f>
        <v>-2.30165060804254</v>
      </c>
      <c r="AW153" s="0" t="n">
        <f aca="false">AG153-AH153*AO153/_Rfb2+AG153*AN153/_Rfb2+AN153-AO153*AR153+AQ153*AN153</f>
        <v>1548.91596243564</v>
      </c>
      <c r="AX153" s="0" t="n">
        <f aca="false">AH153+AH153*AN153/_Rfb2+AG153*AO153/_Rfb2+AO153+AO153*AQ153+AN153*AR153</f>
        <v>-7892.07008254328</v>
      </c>
      <c r="AY153" s="0" t="n">
        <f aca="false">ATAN2(AW153,AX153)</f>
        <v>-1.3769972622614</v>
      </c>
      <c r="BA153" s="0" t="n">
        <f aca="false">SQRT(AT153^2+AU153^2)/SQRT(AW153^2+AX153^2)</f>
        <v>43.2478958506648</v>
      </c>
      <c r="BB153" s="0" t="n">
        <f aca="false">20*LOG(BA153)</f>
        <v>32.7192996498085</v>
      </c>
      <c r="BC153" s="0" t="n">
        <f aca="false">AV153-AY153</f>
        <v>-0.924653345781141</v>
      </c>
      <c r="BD153" s="0" t="n">
        <f aca="false">BC153*180/Pi-180</f>
        <v>-232.978734286447</v>
      </c>
      <c r="BF153" s="0" t="n">
        <f aca="false">20*LOG(BA153*J153*F153*C153)</f>
        <v>49.9104112305625</v>
      </c>
      <c r="BG153" s="0" t="n">
        <f aca="false">(180/Pi)*(D153+H153+BC153)</f>
        <v>-188.880992786794</v>
      </c>
      <c r="BH153" s="0" t="n">
        <f aca="false">IF(BG153&gt;180,BG153-180,BG153+180)</f>
        <v>-8.88099278679439</v>
      </c>
      <c r="BI153" s="0" t="n">
        <f aca="false">IF(BH153&gt;180,BH153-360,BH153)</f>
        <v>-8.88099278679439</v>
      </c>
      <c r="BJ153" s="0" t="n">
        <f aca="false">SUM((BF154&lt;0)*(BF153&gt;0))*A153</f>
        <v>0</v>
      </c>
      <c r="BK153" s="0" t="n">
        <f aca="false">IF(BJ153&gt;0,BI153,0)</f>
        <v>0</v>
      </c>
      <c r="BM153" s="0" t="n">
        <f aca="false">20*LOG(J153*F153*C153)</f>
        <v>17.191111580754</v>
      </c>
      <c r="BN153" s="0" t="n">
        <f aca="false">(H153+D153)*180/Pi</f>
        <v>-135.902258500347</v>
      </c>
      <c r="BQ153" s="347" t="n">
        <f aca="false">20*LOG(BA153*7)</f>
        <v>49.6212604500936</v>
      </c>
      <c r="BR153" s="353"/>
      <c r="BS153" s="353"/>
      <c r="BT153" s="353" t="n">
        <v>2691.535</v>
      </c>
      <c r="BU153" s="353" t="n">
        <v>6.88093</v>
      </c>
      <c r="BV153" s="353" t="n">
        <v>-251.244</v>
      </c>
      <c r="BW153" s="349"/>
      <c r="BY153" s="353"/>
      <c r="BZ153" s="353"/>
      <c r="CA153" s="353"/>
      <c r="CC153" s="353"/>
    </row>
    <row r="154" customFormat="false" ht="12.75" hidden="false" customHeight="false" outlineLevel="0" collapsed="false">
      <c r="A154" s="0" t="n">
        <f aca="false">A153+500</f>
        <v>60000</v>
      </c>
      <c r="B154" s="0" t="n">
        <f aca="false">A154/1000</f>
        <v>60</v>
      </c>
      <c r="C154" s="0" t="n">
        <f aca="false">SQRT((A154/Fesr)^2+1)</f>
        <v>1.00000007106115</v>
      </c>
      <c r="D154" s="0" t="n">
        <f aca="false">ATAN(A154/Fesr)</f>
        <v>0.000376991100140386</v>
      </c>
      <c r="F154" s="0" t="n">
        <f aca="false">(Ro/(Ro+Rdcr))/SQRT((A154/(Q*Fo))^2+(1-(A154^2/Fo^2))^2)</f>
        <v>0.786262226957022</v>
      </c>
      <c r="G154" s="0" t="n">
        <f aca="false">-ATAN(A154*Fo/(Q*(Fo^2-A154^2)))</f>
        <v>0.755834097746076</v>
      </c>
      <c r="H154" s="0" t="n">
        <f aca="false">IF(G154&gt;0,G154-Pi,G154)</f>
        <v>-2.38575855225392</v>
      </c>
      <c r="J154" s="0" t="n">
        <f aca="false">Vin/Vramp</f>
        <v>9</v>
      </c>
      <c r="M154" s="0" t="n">
        <f aca="false">1/(2*Pi*_Rfb1*(Cc1ea_u+Cc2ea_u)*A154)</f>
        <v>0.098243792144294</v>
      </c>
      <c r="N154" s="0" t="n">
        <f aca="false">-Pi/2</f>
        <v>-1.570796325</v>
      </c>
      <c r="O154" s="0" t="n">
        <f aca="false">SQRT(1+(A154/Fz1_u)^2)</f>
        <v>1.77437257853307</v>
      </c>
      <c r="P154" s="0" t="n">
        <f aca="false">ATAN2(Fz1_u,A154)</f>
        <v>0.972083696150974</v>
      </c>
      <c r="Q154" s="0" t="n">
        <f aca="false">SQRT(1+(A154/Fz2_u)^2)</f>
        <v>1663.20669908757</v>
      </c>
      <c r="R154" s="0" t="n">
        <f aca="false">ATAN2(Fz2_u,A154)</f>
        <v>1.57019507857915</v>
      </c>
      <c r="S154" s="0" t="n">
        <f aca="false">1/SQRT(1+(A154/Fp1_u)^2)</f>
        <v>0.219463558428871</v>
      </c>
      <c r="T154" s="0" t="n">
        <f aca="false">-ATAN2(Fp1_u,A154)</f>
        <v>-1.34953173677794</v>
      </c>
      <c r="U154" s="0" t="n">
        <f aca="false">1/SQRT(1+(A154/Fp2_u)^2)</f>
        <v>0.986996394560625</v>
      </c>
      <c r="V154" s="0" t="n">
        <f aca="false">-ATAN2(Fp2_u,A154)</f>
        <v>-0.161442781615363</v>
      </c>
      <c r="X154" s="0" t="n">
        <f aca="false">20*LOG(C154*J154*O154*Q154*F154*M154*S154*U154)</f>
        <v>52.9556819132737</v>
      </c>
      <c r="Y154" s="0" t="n">
        <f aca="false">(180/Pi)*(D154+H154+N154+P154+R154+T154+V154)</f>
        <v>-167.582914789113</v>
      </c>
      <c r="Z154" s="0" t="n">
        <f aca="false">Y154+180</f>
        <v>12.4170852108869</v>
      </c>
      <c r="AC154" s="0" t="n">
        <v>1</v>
      </c>
      <c r="AD154" s="0" t="n">
        <f aca="false">Rcea1_u*Cc1ea_u*A154*2*Pi</f>
        <v>1.465741466784</v>
      </c>
      <c r="AE154" s="0" t="n">
        <f aca="false">-Rcea1_u*Cc1ea_u*Cc2ea_u*(A154*2*Pi)^2</f>
        <v>-8.2885727139279E-005</v>
      </c>
      <c r="AF154" s="0" t="n">
        <f aca="false">(Cc2ea_u+Cc1ea_u)*A154*2*Pi</f>
        <v>0.0005089380093</v>
      </c>
      <c r="AG154" s="0" t="n">
        <f aca="false">AC154*AE154/(AE154^2+AF154^2)+AD154*AF154/(AE154^2+AF154^2)</f>
        <v>2493.85442016172</v>
      </c>
      <c r="AH154" s="0" t="n">
        <f aca="false">AD154*AE154/(AE154^2+AF154^2)-AC154*AF154/(AE154^2+AF154^2)</f>
        <v>-2371.02538019184</v>
      </c>
      <c r="AJ154" s="0" t="n">
        <f aca="false">_Rfb1</f>
        <v>20000</v>
      </c>
      <c r="AK154" s="0" t="n">
        <f aca="false">_Rfb1*Rcea2_u*Cc3ea_u*A154*2*Pi</f>
        <v>88909.58526912</v>
      </c>
      <c r="AL154" s="0" t="n">
        <v>1</v>
      </c>
      <c r="AM154" s="0" t="n">
        <f aca="false">(_Rfb1+Rcea2_u)*Cc3ea_u*A154*2*Pi</f>
        <v>1663.20639846346</v>
      </c>
      <c r="AN154" s="0" t="n">
        <f aca="false">AJ154*AL154/(AL154^2+AM154^2)+AK154*AM154/(AL154^2+AM154^2)</f>
        <v>53.4639466105514</v>
      </c>
      <c r="AO154" s="0" t="n">
        <f aca="false">AK154*AL154/(AL154^2+AM154^2)-AJ154*AM154/(AL154^2+AM154^2)</f>
        <v>-11.9928206576267</v>
      </c>
      <c r="AQ154" s="0" t="n">
        <f aca="false">Eadcg/(1+(Eadcg*A154/GBP)^2)</f>
        <v>3.15939539443683</v>
      </c>
      <c r="AR154" s="0" t="n">
        <f aca="false">-(A154*Eadcg*Eadcg/GBP)/(1+(Eadcg*A154/GBP)^2)</f>
        <v>-99.9000823720924</v>
      </c>
      <c r="AT154" s="0" t="n">
        <f aca="false">-AR154*AH154+AG154*AQ154</f>
        <v>-228986.558618032</v>
      </c>
      <c r="AU154" s="0" t="n">
        <f aca="false">AQ154*AH154+AG154*AR154</f>
        <v>-256627.268664434</v>
      </c>
      <c r="AV154" s="0" t="n">
        <f aca="false">ATAN2(AT154,AU154)</f>
        <v>-2.2993367229868</v>
      </c>
      <c r="AW154" s="0" t="n">
        <f aca="false">AG154-AH154*AO154/_Rfb2+AG154*AN154/_Rfb2+AN154-AO154*AR154+AQ154*AN154</f>
        <v>1565.35154972804</v>
      </c>
      <c r="AX154" s="0" t="n">
        <f aca="false">AH154+AH154*AN154/_Rfb2+AG154*AO154/_Rfb2+AO154+AO154*AQ154+AN154*AR154</f>
        <v>-7832.46365894844</v>
      </c>
      <c r="AY154" s="0" t="n">
        <f aca="false">ATAN2(AW154,AX154)</f>
        <v>-1.37354086605436</v>
      </c>
      <c r="BA154" s="0" t="n">
        <f aca="false">SQRT(AT154^2+AU154^2)/SQRT(AW154^2+AX154^2)</f>
        <v>43.0601487836296</v>
      </c>
      <c r="BB154" s="0" t="n">
        <f aca="false">20*LOG(BA154)</f>
        <v>32.6815105217316</v>
      </c>
      <c r="BC154" s="0" t="n">
        <f aca="false">AV154-AY154</f>
        <v>-0.925795856932443</v>
      </c>
      <c r="BD154" s="0" t="n">
        <f aca="false">BC154*180/Pi-180</f>
        <v>-233.044195353538</v>
      </c>
      <c r="BF154" s="0" t="n">
        <f aca="false">20*LOG(BA154*J154*F154*C154)</f>
        <v>49.6777095698486</v>
      </c>
      <c r="BG154" s="0" t="n">
        <f aca="false">(180/Pi)*(D154+H154+BC154)</f>
        <v>-189.716491492148</v>
      </c>
      <c r="BH154" s="0" t="n">
        <f aca="false">IF(BG154&gt;180,BG154-180,BG154+180)</f>
        <v>-9.71649149214835</v>
      </c>
      <c r="BI154" s="0" t="n">
        <f aca="false">IF(BH154&gt;180,BH154-360,BH154)</f>
        <v>-9.71649149214835</v>
      </c>
      <c r="BJ154" s="0" t="n">
        <f aca="false">SUM((BF155&lt;0)*(BF154&gt;0))*A154</f>
        <v>0</v>
      </c>
      <c r="BK154" s="0" t="n">
        <f aca="false">IF(BJ154&gt;0,BI154,0)</f>
        <v>0</v>
      </c>
      <c r="BM154" s="0" t="n">
        <f aca="false">20*LOG(J154*F154*C154)</f>
        <v>16.996199048117</v>
      </c>
      <c r="BN154" s="0" t="n">
        <f aca="false">(H154+D154)*180/Pi</f>
        <v>-136.67229613861</v>
      </c>
      <c r="BQ154" s="347" t="n">
        <f aca="false">20*LOG(BA154*7)</f>
        <v>49.5834713220167</v>
      </c>
      <c r="BR154" s="353"/>
      <c r="BS154" s="353"/>
      <c r="BT154" s="353" t="n">
        <v>2754.229</v>
      </c>
      <c r="BU154" s="353" t="n">
        <v>6.70094</v>
      </c>
      <c r="BV154" s="353" t="n">
        <v>-251.051</v>
      </c>
      <c r="BW154" s="349"/>
      <c r="BY154" s="353"/>
      <c r="BZ154" s="353"/>
      <c r="CA154" s="353"/>
      <c r="CC154" s="353"/>
    </row>
    <row r="155" customFormat="false" ht="12.75" hidden="false" customHeight="false" outlineLevel="0" collapsed="false">
      <c r="A155" s="0" t="n">
        <f aca="false">A154+500</f>
        <v>60500</v>
      </c>
      <c r="B155" s="0" t="n">
        <f aca="false">A155/1000</f>
        <v>60.5</v>
      </c>
      <c r="C155" s="0" t="n">
        <f aca="false">SQRT((A155/Fesr)^2+1)</f>
        <v>1.00000007225044</v>
      </c>
      <c r="D155" s="0" t="n">
        <f aca="false">ATAN(A155/Fesr)</f>
        <v>0.000380132692340165</v>
      </c>
      <c r="F155" s="0" t="n">
        <f aca="false">(Ro/(Ro+Rdcr))/SQRT((A155/(Q*Fo))^2+(1-(A155^2/Fo^2))^2)</f>
        <v>0.768946656394596</v>
      </c>
      <c r="G155" s="0" t="n">
        <f aca="false">-ATAN(A155*Fo/(Q*(Fo^2-A155^2)))</f>
        <v>0.7428374517201</v>
      </c>
      <c r="H155" s="0" t="n">
        <f aca="false">IF(G155&gt;0,G155-Pi,G155)</f>
        <v>-2.3987551982799</v>
      </c>
      <c r="J155" s="0" t="n">
        <f aca="false">Vin/Vramp</f>
        <v>9</v>
      </c>
      <c r="M155" s="0" t="n">
        <f aca="false">1/(2*Pi*_Rfb1*(Cc1ea_u+Cc2ea_u)*A155)</f>
        <v>0.0974318599778123</v>
      </c>
      <c r="N155" s="0" t="n">
        <f aca="false">-Pi/2</f>
        <v>-1.570796325</v>
      </c>
      <c r="O155" s="0" t="n">
        <f aca="false">SQRT(1+(A155/Fz1_u)^2)</f>
        <v>1.78447579862634</v>
      </c>
      <c r="P155" s="0" t="n">
        <f aca="false">ATAN2(Fz1_u,A155)</f>
        <v>0.975941336415545</v>
      </c>
      <c r="Q155" s="0" t="n">
        <f aca="false">SQRT(1+(A155/Fz2_u)^2)</f>
        <v>1677.06674992361</v>
      </c>
      <c r="R155" s="0" t="n">
        <f aca="false">ATAN2(Fz2_u,A155)</f>
        <v>1.57020004757148</v>
      </c>
      <c r="S155" s="0" t="n">
        <f aca="false">1/SQRT(1+(A155/Fp1_u)^2)</f>
        <v>0.217736139221139</v>
      </c>
      <c r="T155" s="0" t="n">
        <f aca="false">-ATAN2(Fp1_u,A155)</f>
        <v>-1.35130197007038</v>
      </c>
      <c r="U155" s="0" t="n">
        <f aca="false">1/SQRT(1+(A155/Fp2_u)^2)</f>
        <v>0.986783060519494</v>
      </c>
      <c r="V155" s="0" t="n">
        <f aca="false">-ATAN2(Fp2_u,A155)</f>
        <v>-0.16276459759349</v>
      </c>
      <c r="X155" s="0" t="n">
        <f aca="false">20*LOG(C155*J155*O155*Q155*F155*M155*S155*U155)</f>
        <v>52.7410592299176</v>
      </c>
      <c r="Y155" s="0" t="n">
        <f aca="false">(180/Pi)*(D155+H155+N155+P155+R155+T155+V155)</f>
        <v>-168.283237919974</v>
      </c>
      <c r="Z155" s="0" t="n">
        <f aca="false">Y155+180</f>
        <v>11.7167620800257</v>
      </c>
      <c r="AC155" s="0" t="n">
        <v>1</v>
      </c>
      <c r="AD155" s="0" t="n">
        <f aca="false">Rcea1_u*Cc1ea_u*A155*2*Pi</f>
        <v>1.4779559790072</v>
      </c>
      <c r="AE155" s="0" t="n">
        <f aca="false">-Rcea1_u*Cc1ea_u*Cc2ea_u*(A155*2*Pi)^2</f>
        <v>-8.42729118782072E-005</v>
      </c>
      <c r="AF155" s="0" t="n">
        <f aca="false">(Cc2ea_u+Cc1ea_u)*A155*2*Pi</f>
        <v>0.0005131791593775</v>
      </c>
      <c r="AG155" s="0" t="n">
        <f aca="false">AC155*AE155/(AE155^2+AF155^2)+AD155*AF155/(AE155^2+AF155^2)</f>
        <v>2492.77646983224</v>
      </c>
      <c r="AH155" s="0" t="n">
        <f aca="false">AD155*AE155/(AE155^2+AF155^2)-AC155*AF155/(AE155^2+AF155^2)</f>
        <v>-2357.99429821369</v>
      </c>
      <c r="AJ155" s="0" t="n">
        <f aca="false">_Rfb1</f>
        <v>20000</v>
      </c>
      <c r="AK155" s="0" t="n">
        <f aca="false">_Rfb1*Rcea2_u*Cc3ea_u*A155*2*Pi</f>
        <v>89650.498479696</v>
      </c>
      <c r="AL155" s="0" t="n">
        <v>1</v>
      </c>
      <c r="AM155" s="0" t="n">
        <f aca="false">(_Rfb1+Rcea2_u)*Cc3ea_u*A155*2*Pi</f>
        <v>1677.06645178398</v>
      </c>
      <c r="AN155" s="0" t="n">
        <f aca="false">AJ155*AL155/(AL155^2+AM155^2)+AK155*AM155/(AL155^2+AM155^2)</f>
        <v>53.463827918581</v>
      </c>
      <c r="AO155" s="0" t="n">
        <f aca="false">AK155*AL155/(AL155^2+AM155^2)-AJ155*AM155/(AL155^2+AM155^2)</f>
        <v>-11.8937065080893</v>
      </c>
      <c r="AQ155" s="0" t="n">
        <f aca="false">Eadcg/(1+(Eadcg*A155/GBP)^2)</f>
        <v>3.1074408821982</v>
      </c>
      <c r="AR155" s="0" t="n">
        <f aca="false">-(A155*Eadcg*Eadcg/GBP)/(1+(Eadcg*A155/GBP)^2)</f>
        <v>-99.0760913675663</v>
      </c>
      <c r="AT155" s="0" t="n">
        <f aca="false">-AR155*AH155+AG155*AQ155</f>
        <v>-225874.703021482</v>
      </c>
      <c r="AU155" s="0" t="n">
        <f aca="false">AQ155*AH155+AG155*AR155</f>
        <v>-254301.877166278</v>
      </c>
      <c r="AV155" s="0" t="n">
        <f aca="false">ATAN2(AT155,AU155)</f>
        <v>-2.29706200790797</v>
      </c>
      <c r="AW155" s="0" t="n">
        <f aca="false">AG155-AH155*AO155/_Rfb2+AG155*AN155/_Rfb2+AN155-AO155*AR155+AQ155*AN155</f>
        <v>1581.34666569071</v>
      </c>
      <c r="AX155" s="0" t="n">
        <f aca="false">AH155+AH155*AN155/_Rfb2+AG155*AO155/_Rfb2+AO155+AO155*AQ155+AN155*AR155</f>
        <v>-7773.90618318887</v>
      </c>
      <c r="AY155" s="0" t="n">
        <f aca="false">ATAN2(AW155,AX155)</f>
        <v>-1.37011711339266</v>
      </c>
      <c r="BA155" s="0" t="n">
        <f aca="false">SQRT(AT155^2+AU155^2)/SQRT(AW155^2+AX155^2)</f>
        <v>42.8747984885799</v>
      </c>
      <c r="BB155" s="0" t="n">
        <f aca="false">20*LOG(BA155)</f>
        <v>32.6440418374581</v>
      </c>
      <c r="BC155" s="0" t="n">
        <f aca="false">AV155-AY155</f>
        <v>-0.926944894515304</v>
      </c>
      <c r="BD155" s="0" t="n">
        <f aca="false">BC155*180/Pi-180</f>
        <v>-233.110030357613</v>
      </c>
      <c r="BF155" s="0" t="n">
        <f aca="false">20*LOG(BA155*J155*F155*C155)</f>
        <v>49.4468169105081</v>
      </c>
      <c r="BG155" s="0" t="n">
        <f aca="false">(180/Pi)*(D155+H155+BC155)</f>
        <v>-190.526799462214</v>
      </c>
      <c r="BH155" s="0" t="n">
        <f aca="false">IF(BG155&gt;180,BG155-180,BG155+180)</f>
        <v>-10.526799462214</v>
      </c>
      <c r="BI155" s="0" t="n">
        <f aca="false">IF(BH155&gt;180,BH155-360,BH155)</f>
        <v>-10.526799462214</v>
      </c>
      <c r="BJ155" s="0" t="n">
        <f aca="false">SUM((BF156&lt;0)*(BF155&gt;0))*A155</f>
        <v>0</v>
      </c>
      <c r="BK155" s="0" t="n">
        <f aca="false">IF(BJ155&gt;0,BI155,0)</f>
        <v>0</v>
      </c>
      <c r="BM155" s="0" t="n">
        <f aca="false">20*LOG(J155*F155*C155)</f>
        <v>16.8027750730501</v>
      </c>
      <c r="BN155" s="0" t="n">
        <f aca="false">(H155+D155)*180/Pi</f>
        <v>-137.416769104601</v>
      </c>
      <c r="BQ155" s="347" t="n">
        <f aca="false">20*LOG(BA155*7)</f>
        <v>49.5460026377432</v>
      </c>
      <c r="BR155" s="353"/>
      <c r="BS155" s="353"/>
      <c r="BT155" s="353" t="n">
        <v>2818.383</v>
      </c>
      <c r="BU155" s="353" t="n">
        <v>6.53562</v>
      </c>
      <c r="BV155" s="353" t="n">
        <v>-250.48</v>
      </c>
      <c r="BW155" s="349"/>
      <c r="BY155" s="353"/>
      <c r="BZ155" s="353"/>
      <c r="CA155" s="353"/>
      <c r="CC155" s="353"/>
    </row>
    <row r="156" customFormat="false" ht="12.75" hidden="false" customHeight="false" outlineLevel="0" collapsed="false">
      <c r="A156" s="0" t="n">
        <f aca="false">A155+500</f>
        <v>61000</v>
      </c>
      <c r="B156" s="0" t="n">
        <f aca="false">A156/1000</f>
        <v>61</v>
      </c>
      <c r="C156" s="0" t="n">
        <f aca="false">SQRT((A156/Fesr)^2+1)</f>
        <v>1.00000007344959</v>
      </c>
      <c r="D156" s="0" t="n">
        <f aca="false">ATAN(A156/Fesr)</f>
        <v>0.00038327428453244</v>
      </c>
      <c r="F156" s="0" t="n">
        <f aca="false">(Ro/(Ro+Rdcr))/SQRT((A156/(Q*Fo))^2+(1-(A156^2/Fo^2))^2)</f>
        <v>0.752145190511585</v>
      </c>
      <c r="G156" s="0" t="n">
        <f aca="false">-ATAN(A156*Fo/(Q*(Fo^2-A156^2)))</f>
        <v>0.730268172999587</v>
      </c>
      <c r="H156" s="0" t="n">
        <f aca="false">IF(G156&gt;0,G156-Pi,G156)</f>
        <v>-2.41132447700041</v>
      </c>
      <c r="J156" s="0" t="n">
        <f aca="false">Vin/Vramp</f>
        <v>9</v>
      </c>
      <c r="M156" s="0" t="n">
        <f aca="false">1/(2*Pi*_Rfb1*(Cc1ea_u+Cc2ea_u)*A156)</f>
        <v>0.0966332381747155</v>
      </c>
      <c r="N156" s="0" t="n">
        <f aca="false">-Pi/2</f>
        <v>-1.570796325</v>
      </c>
      <c r="O156" s="0" t="n">
        <f aca="false">SQRT(1+(A156/Fz1_u)^2)</f>
        <v>1.79460527496546</v>
      </c>
      <c r="P156" s="0" t="n">
        <f aca="false">ATAN2(Fz1_u,A156)</f>
        <v>0.979755484751192</v>
      </c>
      <c r="Q156" s="0" t="n">
        <f aca="false">SQRT(1+(A156/Fz2_u)^2)</f>
        <v>1690.92680080037</v>
      </c>
      <c r="R156" s="0" t="n">
        <f aca="false">ATAN2(Fz2_u,A156)</f>
        <v>1.57020493510496</v>
      </c>
      <c r="S156" s="0" t="n">
        <f aca="false">1/SQRT(1+(A156/Fp1_u)^2)</f>
        <v>0.216035039800765</v>
      </c>
      <c r="T156" s="0" t="n">
        <f aca="false">-ATAN2(Fp1_u,A156)</f>
        <v>-1.35304454827486</v>
      </c>
      <c r="U156" s="0" t="n">
        <f aca="false">1/SQRT(1+(A156/Fp2_u)^2)</f>
        <v>0.986568096070265</v>
      </c>
      <c r="V156" s="0" t="n">
        <f aca="false">-ATAN2(Fp2_u,A156)</f>
        <v>-0.16408583998075</v>
      </c>
      <c r="X156" s="0" t="n">
        <f aca="false">20*LOG(C156*J156*O156*Q156*F156*M156*S156*U156)</f>
        <v>52.5283153800257</v>
      </c>
      <c r="Y156" s="0" t="n">
        <f aca="false">(180/Pi)*(D156+H156+N156+P156+R156+T156+V156)</f>
        <v>-168.959953894965</v>
      </c>
      <c r="Z156" s="0" t="n">
        <f aca="false">Y156+180</f>
        <v>11.0400461050345</v>
      </c>
      <c r="AC156" s="0" t="n">
        <v>1</v>
      </c>
      <c r="AD156" s="0" t="n">
        <f aca="false">Rcea1_u*Cc1ea_u*A156*2*Pi</f>
        <v>1.4901704912304</v>
      </c>
      <c r="AE156" s="0" t="n">
        <f aca="false">-Rcea1_u*Cc1ea_u*Cc2ea_u*(A156*2*Pi)^2</f>
        <v>-8.56716085236825E-005</v>
      </c>
      <c r="AF156" s="0" t="n">
        <f aca="false">(Cc2ea_u+Cc1ea_u)*A156*2*Pi</f>
        <v>0.000517420309455</v>
      </c>
      <c r="AG156" s="0" t="n">
        <f aca="false">AC156*AE156/(AE156^2+AF156^2)+AD156*AF156/(AE156^2+AF156^2)</f>
        <v>2491.69051695029</v>
      </c>
      <c r="AH156" s="0" t="n">
        <f aca="false">AD156*AE156/(AE156^2+AF156^2)-AC156*AF156/(AE156^2+AF156^2)</f>
        <v>-2345.22517256519</v>
      </c>
      <c r="AJ156" s="0" t="n">
        <f aca="false">_Rfb1</f>
        <v>20000</v>
      </c>
      <c r="AK156" s="0" t="n">
        <f aca="false">_Rfb1*Rcea2_u*Cc3ea_u*A156*2*Pi</f>
        <v>90391.411690272</v>
      </c>
      <c r="AL156" s="0" t="n">
        <v>1</v>
      </c>
      <c r="AM156" s="0" t="n">
        <f aca="false">(_Rfb1+Rcea2_u)*Cc3ea_u*A156*2*Pi</f>
        <v>1690.92650510451</v>
      </c>
      <c r="AN156" s="0" t="n">
        <f aca="false">AJ156*AL156/(AL156^2+AM156^2)+AK156*AM156/(AL156^2+AM156^2)</f>
        <v>53.4637121332859</v>
      </c>
      <c r="AO156" s="0" t="n">
        <f aca="false">AK156*AL156/(AL156^2+AM156^2)-AJ156*AM156/(AL156^2+AM156^2)</f>
        <v>-11.7962171789565</v>
      </c>
      <c r="AQ156" s="0" t="n">
        <f aca="false">Eadcg/(1+(Eadcg*A156/GBP)^2)</f>
        <v>3.05675704996182</v>
      </c>
      <c r="AR156" s="0" t="n">
        <f aca="false">-(A156*Eadcg*Eadcg/GBP)/(1+(Eadcg*A156/GBP)^2)</f>
        <v>-98.2655688851227</v>
      </c>
      <c r="AT156" s="0" t="n">
        <f aca="false">-AR156*AH156+AG156*AQ156</f>
        <v>-222838.393191818</v>
      </c>
      <c r="AU156" s="0" t="n">
        <f aca="false">AQ156*AH156+AG156*AR156</f>
        <v>-252016.169713772</v>
      </c>
      <c r="AV156" s="0" t="n">
        <f aca="false">ATAN2(AT156,AU156)</f>
        <v>-2.29482593486074</v>
      </c>
      <c r="AW156" s="0" t="n">
        <f aca="false">AG156-AH156*AO156/_Rfb2+AG156*AN156/_Rfb2+AN156-AO156*AR156+AQ156*AN156</f>
        <v>1596.91542385596</v>
      </c>
      <c r="AX156" s="0" t="n">
        <f aca="false">AH156+AH156*AN156/_Rfb2+AG156*AO156/_Rfb2+AO156+AO156*AQ156+AN156*AR156</f>
        <v>-7716.37128195409</v>
      </c>
      <c r="AY156" s="0" t="n">
        <f aca="false">ATAN2(AW156,AX156)</f>
        <v>-1.3667255541035</v>
      </c>
      <c r="BA156" s="0" t="n">
        <f aca="false">SQRT(AT156^2+AU156^2)/SQRT(AW156^2+AX156^2)</f>
        <v>42.691780764489</v>
      </c>
      <c r="BB156" s="0" t="n">
        <f aca="false">20*LOG(BA156)</f>
        <v>32.606885410467</v>
      </c>
      <c r="BC156" s="0" t="n">
        <f aca="false">AV156-AY156</f>
        <v>-0.928100380757241</v>
      </c>
      <c r="BD156" s="0" t="n">
        <f aca="false">BC156*180/Pi-180</f>
        <v>-233.176234842637</v>
      </c>
      <c r="BF156" s="0" t="n">
        <f aca="false">20*LOG(BA156*J156*F156*C156)</f>
        <v>49.2177698935203</v>
      </c>
      <c r="BG156" s="0" t="n">
        <f aca="false">(180/Pi)*(D156+H156+BC156)</f>
        <v>-191.312990570296</v>
      </c>
      <c r="BH156" s="0" t="n">
        <f aca="false">IF(BG156&gt;180,BG156-180,BG156+180)</f>
        <v>-11.3129905702963</v>
      </c>
      <c r="BI156" s="0" t="n">
        <f aca="false">IF(BH156&gt;180,BH156-360,BH156)</f>
        <v>-11.3129905702963</v>
      </c>
      <c r="BJ156" s="0" t="n">
        <f aca="false">SUM((BF157&lt;0)*(BF156&gt;0))*A156</f>
        <v>0</v>
      </c>
      <c r="BK156" s="0" t="n">
        <f aca="false">IF(BJ156&gt;0,BI156,0)</f>
        <v>0</v>
      </c>
      <c r="BM156" s="0" t="n">
        <f aca="false">20*LOG(J156*F156*C156)</f>
        <v>16.6108844830533</v>
      </c>
      <c r="BN156" s="0" t="n">
        <f aca="false">(H156+D156)*180/Pi</f>
        <v>-138.136755727659</v>
      </c>
      <c r="BQ156" s="347" t="n">
        <f aca="false">20*LOG(BA156*7)</f>
        <v>49.5088462107521</v>
      </c>
      <c r="BR156" s="353"/>
      <c r="BS156" s="353"/>
      <c r="BT156" s="353" t="n">
        <v>2884.032</v>
      </c>
      <c r="BU156" s="353" t="n">
        <v>6.32652</v>
      </c>
      <c r="BV156" s="353" t="n">
        <v>-250.202</v>
      </c>
      <c r="BW156" s="349"/>
      <c r="BY156" s="353"/>
      <c r="BZ156" s="353"/>
      <c r="CA156" s="353"/>
      <c r="CC156" s="353"/>
    </row>
    <row r="157" customFormat="false" ht="12.75" hidden="false" customHeight="false" outlineLevel="0" collapsed="false">
      <c r="A157" s="0" t="n">
        <f aca="false">A156+500</f>
        <v>61500</v>
      </c>
      <c r="B157" s="0" t="n">
        <f aca="false">A157/1000</f>
        <v>61.5</v>
      </c>
      <c r="C157" s="0" t="n">
        <f aca="false">SQRT((A157/Fesr)^2+1)</f>
        <v>1.00000007465862</v>
      </c>
      <c r="D157" s="0" t="n">
        <f aca="false">ATAN(A157/Fesr)</f>
        <v>0.000386415876717149</v>
      </c>
      <c r="F157" s="0" t="n">
        <f aca="false">(Ro/(Ro+Rdcr))/SQRT((A157/(Q*Fo))^2+(1-(A157^2/Fo^2))^2)</f>
        <v>0.735843848332141</v>
      </c>
      <c r="G157" s="0" t="n">
        <f aca="false">-ATAN(A157*Fo/(Q*(Fo^2-A157^2)))</f>
        <v>0.718108218484941</v>
      </c>
      <c r="H157" s="0" t="n">
        <f aca="false">IF(G157&gt;0,G157-Pi,G157)</f>
        <v>-2.42348443151506</v>
      </c>
      <c r="J157" s="0" t="n">
        <f aca="false">Vin/Vramp</f>
        <v>9</v>
      </c>
      <c r="M157" s="0" t="n">
        <f aca="false">1/(2*Pi*_Rfb1*(Cc1ea_u+Cc2ea_u)*A157)</f>
        <v>0.0958476020919942</v>
      </c>
      <c r="N157" s="0" t="n">
        <f aca="false">-Pi/2</f>
        <v>-1.570796325</v>
      </c>
      <c r="O157" s="0" t="n">
        <f aca="false">SQRT(1+(A157/Fz1_u)^2)</f>
        <v>1.80476056544969</v>
      </c>
      <c r="P157" s="0" t="n">
        <f aca="false">ATAN2(Fz1_u,A157)</f>
        <v>0.983526763423139</v>
      </c>
      <c r="Q157" s="0" t="n">
        <f aca="false">SQRT(1+(A157/Fz2_u)^2)</f>
        <v>1704.78685171687</v>
      </c>
      <c r="R157" s="0" t="n">
        <f aca="false">ATAN2(Fz2_u,A157)</f>
        <v>1.57020974316637</v>
      </c>
      <c r="S157" s="0" t="n">
        <f aca="false">1/SQRT(1+(A157/Fp1_u)^2)</f>
        <v>0.214359678706874</v>
      </c>
      <c r="T157" s="0" t="n">
        <f aca="false">-ATAN2(Fp1_u,A157)</f>
        <v>-1.3547601040827</v>
      </c>
      <c r="U157" s="0" t="n">
        <f aca="false">1/SQRT(1+(A157/Fp2_u)^2)</f>
        <v>0.986351504529038</v>
      </c>
      <c r="V157" s="0" t="n">
        <f aca="false">-ATAN2(Fp2_u,A157)</f>
        <v>-0.165406504540499</v>
      </c>
      <c r="X157" s="0" t="n">
        <f aca="false">20*LOG(C157*J157*O157*Q157*F157*M157*S157*U157)</f>
        <v>52.3174789303491</v>
      </c>
      <c r="Y157" s="0" t="n">
        <f aca="false">(180/Pi)*(D157+H157+N157+P157+R157+T157+V157)</f>
        <v>-169.614096748338</v>
      </c>
      <c r="Z157" s="0" t="n">
        <f aca="false">Y157+180</f>
        <v>10.3859032516623</v>
      </c>
      <c r="AC157" s="0" t="n">
        <v>1</v>
      </c>
      <c r="AD157" s="0" t="n">
        <f aca="false">Rcea1_u*Cc1ea_u*A157*2*Pi</f>
        <v>1.5023850034536</v>
      </c>
      <c r="AE157" s="0" t="n">
        <f aca="false">-Rcea1_u*Cc1ea_u*Cc2ea_u*(A157*2*Pi)^2</f>
        <v>-8.7081817075705E-005</v>
      </c>
      <c r="AF157" s="0" t="n">
        <f aca="false">(Cc2ea_u+Cc1ea_u)*A157*2*Pi</f>
        <v>0.0005216614595325</v>
      </c>
      <c r="AG157" s="0" t="n">
        <f aca="false">AC157*AE157/(AE157^2+AF157^2)+AD157*AF157/(AE157^2+AF157^2)</f>
        <v>2490.59658364594</v>
      </c>
      <c r="AH157" s="0" t="n">
        <f aca="false">AD157*AE157/(AE157^2+AF157^2)-AC157*AF157/(AE157^2+AF157^2)</f>
        <v>-2332.71148149793</v>
      </c>
      <c r="AJ157" s="0" t="n">
        <f aca="false">_Rfb1</f>
        <v>20000</v>
      </c>
      <c r="AK157" s="0" t="n">
        <f aca="false">_Rfb1*Rcea2_u*Cc3ea_u*A157*2*Pi</f>
        <v>91132.324900848</v>
      </c>
      <c r="AL157" s="0" t="n">
        <v>1</v>
      </c>
      <c r="AM157" s="0" t="n">
        <f aca="false">(_Rfb1+Rcea2_u)*Cc3ea_u*A157*2*Pi</f>
        <v>1704.78655842504</v>
      </c>
      <c r="AN157" s="0" t="n">
        <f aca="false">AJ157*AL157/(AL157^2+AM157^2)+AK157*AM157/(AL157^2+AM157^2)</f>
        <v>53.4635991605257</v>
      </c>
      <c r="AO157" s="0" t="n">
        <f aca="false">AK157*AL157/(AL157^2+AM157^2)-AJ157*AM157/(AL157^2+AM157^2)</f>
        <v>-11.7003130405175</v>
      </c>
      <c r="AQ157" s="0" t="n">
        <f aca="false">Eadcg/(1+(Eadcg*A157/GBP)^2)</f>
        <v>3.00730280902737</v>
      </c>
      <c r="AR157" s="0" t="n">
        <f aca="false">-(A157*Eadcg*Eadcg/GBP)/(1+(Eadcg*A157/GBP)^2)</f>
        <v>-97.4681876919817</v>
      </c>
      <c r="AT157" s="0" t="n">
        <f aca="false">-AR157*AH157+AG157*AQ157</f>
        <v>-219875.182407729</v>
      </c>
      <c r="AU157" s="0" t="n">
        <f aca="false">AQ157*AH157+AG157*AR157</f>
        <v>-249769.10507077</v>
      </c>
      <c r="AV157" s="0" t="n">
        <f aca="false">ATAN2(AT157,AU157)</f>
        <v>-2.2926279815095</v>
      </c>
      <c r="AW157" s="0" t="n">
        <f aca="false">AG157-AH157*AO157/_Rfb2+AG157*AN157/_Rfb2+AN157-AO157*AR157+AQ157*AN157</f>
        <v>1612.07136853788</v>
      </c>
      <c r="AX157" s="0" t="n">
        <f aca="false">AH157+AH157*AN157/_Rfb2+AG157*AO157/_Rfb2+AO157+AO157*AQ157+AN157*AR157</f>
        <v>-7659.83345655931</v>
      </c>
      <c r="AY157" s="0" t="n">
        <f aca="false">ATAN2(AW157,AX157)</f>
        <v>-1.36336575036496</v>
      </c>
      <c r="BA157" s="0" t="n">
        <f aca="false">SQRT(AT157^2+AU157^2)/SQRT(AW157^2+AX157^2)</f>
        <v>42.5110336702728</v>
      </c>
      <c r="BB157" s="0" t="n">
        <f aca="false">20*LOG(BA157)</f>
        <v>32.5700333022772</v>
      </c>
      <c r="BC157" s="0" t="n">
        <f aca="false">AV157-AY157</f>
        <v>-0.929262231144543</v>
      </c>
      <c r="BD157" s="0" t="n">
        <f aca="false">BC157*180/Pi-180</f>
        <v>-233.242803966331</v>
      </c>
      <c r="BF157" s="0" t="n">
        <f aca="false">20*LOG(BA157*J157*F157*C157)</f>
        <v>48.9905974099125</v>
      </c>
      <c r="BG157" s="0" t="n">
        <f aca="false">(180/Pi)*(D157+H157+BC157)</f>
        <v>-192.076093767573</v>
      </c>
      <c r="BH157" s="0" t="n">
        <f aca="false">IF(BG157&gt;180,BG157-180,BG157+180)</f>
        <v>-12.0760937675734</v>
      </c>
      <c r="BI157" s="0" t="n">
        <f aca="false">IF(BH157&gt;180,BH157-360,BH157)</f>
        <v>-12.0760937675734</v>
      </c>
      <c r="BJ157" s="0" t="n">
        <f aca="false">SUM((BF158&lt;0)*(BF157&gt;0))*A157</f>
        <v>0</v>
      </c>
      <c r="BK157" s="0" t="n">
        <f aca="false">IF(BJ157&gt;0,BI157,0)</f>
        <v>0</v>
      </c>
      <c r="BM157" s="0" t="n">
        <f aca="false">20*LOG(J157*F157*C157)</f>
        <v>16.4205641076353</v>
      </c>
      <c r="BN157" s="0" t="n">
        <f aca="false">(H157+D157)*180/Pi</f>
        <v>-138.833289801242</v>
      </c>
      <c r="BQ157" s="347" t="n">
        <f aca="false">20*LOG(BA157*7)</f>
        <v>49.4719941025623</v>
      </c>
      <c r="BR157" s="353"/>
      <c r="BS157" s="353"/>
      <c r="BT157" s="353" t="n">
        <v>2951.209</v>
      </c>
      <c r="BU157" s="353" t="n">
        <v>6.18308</v>
      </c>
      <c r="BV157" s="353" t="n">
        <v>-249.926</v>
      </c>
      <c r="BW157" s="349"/>
      <c r="BY157" s="353"/>
      <c r="BZ157" s="353"/>
      <c r="CA157" s="353"/>
      <c r="CC157" s="353"/>
    </row>
    <row r="158" customFormat="false" ht="12.75" hidden="false" customHeight="false" outlineLevel="0" collapsed="false">
      <c r="A158" s="0" t="n">
        <f aca="false">A157+500</f>
        <v>62000</v>
      </c>
      <c r="B158" s="0" t="n">
        <f aca="false">A158/1000</f>
        <v>62</v>
      </c>
      <c r="C158" s="0" t="n">
        <f aca="false">SQRT((A158/Fesr)^2+1)</f>
        <v>1.00000007587752</v>
      </c>
      <c r="D158" s="0" t="n">
        <f aca="false">ATAN(A158/Fesr)</f>
        <v>0.000389557468894231</v>
      </c>
      <c r="F158" s="0" t="n">
        <f aca="false">(Ro/(Ro+Rdcr))/SQRT((A158/(Q*Fo))^2+(1-(A158^2/Fo^2))^2)</f>
        <v>0.720028420085502</v>
      </c>
      <c r="G158" s="0" t="n">
        <f aca="false">-ATAN(A158*Fo/(Q*(Fo^2-A158^2)))</f>
        <v>0.706340310919134</v>
      </c>
      <c r="H158" s="0" t="n">
        <f aca="false">IF(G158&gt;0,G158-Pi,G158)</f>
        <v>-2.43525233908087</v>
      </c>
      <c r="J158" s="0" t="n">
        <f aca="false">Vin/Vramp</f>
        <v>9</v>
      </c>
      <c r="M158" s="0" t="n">
        <f aca="false">1/(2*Pi*_Rfb1*(Cc1ea_u+Cc2ea_u)*A158)</f>
        <v>0.0950746375589942</v>
      </c>
      <c r="N158" s="0" t="n">
        <f aca="false">-Pi/2</f>
        <v>-1.570796325</v>
      </c>
      <c r="O158" s="0" t="n">
        <f aca="false">SQRT(1+(A158/Fz1_u)^2)</f>
        <v>1.81494123675903</v>
      </c>
      <c r="P158" s="0" t="n">
        <f aca="false">ATAN2(Fz1_u,A158)</f>
        <v>0.987255785665547</v>
      </c>
      <c r="Q158" s="0" t="n">
        <f aca="false">SQRT(1+(A158/Fz2_u)^2)</f>
        <v>1718.64690267214</v>
      </c>
      <c r="R158" s="0" t="n">
        <f aca="false">ATAN2(Fz2_u,A158)</f>
        <v>1.57021447367843</v>
      </c>
      <c r="S158" s="0" t="n">
        <f aca="false">1/SQRT(1+(A158/Fp1_u)^2)</f>
        <v>0.212709490992156</v>
      </c>
      <c r="T158" s="0" t="n">
        <f aca="false">-ATAN2(Fp1_u,A158)</f>
        <v>-1.3564492513503</v>
      </c>
      <c r="U158" s="0" t="n">
        <f aca="false">1/SQRT(1+(A158/Fp2_u)^2)</f>
        <v>0.986133289233071</v>
      </c>
      <c r="V158" s="0" t="n">
        <f aca="false">-ATAN2(Fp2_u,A158)</f>
        <v>-0.166726587047864</v>
      </c>
      <c r="X158" s="0" t="n">
        <f aca="false">20*LOG(C158*J158*O158*Q158*F158*M158*S158*U158)</f>
        <v>52.1085715110124</v>
      </c>
      <c r="Y158" s="0" t="n">
        <f aca="false">(180/Pi)*(D158+H158+N158+P158+R158+T158+V158)</f>
        <v>-170.246656077423</v>
      </c>
      <c r="Z158" s="0" t="n">
        <f aca="false">Y158+180</f>
        <v>9.75334392257736</v>
      </c>
      <c r="AC158" s="0" t="n">
        <v>1</v>
      </c>
      <c r="AD158" s="0" t="n">
        <f aca="false">Rcea1_u*Cc1ea_u*A158*2*Pi</f>
        <v>1.5145995156768</v>
      </c>
      <c r="AE158" s="0" t="n">
        <f aca="false">-Rcea1_u*Cc1ea_u*Cc2ea_u*(A158*2*Pi)^2</f>
        <v>-8.85035375342746E-005</v>
      </c>
      <c r="AF158" s="0" t="n">
        <f aca="false">(Cc2ea_u+Cc1ea_u)*A158*2*Pi</f>
        <v>0.00052590260961</v>
      </c>
      <c r="AG158" s="0" t="n">
        <f aca="false">AC158*AE158/(AE158^2+AF158^2)+AD158*AF158/(AE158^2+AF158^2)</f>
        <v>2489.49469218211</v>
      </c>
      <c r="AH158" s="0" t="n">
        <f aca="false">AD158*AE158/(AE158^2+AF158^2)-AC158*AF158/(AE158^2+AF158^2)</f>
        <v>-2320.44691285311</v>
      </c>
      <c r="AJ158" s="0" t="n">
        <f aca="false">_Rfb1</f>
        <v>20000</v>
      </c>
      <c r="AK158" s="0" t="n">
        <f aca="false">_Rfb1*Rcea2_u*Cc3ea_u*A158*2*Pi</f>
        <v>91873.238111424</v>
      </c>
      <c r="AL158" s="0" t="n">
        <v>1</v>
      </c>
      <c r="AM158" s="0" t="n">
        <f aca="false">(_Rfb1+Rcea2_u)*Cc3ea_u*A158*2*Pi</f>
        <v>1718.64661174557</v>
      </c>
      <c r="AN158" s="0" t="n">
        <f aca="false">AJ158*AL158/(AL158^2+AM158^2)+AK158*AM158/(AL158^2+AM158^2)</f>
        <v>53.4634889099401</v>
      </c>
      <c r="AO158" s="0" t="n">
        <f aca="false">AK158*AL158/(AL158^2+AM158^2)-AJ158*AM158/(AL158^2+AM158^2)</f>
        <v>-11.6059557414372</v>
      </c>
      <c r="AQ158" s="0" t="n">
        <f aca="false">Eadcg/(1+(Eadcg*A158/GBP)^2)</f>
        <v>2.95903871766095</v>
      </c>
      <c r="AR158" s="0" t="n">
        <f aca="false">-(A158*Eadcg*Eadcg/GBP)/(1+(Eadcg*A158/GBP)^2)</f>
        <v>-96.6836310608539</v>
      </c>
      <c r="AT158" s="0" t="n">
        <f aca="false">-AR158*AH158+AG158*AQ158</f>
        <v>-216982.722037009</v>
      </c>
      <c r="AU158" s="0" t="n">
        <f aca="false">AQ158*AH158+AG158*AR158</f>
        <v>-247559.678604298</v>
      </c>
      <c r="AV158" s="0" t="n">
        <f aca="false">ATAN2(AT158,AU158)</f>
        <v>-2.29046763120659</v>
      </c>
      <c r="AW158" s="0" t="n">
        <f aca="false">AG158-AH158*AO158/_Rfb2+AG158*AN158/_Rfb2+AN158-AO158*AR158+AQ158*AN158</f>
        <v>1626.82750220724</v>
      </c>
      <c r="AX158" s="0" t="n">
        <f aca="false">AH158+AH158*AN158/_Rfb2+AG158*AO158/_Rfb2+AO158+AO158*AQ158+AN158*AR158</f>
        <v>-7604.26804683696</v>
      </c>
      <c r="AY158" s="0" t="n">
        <f aca="false">ATAN2(AW158,AX158)</f>
        <v>-1.36003727621641</v>
      </c>
      <c r="BA158" s="0" t="n">
        <f aca="false">SQRT(AT158^2+AU158^2)/SQRT(AW158^2+AX158^2)</f>
        <v>42.3324974353461</v>
      </c>
      <c r="BB158" s="0" t="n">
        <f aca="false">20*LOG(BA158)</f>
        <v>32.5334778147413</v>
      </c>
      <c r="BC158" s="0" t="n">
        <f aca="false">AV158-AY158</f>
        <v>-0.930430354990178</v>
      </c>
      <c r="BD158" s="0" t="n">
        <f aca="false">BC158*180/Pi-180</f>
        <v>-233.309732532711</v>
      </c>
      <c r="BF158" s="0" t="n">
        <f aca="false">20*LOG(BA158*J158*F158*C158)</f>
        <v>48.7653214368479</v>
      </c>
      <c r="BG158" s="0" t="n">
        <f aca="false">(180/Pi)*(D158+H158+BC158)</f>
        <v>-192.817093771972</v>
      </c>
      <c r="BH158" s="0" t="n">
        <f aca="false">IF(BG158&gt;180,BG158-180,BG158+180)</f>
        <v>-12.8170937719717</v>
      </c>
      <c r="BI158" s="0" t="n">
        <f aca="false">IF(BH158&gt;180,BH158-360,BH158)</f>
        <v>-12.8170937719717</v>
      </c>
      <c r="BJ158" s="0" t="n">
        <f aca="false">SUM((BF159&lt;0)*(BF158&gt;0))*A158</f>
        <v>0</v>
      </c>
      <c r="BK158" s="0" t="n">
        <f aca="false">IF(BJ158&gt;0,BI158,0)</f>
        <v>0</v>
      </c>
      <c r="BM158" s="0" t="n">
        <f aca="false">20*LOG(J158*F158*C158)</f>
        <v>16.2318436221066</v>
      </c>
      <c r="BN158" s="0" t="n">
        <f aca="false">(H158+D158)*180/Pi</f>
        <v>-139.50736123926</v>
      </c>
      <c r="BQ158" s="347" t="n">
        <f aca="false">20*LOG(BA158*7)</f>
        <v>49.4354386150264</v>
      </c>
      <c r="BR158" s="353"/>
      <c r="BS158" s="353"/>
      <c r="BT158" s="353" t="n">
        <v>3019.952</v>
      </c>
      <c r="BU158" s="353" t="n">
        <v>6.01306</v>
      </c>
      <c r="BV158" s="353" t="n">
        <v>-249.651</v>
      </c>
      <c r="BW158" s="349"/>
      <c r="BY158" s="353"/>
      <c r="BZ158" s="353"/>
      <c r="CA158" s="353"/>
      <c r="CC158" s="353"/>
    </row>
    <row r="159" customFormat="false" ht="12.75" hidden="false" customHeight="false" outlineLevel="0" collapsed="false">
      <c r="A159" s="0" t="n">
        <f aca="false">A158+500</f>
        <v>62500</v>
      </c>
      <c r="B159" s="0" t="n">
        <f aca="false">A159/1000</f>
        <v>62.5</v>
      </c>
      <c r="C159" s="0" t="n">
        <f aca="false">SQRT((A159/Fesr)^2+1)</f>
        <v>1.00000007710628</v>
      </c>
      <c r="D159" s="0" t="n">
        <f aca="false">ATAN(A159/Fesr)</f>
        <v>0.000392699061063624</v>
      </c>
      <c r="F159" s="0" t="n">
        <f aca="false">(Ro/(Ro+Rdcr))/SQRT((A159/(Q*Fo))^2+(1-(A159^2/Fo^2))^2)</f>
        <v>0.704684587334858</v>
      </c>
      <c r="G159" s="0" t="n">
        <f aca="false">-ATAN(A159*Fo/(Q*(Fo^2-A159^2)))</f>
        <v>0.69494792315595</v>
      </c>
      <c r="H159" s="0" t="n">
        <f aca="false">IF(G159&gt;0,G159-Pi,G159)</f>
        <v>-2.44664472684405</v>
      </c>
      <c r="J159" s="0" t="n">
        <f aca="false">Vin/Vramp</f>
        <v>9</v>
      </c>
      <c r="M159" s="0" t="n">
        <f aca="false">1/(2*Pi*_Rfb1*(Cc1ea_u+Cc2ea_u)*A159)</f>
        <v>0.0943140404585223</v>
      </c>
      <c r="N159" s="0" t="n">
        <f aca="false">-Pi/2</f>
        <v>-1.570796325</v>
      </c>
      <c r="O159" s="0" t="n">
        <f aca="false">SQRT(1+(A159/Fz1_u)^2)</f>
        <v>1.82514686417072</v>
      </c>
      <c r="P159" s="0" t="n">
        <f aca="false">ATAN2(Fz1_u,A159)</f>
        <v>0.990943155748693</v>
      </c>
      <c r="Q159" s="0" t="n">
        <f aca="false">SQRT(1+(A159/Fz2_u)^2)</f>
        <v>1732.50695366525</v>
      </c>
      <c r="R159" s="0" t="n">
        <f aca="false">ATAN2(Fz2_u,A159)</f>
        <v>1.57021912850232</v>
      </c>
      <c r="S159" s="0" t="n">
        <f aca="false">1/SQRT(1+(A159/Fp1_u)^2)</f>
        <v>0.211083927660178</v>
      </c>
      <c r="T159" s="0" t="n">
        <f aca="false">-ATAN2(Fp1_u,A159)</f>
        <v>-1.35811258578265</v>
      </c>
      <c r="U159" s="0" t="n">
        <f aca="false">1/SQRT(1+(A159/Fp2_u)^2)</f>
        <v>0.985913453540646</v>
      </c>
      <c r="V159" s="0" t="n">
        <f aca="false">-ATAN2(Fp2_u,A159)</f>
        <v>-0.168046083289804</v>
      </c>
      <c r="X159" s="0" t="n">
        <f aca="false">20*LOG(C159*J159*O159*Q159*F159*M159*S159*U159)</f>
        <v>51.9016085770367</v>
      </c>
      <c r="Y159" s="0" t="n">
        <f aca="false">(180/Pi)*(D159+H159+N159+P159+R159+T159+V159)</f>
        <v>-170.858577979165</v>
      </c>
      <c r="Z159" s="0" t="n">
        <f aca="false">Y159+180</f>
        <v>9.14142202083539</v>
      </c>
      <c r="AC159" s="0" t="n">
        <v>1</v>
      </c>
      <c r="AD159" s="0" t="n">
        <f aca="false">Rcea1_u*Cc1ea_u*A159*2*Pi</f>
        <v>1.5268140279</v>
      </c>
      <c r="AE159" s="0" t="n">
        <f aca="false">-Rcea1_u*Cc1ea_u*Cc2ea_u*(A159*2*Pi)^2</f>
        <v>-8.99367698993913E-005</v>
      </c>
      <c r="AF159" s="0" t="n">
        <f aca="false">(Cc2ea_u+Cc1ea_u)*A159*2*Pi</f>
        <v>0.0005301437596875</v>
      </c>
      <c r="AG159" s="0" t="n">
        <f aca="false">AC159*AE159/(AE159^2+AF159^2)+AD159*AF159/(AE159^2+AF159^2)</f>
        <v>2488.38486495346</v>
      </c>
      <c r="AH159" s="0" t="n">
        <f aca="false">AD159*AE159/(AE159^2+AF159^2)-AC159*AF159/(AE159^2+AF159^2)</f>
        <v>-2308.42535568433</v>
      </c>
      <c r="AJ159" s="0" t="n">
        <f aca="false">_Rfb1</f>
        <v>20000</v>
      </c>
      <c r="AK159" s="0" t="n">
        <f aca="false">_Rfb1*Rcea2_u*Cc3ea_u*A159*2*Pi</f>
        <v>92614.151322</v>
      </c>
      <c r="AL159" s="0" t="n">
        <v>1</v>
      </c>
      <c r="AM159" s="0" t="n">
        <f aca="false">(_Rfb1+Rcea2_u)*Cc3ea_u*A159*2*Pi</f>
        <v>1732.5066650661</v>
      </c>
      <c r="AN159" s="0" t="n">
        <f aca="false">AJ159*AL159/(AL159^2+AM159^2)+AK159*AM159/(AL159^2+AM159^2)</f>
        <v>53.463381294769</v>
      </c>
      <c r="AO159" s="0" t="n">
        <f aca="false">AK159*AL159/(AL159^2+AM159^2)-AJ159*AM159/(AL159^2+AM159^2)</f>
        <v>-11.513108157621</v>
      </c>
      <c r="AQ159" s="0" t="n">
        <f aca="false">Eadcg/(1+(Eadcg*A159/GBP)^2)</f>
        <v>2.91192690253071</v>
      </c>
      <c r="AR159" s="0" t="n">
        <f aca="false">-(A159*Eadcg*Eadcg/GBP)/(1+(Eadcg*A159/GBP)^2)</f>
        <v>-95.9115923521053</v>
      </c>
      <c r="AT159" s="0" t="n">
        <f aca="false">-AR159*AH159+AG159*AQ159</f>
        <v>-214158.756857551</v>
      </c>
      <c r="AU159" s="0" t="n">
        <f aca="false">AQ159*AH159+AG159*AR159</f>
        <v>-245386.920678266</v>
      </c>
      <c r="AV159" s="0" t="n">
        <f aca="false">ATAN2(AT159,AU159)</f>
        <v>-2.28834437305915</v>
      </c>
      <c r="AW159" s="0" t="n">
        <f aca="false">AG159-AH159*AO159/_Rfb2+AG159*AN159/_Rfb2+AN159-AO159*AR159+AQ159*AN159</f>
        <v>1641.19631134349</v>
      </c>
      <c r="AX159" s="0" t="n">
        <f aca="false">AH159+AH159*AN159/_Rfb2+AG159*AO159/_Rfb2+AO159+AO159*AQ159+AN159*AR159</f>
        <v>-7549.6511968082</v>
      </c>
      <c r="AY159" s="0" t="n">
        <f aca="false">ATAN2(AW159,AX159)</f>
        <v>-1.35673971709115</v>
      </c>
      <c r="BA159" s="0" t="n">
        <f aca="false">SQRT(AT159^2+AU159^2)/SQRT(AW159^2+AX159^2)</f>
        <v>42.1561143740721</v>
      </c>
      <c r="BB159" s="0" t="n">
        <f aca="false">20*LOG(BA159)</f>
        <v>32.4972114825777</v>
      </c>
      <c r="BC159" s="0" t="n">
        <f aca="false">AV159-AY159</f>
        <v>-0.931604655967998</v>
      </c>
      <c r="BD159" s="0" t="n">
        <f aca="false">BC159*180/Pi-180</f>
        <v>-233.377015022695</v>
      </c>
      <c r="BF159" s="0" t="n">
        <f aca="false">20*LOG(BA159*J159*F159*C159)</f>
        <v>48.5419577977633</v>
      </c>
      <c r="BG159" s="0" t="n">
        <f aca="false">(180/Pi)*(D159+H159+BC159)</f>
        <v>-193.536932000136</v>
      </c>
      <c r="BH159" s="0" t="n">
        <f aca="false">IF(BG159&gt;180,BG159-180,BG159+180)</f>
        <v>-13.536932000136</v>
      </c>
      <c r="BI159" s="0" t="n">
        <f aca="false">IF(BH159&gt;180,BH159-360,BH159)</f>
        <v>-13.536932000136</v>
      </c>
      <c r="BJ159" s="0" t="n">
        <f aca="false">SUM((BF160&lt;0)*(BF159&gt;0))*A159</f>
        <v>0</v>
      </c>
      <c r="BK159" s="0" t="n">
        <f aca="false">IF(BJ159&gt;0,BI159,0)</f>
        <v>0</v>
      </c>
      <c r="BM159" s="0" t="n">
        <f aca="false">20*LOG(J159*F159*C159)</f>
        <v>16.0447463151856</v>
      </c>
      <c r="BN159" s="0" t="n">
        <f aca="false">(H159+D159)*180/Pi</f>
        <v>-140.159916977441</v>
      </c>
      <c r="BQ159" s="347" t="n">
        <f aca="false">20*LOG(BA159*7)</f>
        <v>49.3991722828629</v>
      </c>
      <c r="BR159" s="353"/>
      <c r="BS159" s="353"/>
      <c r="BT159" s="353" t="n">
        <v>3090.295</v>
      </c>
      <c r="BU159" s="353" t="n">
        <v>5.85449</v>
      </c>
      <c r="BV159" s="353" t="n">
        <v>-248.418</v>
      </c>
      <c r="BW159" s="349"/>
      <c r="BY159" s="353"/>
      <c r="BZ159" s="353"/>
      <c r="CA159" s="353"/>
      <c r="CC159" s="353"/>
    </row>
    <row r="160" customFormat="false" ht="12.75" hidden="false" customHeight="false" outlineLevel="0" collapsed="false">
      <c r="A160" s="0" t="n">
        <f aca="false">A159+500</f>
        <v>63000</v>
      </c>
      <c r="B160" s="0" t="n">
        <f aca="false">A160/1000</f>
        <v>63</v>
      </c>
      <c r="C160" s="0" t="n">
        <f aca="false">SQRT((A160/Fesr)^2+1)</f>
        <v>1.00000007834492</v>
      </c>
      <c r="D160" s="0" t="n">
        <f aca="false">ATAN(A160/Fesr)</f>
        <v>0.000395840653225265</v>
      </c>
      <c r="F160" s="0" t="n">
        <f aca="false">(Ro/(Ro+Rdcr))/SQRT((A160/(Q*Fo))^2+(1-(A160^2/Fo^2))^2)</f>
        <v>0.689798023793909</v>
      </c>
      <c r="G160" s="0" t="n">
        <f aca="false">-ATAN(A160*Fo/(Q*(Fo^2-A160^2)))</f>
        <v>0.683915259126665</v>
      </c>
      <c r="H160" s="0" t="n">
        <f aca="false">IF(G160&gt;0,G160-Pi,G160)</f>
        <v>-2.45767739087334</v>
      </c>
      <c r="J160" s="0" t="n">
        <f aca="false">Vin/Vramp</f>
        <v>9</v>
      </c>
      <c r="M160" s="0" t="n">
        <f aca="false">1/(2*Pi*_Rfb1*(Cc1ea_u+Cc2ea_u)*A160)</f>
        <v>0.0935655163278991</v>
      </c>
      <c r="N160" s="0" t="n">
        <f aca="false">-Pi/2</f>
        <v>-1.570796325</v>
      </c>
      <c r="O160" s="0" t="n">
        <f aca="false">SQRT(1+(A160/Fz1_u)^2)</f>
        <v>1.83537703137904</v>
      </c>
      <c r="P160" s="0" t="n">
        <f aca="false">ATAN2(Fz1_u,A160)</f>
        <v>0.994589469050447</v>
      </c>
      <c r="Q160" s="0" t="n">
        <f aca="false">SQRT(1+(A160/Fz2_u)^2)</f>
        <v>1746.36700469531</v>
      </c>
      <c r="R160" s="0" t="n">
        <f aca="false">ATAN2(Fz2_u,A160)</f>
        <v>1.57022370944015</v>
      </c>
      <c r="S160" s="0" t="n">
        <f aca="false">1/SQRT(1+(A160/Fp1_u)^2)</f>
        <v>0.209482455124597</v>
      </c>
      <c r="T160" s="0" t="n">
        <f aca="false">-ATAN2(Fp1_u,A160)</f>
        <v>-1.35975068558777</v>
      </c>
      <c r="U160" s="0" t="n">
        <f aca="false">1/SQRT(1+(A160/Fp2_u)^2)</f>
        <v>0.985692000830929</v>
      </c>
      <c r="V160" s="0" t="n">
        <f aca="false">-ATAN2(Fp2_u,A160)</f>
        <v>-0.16936498906519</v>
      </c>
      <c r="X160" s="0" t="n">
        <f aca="false">20*LOG(C160*J160*O160*Q160*F160*M160*S160*U160)</f>
        <v>51.696600099114</v>
      </c>
      <c r="Y160" s="0" t="n">
        <f aca="false">(180/Pi)*(D160+H160+N160+P160+R160+T160+V160)</f>
        <v>-171.450766173917</v>
      </c>
      <c r="Z160" s="0" t="n">
        <f aca="false">Y160+180</f>
        <v>8.54923382608334</v>
      </c>
      <c r="AC160" s="0" t="n">
        <v>1</v>
      </c>
      <c r="AD160" s="0" t="n">
        <f aca="false">Rcea1_u*Cc1ea_u*A160*2*Pi</f>
        <v>1.5390285401232</v>
      </c>
      <c r="AE160" s="0" t="n">
        <f aca="false">-Rcea1_u*Cc1ea_u*Cc2ea_u*(A160*2*Pi)^2</f>
        <v>-9.13815141710551E-005</v>
      </c>
      <c r="AF160" s="0" t="n">
        <f aca="false">(Cc2ea_u+Cc1ea_u)*A160*2*Pi</f>
        <v>0.000534384909765</v>
      </c>
      <c r="AG160" s="0" t="n">
        <f aca="false">AC160*AE160/(AE160^2+AF160^2)+AD160*AF160/(AE160^2+AF160^2)</f>
        <v>2487.26712448533</v>
      </c>
      <c r="AH160" s="0" t="n">
        <f aca="false">AD160*AE160/(AE160^2+AF160^2)-AC160*AF160/(AE160^2+AF160^2)</f>
        <v>-2296.64089227944</v>
      </c>
      <c r="AJ160" s="0" t="n">
        <f aca="false">_Rfb1</f>
        <v>20000</v>
      </c>
      <c r="AK160" s="0" t="n">
        <f aca="false">_Rfb1*Rcea2_u*Cc3ea_u*A160*2*Pi</f>
        <v>93355.064532576</v>
      </c>
      <c r="AL160" s="0" t="n">
        <v>1</v>
      </c>
      <c r="AM160" s="0" t="n">
        <f aca="false">(_Rfb1+Rcea2_u)*Cc3ea_u*A160*2*Pi</f>
        <v>1746.36671838663</v>
      </c>
      <c r="AN160" s="0" t="n">
        <f aca="false">AJ160*AL160/(AL160^2+AM160^2)+AK160*AM160/(AL160^2+AM160^2)</f>
        <v>53.4632762316815</v>
      </c>
      <c r="AO160" s="0" t="n">
        <f aca="false">AK160*AL160/(AL160^2+AM160^2)-AJ160*AM160/(AL160^2+AM160^2)</f>
        <v>-11.4217343435151</v>
      </c>
      <c r="AQ160" s="0" t="n">
        <f aca="false">Eadcg/(1+(Eadcg*A160/GBP)^2)</f>
        <v>2.86593098447908</v>
      </c>
      <c r="AR160" s="0" t="n">
        <f aca="false">-(A160*Eadcg*Eadcg/GBP)/(1+(Eadcg*A160/GBP)^2)</f>
        <v>-95.1517746156899</v>
      </c>
      <c r="AT160" s="0" t="n">
        <f aca="false">-AR160*AH160+AG160*AQ160</f>
        <v>-211401.120636611</v>
      </c>
      <c r="AU160" s="0" t="n">
        <f aca="false">AQ160*AH160+AG160*AR160</f>
        <v>-243249.895131448</v>
      </c>
      <c r="AV160" s="0" t="n">
        <f aca="false">ATAN2(AT160,AU160)</f>
        <v>-2.28625770198526</v>
      </c>
      <c r="AW160" s="0" t="n">
        <f aca="false">AG160-AH160*AO160/_Rfb2+AG160*AN160/_Rfb2+AN160-AO160*AR160+AQ160*AN160</f>
        <v>1655.18979085964</v>
      </c>
      <c r="AX160" s="0" t="n">
        <f aca="false">AH160+AH160*AN160/_Rfb2+AG160*AO160/_Rfb2+AO160+AO160*AQ160+AN160*AR160</f>
        <v>-7495.95982203262</v>
      </c>
      <c r="AY160" s="0" t="n">
        <f aca="false">ATAN2(AW160,AX160)</f>
        <v>-1.35347266937013</v>
      </c>
      <c r="BA160" s="0" t="n">
        <f aca="false">SQRT(AT160^2+AU160^2)/SQRT(AW160^2+AX160^2)</f>
        <v>41.9818288039184</v>
      </c>
      <c r="BB160" s="0" t="n">
        <f aca="false">20*LOG(BA160)</f>
        <v>32.4612270661333</v>
      </c>
      <c r="BC160" s="0" t="n">
        <f aca="false">AV160-AY160</f>
        <v>-0.93278503261513</v>
      </c>
      <c r="BD160" s="0" t="n">
        <f aca="false">BC160*180/Pi-180</f>
        <v>-233.444645622889</v>
      </c>
      <c r="BF160" s="0" t="n">
        <f aca="false">20*LOG(BA160*J160*F160*C160)</f>
        <v>48.320516851826</v>
      </c>
      <c r="BG160" s="0" t="n">
        <f aca="false">(180/Pi)*(D160+H160+BC160)</f>
        <v>-194.236507686744</v>
      </c>
      <c r="BH160" s="0" t="n">
        <f aca="false">IF(BG160&gt;180,BG160-180,BG160+180)</f>
        <v>-14.2365076867439</v>
      </c>
      <c r="BI160" s="0" t="n">
        <f aca="false">IF(BH160&gt;180,BH160-360,BH160)</f>
        <v>-14.2365076867439</v>
      </c>
      <c r="BJ160" s="0" t="n">
        <f aca="false">SUM((BF161&lt;0)*(BF160&gt;0))*A160</f>
        <v>0</v>
      </c>
      <c r="BK160" s="0" t="n">
        <f aca="false">IF(BJ160&gt;0,BI160,0)</f>
        <v>0</v>
      </c>
      <c r="BM160" s="0" t="n">
        <f aca="false">20*LOG(J160*F160*C160)</f>
        <v>15.8592897856926</v>
      </c>
      <c r="BN160" s="0" t="n">
        <f aca="false">(H160+D160)*180/Pi</f>
        <v>-140.791862063855</v>
      </c>
      <c r="BQ160" s="347" t="n">
        <f aca="false">20*LOG(BA160*7)</f>
        <v>49.3631878664185</v>
      </c>
      <c r="BR160" s="353"/>
      <c r="BS160" s="353"/>
      <c r="BT160" s="353" t="n">
        <v>3162.278</v>
      </c>
      <c r="BU160" s="353" t="n">
        <v>5.60993</v>
      </c>
      <c r="BV160" s="353" t="n">
        <v>-248.626</v>
      </c>
      <c r="BW160" s="349"/>
      <c r="BY160" s="353"/>
      <c r="BZ160" s="353"/>
      <c r="CA160" s="353"/>
      <c r="CC160" s="353"/>
    </row>
    <row r="161" customFormat="false" ht="12.75" hidden="false" customHeight="false" outlineLevel="0" collapsed="false">
      <c r="A161" s="0" t="n">
        <f aca="false">A160+500</f>
        <v>63500</v>
      </c>
      <c r="B161" s="0" t="n">
        <f aca="false">A161/1000</f>
        <v>63.5</v>
      </c>
      <c r="C161" s="0" t="n">
        <f aca="false">SQRT((A161/Fesr)^2+1)</f>
        <v>1.00000007959342</v>
      </c>
      <c r="D161" s="0" t="n">
        <f aca="false">ATAN(A161/Fesr)</f>
        <v>0.000398982245379092</v>
      </c>
      <c r="F161" s="0" t="n">
        <f aca="false">(Ro/(Ro+Rdcr))/SQRT((A161/(Q*Fo))^2+(1-(A161^2/Fo^2))^2)</f>
        <v>0.675354479297586</v>
      </c>
      <c r="G161" s="0" t="n">
        <f aca="false">-ATAN(A161*Fo/(Q*(Fo^2-A161^2)))</f>
        <v>0.673227232324978</v>
      </c>
      <c r="H161" s="0" t="n">
        <f aca="false">IF(G161&gt;0,G161-Pi,G161)</f>
        <v>-2.46836541767502</v>
      </c>
      <c r="J161" s="0" t="n">
        <f aca="false">Vin/Vramp</f>
        <v>9</v>
      </c>
      <c r="M161" s="0" t="n">
        <f aca="false">1/(2*Pi*_Rfb1*(Cc1ea_u+Cc2ea_u)*A161)</f>
        <v>0.0928287799788605</v>
      </c>
      <c r="N161" s="0" t="n">
        <f aca="false">-Pi/2</f>
        <v>-1.570796325</v>
      </c>
      <c r="O161" s="0" t="n">
        <f aca="false">SQRT(1+(A161/Fz1_u)^2)</f>
        <v>1.84563133031843</v>
      </c>
      <c r="P161" s="0" t="n">
        <f aca="false">ATAN2(Fz1_u,A161)</f>
        <v>0.998195312131683</v>
      </c>
      <c r="Q161" s="0" t="n">
        <f aca="false">SQRT(1+(A161/Fz2_u)^2)</f>
        <v>1760.22705576144</v>
      </c>
      <c r="R161" s="0" t="n">
        <f aca="false">ATAN2(Fz2_u,A161)</f>
        <v>1.57022821823724</v>
      </c>
      <c r="S161" s="0" t="n">
        <f aca="false">1/SQRT(1+(A161/Fp1_u)^2)</f>
        <v>0.207904554689363</v>
      </c>
      <c r="T161" s="0" t="n">
        <f aca="false">-ATAN2(Fp1_u,A161)</f>
        <v>-1.36136411210367</v>
      </c>
      <c r="U161" s="0" t="n">
        <f aca="false">1/SQRT(1+(A161/Fp2_u)^2)</f>
        <v>0.985468934503831</v>
      </c>
      <c r="V161" s="0" t="n">
        <f aca="false">-ATAN2(Fp2_u,A161)</f>
        <v>-0.170683300184866</v>
      </c>
      <c r="X161" s="0" t="n">
        <f aca="false">20*LOG(C161*J161*O161*Q161*F161*M161*S161*U161)</f>
        <v>51.4935511888951</v>
      </c>
      <c r="Y161" s="0" t="n">
        <f aca="false">(180/Pi)*(D161+H161+N161+P161+R161+T161+V161)</f>
        <v>-172.024083269633</v>
      </c>
      <c r="Z161" s="0" t="n">
        <f aca="false">Y161+180</f>
        <v>7.97591673036746</v>
      </c>
      <c r="AC161" s="0" t="n">
        <v>1</v>
      </c>
      <c r="AD161" s="0" t="n">
        <f aca="false">Rcea1_u*Cc1ea_u*A161*2*Pi</f>
        <v>1.5512430523464</v>
      </c>
      <c r="AE161" s="0" t="n">
        <f aca="false">-Rcea1_u*Cc1ea_u*Cc2ea_u*(A161*2*Pi)^2</f>
        <v>-9.2837770349266E-005</v>
      </c>
      <c r="AF161" s="0" t="n">
        <f aca="false">(Cc2ea_u+Cc1ea_u)*A161*2*Pi</f>
        <v>0.0005386260598425</v>
      </c>
      <c r="AG161" s="0" t="n">
        <f aca="false">AC161*AE161/(AE161^2+AF161^2)+AD161*AF161/(AE161^2+AF161^2)</f>
        <v>2486.14149343261</v>
      </c>
      <c r="AH161" s="0" t="n">
        <f aca="false">AD161*AE161/(AE161^2+AF161^2)-AC161*AF161/(AE161^2+AF161^2)</f>
        <v>-2285.08779055915</v>
      </c>
      <c r="AJ161" s="0" t="n">
        <f aca="false">_Rfb1</f>
        <v>20000</v>
      </c>
      <c r="AK161" s="0" t="n">
        <f aca="false">_Rfb1*Rcea2_u*Cc3ea_u*A161*2*Pi</f>
        <v>94095.977743152</v>
      </c>
      <c r="AL161" s="0" t="n">
        <v>1</v>
      </c>
      <c r="AM161" s="0" t="n">
        <f aca="false">(_Rfb1+Rcea2_u)*Cc3ea_u*A161*2*Pi</f>
        <v>1760.22677170716</v>
      </c>
      <c r="AN161" s="0" t="n">
        <f aca="false">AJ161*AL161/(AL161^2+AM161^2)+AK161*AM161/(AL161^2+AM161^2)</f>
        <v>53.4631736406143</v>
      </c>
      <c r="AO161" s="0" t="n">
        <f aca="false">AK161*AL161/(AL161^2+AM161^2)-AJ161*AM161/(AL161^2+AM161^2)</f>
        <v>-11.3317994857073</v>
      </c>
      <c r="AQ161" s="0" t="n">
        <f aca="false">Eadcg/(1+(Eadcg*A161/GBP)^2)</f>
        <v>2.82101600836008</v>
      </c>
      <c r="AR161" s="0" t="n">
        <f aca="false">-(A161*Eadcg*Eadcg/GBP)/(1+(Eadcg*A161/GBP)^2)</f>
        <v>-94.4038902117659</v>
      </c>
      <c r="AT161" s="0" t="n">
        <f aca="false">-AR161*AH161+AG161*AQ161</f>
        <v>-208707.731952171</v>
      </c>
      <c r="AU161" s="0" t="n">
        <f aca="false">AQ161*AH161+AG161*AR161</f>
        <v>-241147.697834604</v>
      </c>
      <c r="AV161" s="0" t="n">
        <f aca="false">ATAN2(AT161,AU161)</f>
        <v>-2.28420711876021</v>
      </c>
      <c r="AW161" s="0" t="n">
        <f aca="false">AG161-AH161*AO161/_Rfb2+AG161*AN161/_Rfb2+AN161-AO161*AR161+AQ161*AN161</f>
        <v>1668.81946718958</v>
      </c>
      <c r="AX161" s="0" t="n">
        <f aca="false">AH161+AH161*AN161/_Rfb2+AG161*AO161/_Rfb2+AO161+AO161*AQ161+AN161*AR161</f>
        <v>-7443.17157854102</v>
      </c>
      <c r="AY161" s="0" t="n">
        <f aca="false">ATAN2(AW161,AX161)</f>
        <v>-1.35023573995587</v>
      </c>
      <c r="BA161" s="0" t="n">
        <f aca="false">SQRT(AT161^2+AU161^2)/SQRT(AW161^2+AX161^2)</f>
        <v>41.8095869671425</v>
      </c>
      <c r="BB161" s="0" t="n">
        <f aca="false">20*LOG(BA161)</f>
        <v>32.4255175443702</v>
      </c>
      <c r="BC161" s="0" t="n">
        <f aca="false">AV161-AY161</f>
        <v>-0.933971378804336</v>
      </c>
      <c r="BD161" s="0" t="n">
        <f aca="false">BC161*180/Pi-180</f>
        <v>-233.51261825265</v>
      </c>
      <c r="BF161" s="0" t="n">
        <f aca="false">20*LOG(BA161*J161*F161*C161)</f>
        <v>48.1010041179669</v>
      </c>
      <c r="BG161" s="0" t="n">
        <f aca="false">(180/Pi)*(D161+H161+BC161)</f>
        <v>-194.916679144292</v>
      </c>
      <c r="BH161" s="0" t="n">
        <f aca="false">IF(BG161&gt;180,BG161-180,BG161+180)</f>
        <v>-14.916679144292</v>
      </c>
      <c r="BI161" s="0" t="n">
        <f aca="false">IF(BH161&gt;180,BH161-360,BH161)</f>
        <v>-14.916679144292</v>
      </c>
      <c r="BJ161" s="0" t="n">
        <f aca="false">SUM((BF162&lt;0)*(BF161&gt;0))*A161</f>
        <v>0</v>
      </c>
      <c r="BK161" s="0" t="n">
        <f aca="false">IF(BJ161&gt;0,BI161,0)</f>
        <v>0</v>
      </c>
      <c r="BM161" s="0" t="n">
        <f aca="false">20*LOG(J161*F161*C161)</f>
        <v>15.6754865735967</v>
      </c>
      <c r="BN161" s="0" t="n">
        <f aca="false">(H161+D161)*180/Pi</f>
        <v>-141.404060891642</v>
      </c>
      <c r="BQ161" s="347" t="n">
        <f aca="false">20*LOG(BA161*7)</f>
        <v>49.3274783446554</v>
      </c>
      <c r="BR161" s="353"/>
      <c r="BS161" s="353"/>
      <c r="BT161" s="353" t="n">
        <v>3235.937</v>
      </c>
      <c r="BU161" s="353" t="n">
        <v>5.43209</v>
      </c>
      <c r="BV161" s="353" t="n">
        <v>-248.575</v>
      </c>
      <c r="BW161" s="349"/>
      <c r="BY161" s="353"/>
      <c r="BZ161" s="353"/>
      <c r="CA161" s="353"/>
      <c r="CC161" s="353"/>
    </row>
    <row r="162" customFormat="false" ht="12.75" hidden="false" customHeight="false" outlineLevel="0" collapsed="false">
      <c r="A162" s="0" t="n">
        <f aca="false">A161+500</f>
        <v>64000</v>
      </c>
      <c r="B162" s="0" t="n">
        <f aca="false">A162/1000</f>
        <v>64</v>
      </c>
      <c r="C162" s="0" t="n">
        <f aca="false">SQRT((A162/Fesr)^2+1)</f>
        <v>1.0000000808518</v>
      </c>
      <c r="D162" s="0" t="n">
        <f aca="false">ATAN(A162/Fesr)</f>
        <v>0.000402123837525044</v>
      </c>
      <c r="F162" s="0" t="n">
        <f aca="false">(Ro/(Ro+Rdcr))/SQRT((A162/(Q*Fo))^2+(1-(A162^2/Fo^2))^2)</f>
        <v>0.661339849137744</v>
      </c>
      <c r="G162" s="0" t="n">
        <f aca="false">-ATAN(A162*Fo/(Q*(Fo^2-A162^2)))</f>
        <v>0.662869442495195</v>
      </c>
      <c r="H162" s="0" t="n">
        <f aca="false">IF(G162&gt;0,G162-Pi,G162)</f>
        <v>-2.4787232075048</v>
      </c>
      <c r="J162" s="0" t="n">
        <f aca="false">Vin/Vramp</f>
        <v>9</v>
      </c>
      <c r="M162" s="0" t="n">
        <f aca="false">1/(2*Pi*_Rfb1*(Cc1ea_u+Cc2ea_u)*A162)</f>
        <v>0.0921035551352757</v>
      </c>
      <c r="N162" s="0" t="n">
        <f aca="false">-Pi/2</f>
        <v>-1.570796325</v>
      </c>
      <c r="O162" s="0" t="n">
        <f aca="false">SQRT(1+(A162/Fz1_u)^2)</f>
        <v>1.85590936098989</v>
      </c>
      <c r="P162" s="0" t="n">
        <f aca="false">ATAN2(Fz1_u,A162)</f>
        <v>1.00176126281526</v>
      </c>
      <c r="Q162" s="0" t="n">
        <f aca="false">SQRT(1+(A162/Fz2_u)^2)</f>
        <v>1774.0871068628</v>
      </c>
      <c r="R162" s="0" t="n">
        <f aca="false">ATAN2(Fz2_u,A162)</f>
        <v>1.57023265658441</v>
      </c>
      <c r="S162" s="0" t="n">
        <f aca="false">1/SQRT(1+(A162/Fp1_u)^2)</f>
        <v>0.206349722049013</v>
      </c>
      <c r="T162" s="0" t="n">
        <f aca="false">-ATAN2(Fp1_u,A162)</f>
        <v>-1.36295341039892</v>
      </c>
      <c r="U162" s="0" t="n">
        <f aca="false">1/SQRT(1+(A162/Fp2_u)^2)</f>
        <v>0.985244257979868</v>
      </c>
      <c r="V162" s="0" t="n">
        <f aca="false">-ATAN2(Fp2_u,A162)</f>
        <v>-0.172001012471721</v>
      </c>
      <c r="X162" s="0" t="n">
        <f aca="false">20*LOG(C162*J162*O162*Q162*F162*M162*S162*U162)</f>
        <v>51.2924626639385</v>
      </c>
      <c r="Y162" s="0" t="n">
        <f aca="false">(180/Pi)*(D162+H162+N162+P162+R162+T162+V162)</f>
        <v>-172.579352127299</v>
      </c>
      <c r="Z162" s="0" t="n">
        <f aca="false">Y162+180</f>
        <v>7.42064787270067</v>
      </c>
      <c r="AC162" s="0" t="n">
        <v>1</v>
      </c>
      <c r="AD162" s="0" t="n">
        <f aca="false">Rcea1_u*Cc1ea_u*A162*2*Pi</f>
        <v>1.5634575645696</v>
      </c>
      <c r="AE162" s="0" t="n">
        <f aca="false">-Rcea1_u*Cc1ea_u*Cc2ea_u*(A162*2*Pi)^2</f>
        <v>-9.43055384340241E-005</v>
      </c>
      <c r="AF162" s="0" t="n">
        <f aca="false">(Cc2ea_u+Cc1ea_u)*A162*2*Pi</f>
        <v>0.00054286720992</v>
      </c>
      <c r="AG162" s="0" t="n">
        <f aca="false">AC162*AE162/(AE162^2+AF162^2)+AD162*AF162/(AE162^2+AF162^2)</f>
        <v>2485.00799457869</v>
      </c>
      <c r="AH162" s="0" t="n">
        <f aca="false">AD162*AE162/(AE162^2+AF162^2)-AC162*AF162/(AE162^2+AF162^2)</f>
        <v>-2273.76049683218</v>
      </c>
      <c r="AJ162" s="0" t="n">
        <f aca="false">_Rfb1</f>
        <v>20000</v>
      </c>
      <c r="AK162" s="0" t="n">
        <f aca="false">_Rfb1*Rcea2_u*Cc3ea_u*A162*2*Pi</f>
        <v>94836.890953728</v>
      </c>
      <c r="AL162" s="0" t="n">
        <v>1</v>
      </c>
      <c r="AM162" s="0" t="n">
        <f aca="false">(_Rfb1+Rcea2_u)*Cc3ea_u*A162*2*Pi</f>
        <v>1774.08682502769</v>
      </c>
      <c r="AN162" s="0" t="n">
        <f aca="false">AJ162*AL162/(AL162^2+AM162^2)+AK162*AM162/(AL162^2+AM162^2)</f>
        <v>53.4630734446193</v>
      </c>
      <c r="AO162" s="0" t="n">
        <f aca="false">AK162*AL162/(AL162^2+AM162^2)-AJ162*AM162/(AL162^2+AM162^2)</f>
        <v>-11.2432698587027</v>
      </c>
      <c r="AQ162" s="0" t="n">
        <f aca="false">Eadcg/(1+(Eadcg*A162/GBP)^2)</f>
        <v>2.7771483766895</v>
      </c>
      <c r="AR162" s="0" t="n">
        <f aca="false">-(A162*Eadcg*Eadcg/GBP)/(1+(Eadcg*A162/GBP)^2)</f>
        <v>-93.6676604489834</v>
      </c>
      <c r="AT162" s="0" t="n">
        <f aca="false">-AR162*AH162+AG162*AQ162</f>
        <v>-206076.590241384</v>
      </c>
      <c r="AU162" s="0" t="n">
        <f aca="false">AQ162*AH162+AG162*AR162</f>
        <v>-239079.455321964</v>
      </c>
      <c r="AV162" s="0" t="n">
        <f aca="false">ATAN2(AT162,AU162)</f>
        <v>-2.28219213005341</v>
      </c>
      <c r="AW162" s="0" t="n">
        <f aca="false">AG162-AH162*AO162/_Rfb2+AG162*AN162/_Rfb2+AN162-AO162*AR162+AQ162*AN162</f>
        <v>1682.09642012072</v>
      </c>
      <c r="AX162" s="0" t="n">
        <f aca="false">AH162+AH162*AN162/_Rfb2+AG162*AO162/_Rfb2+AO162+AO162*AQ162+AN162*AR162</f>
        <v>-7391.26483326209</v>
      </c>
      <c r="AY162" s="0" t="n">
        <f aca="false">ATAN2(AW162,AX162)</f>
        <v>-1.34702854586542</v>
      </c>
      <c r="BA162" s="0" t="n">
        <f aca="false">SQRT(AT162^2+AU162^2)/SQRT(AW162^2+AX162^2)</f>
        <v>41.639336955842</v>
      </c>
      <c r="BB162" s="0" t="n">
        <f aca="false">20*LOG(BA162)</f>
        <v>32.3900761080708</v>
      </c>
      <c r="BC162" s="0" t="n">
        <f aca="false">AV162-AY162</f>
        <v>-0.93516358418799</v>
      </c>
      <c r="BD162" s="0" t="n">
        <f aca="false">BC162*180/Pi-180</f>
        <v>-233.580926589524</v>
      </c>
      <c r="BF162" s="0" t="n">
        <f aca="false">20*LOG(BA162*J162*F162*C162)</f>
        <v>47.8834208386361</v>
      </c>
      <c r="BG162" s="0" t="n">
        <f aca="false">(180/Pi)*(D162+H162+BC162)</f>
        <v>-195.578265124203</v>
      </c>
      <c r="BH162" s="0" t="n">
        <f aca="false">IF(BG162&gt;180,BG162-180,BG162+180)</f>
        <v>-15.5782651242033</v>
      </c>
      <c r="BI162" s="0" t="n">
        <f aca="false">IF(BH162&gt;180,BH162-360,BH162)</f>
        <v>-15.5782651242033</v>
      </c>
      <c r="BJ162" s="0" t="n">
        <f aca="false">SUM((BF163&lt;0)*(BF162&gt;0))*A162</f>
        <v>0</v>
      </c>
      <c r="BK162" s="0" t="n">
        <f aca="false">IF(BJ162&gt;0,BI162,0)</f>
        <v>0</v>
      </c>
      <c r="BM162" s="0" t="n">
        <f aca="false">20*LOG(J162*F162*C162)</f>
        <v>15.4933447305653</v>
      </c>
      <c r="BN162" s="0" t="n">
        <f aca="false">(H162+D162)*180/Pi</f>
        <v>-141.997338534679</v>
      </c>
      <c r="BQ162" s="347" t="n">
        <f aca="false">20*LOG(BA162*7)</f>
        <v>49.2920369083559</v>
      </c>
      <c r="BR162" s="353"/>
      <c r="BS162" s="353"/>
      <c r="BT162" s="353" t="n">
        <v>3311.311</v>
      </c>
      <c r="BU162" s="353" t="n">
        <v>5.23561</v>
      </c>
      <c r="BV162" s="353" t="n">
        <v>-247.758</v>
      </c>
      <c r="BW162" s="349"/>
      <c r="BY162" s="353"/>
      <c r="BZ162" s="353"/>
      <c r="CA162" s="353"/>
      <c r="CC162" s="353"/>
    </row>
    <row r="163" customFormat="false" ht="12.75" hidden="false" customHeight="false" outlineLevel="0" collapsed="false">
      <c r="A163" s="0" t="n">
        <f aca="false">A162+500</f>
        <v>64500</v>
      </c>
      <c r="B163" s="0" t="n">
        <f aca="false">A163/1000</f>
        <v>64.5</v>
      </c>
      <c r="C163" s="0" t="n">
        <f aca="false">SQRT((A163/Fesr)^2+1)</f>
        <v>1.00000008212004</v>
      </c>
      <c r="D163" s="0" t="n">
        <f aca="false">ATAN(A163/Fesr)</f>
        <v>0.000405265429663058</v>
      </c>
      <c r="F163" s="0" t="n">
        <f aca="false">(Ro/(Ro+Rdcr))/SQRT((A163/(Q*Fo))^2+(1-(A163^2/Fo^2))^2)</f>
        <v>0.647740230733585</v>
      </c>
      <c r="G163" s="0" t="n">
        <f aca="false">-ATAN(A163*Fo/(Q*(Fo^2-A163^2)))</f>
        <v>0.652828151092177</v>
      </c>
      <c r="H163" s="0" t="n">
        <f aca="false">IF(G163&gt;0,G163-Pi,G163)</f>
        <v>-2.48876449890782</v>
      </c>
      <c r="J163" s="0" t="n">
        <f aca="false">Vin/Vramp</f>
        <v>9</v>
      </c>
      <c r="M163" s="0" t="n">
        <f aca="false">1/(2*Pi*_Rfb1*(Cc1ea_u+Cc2ea_u)*A163)</f>
        <v>0.0913895740877154</v>
      </c>
      <c r="N163" s="0" t="n">
        <f aca="false">-Pi/2</f>
        <v>-1.570796325</v>
      </c>
      <c r="O163" s="0" t="n">
        <f aca="false">SQRT(1+(A163/Fz1_u)^2)</f>
        <v>1.86621073129069</v>
      </c>
      <c r="P163" s="0" t="n">
        <f aca="false">ATAN2(Fz1_u,A163)</f>
        <v>1.00528789026826</v>
      </c>
      <c r="Q163" s="0" t="n">
        <f aca="false">SQRT(1+(A163/Fz2_u)^2)</f>
        <v>1787.94715799856</v>
      </c>
      <c r="R163" s="0" t="n">
        <f aca="false">ATAN2(Fz2_u,A163)</f>
        <v>1.57023702612001</v>
      </c>
      <c r="S163" s="0" t="n">
        <f aca="false">1/SQRT(1+(A163/Fp1_u)^2)</f>
        <v>0.204817466808182</v>
      </c>
      <c r="T163" s="0" t="n">
        <f aca="false">-ATAN2(Fp1_u,A163)</f>
        <v>-1.36451910984828</v>
      </c>
      <c r="U163" s="0" t="n">
        <f aca="false">1/SQRT(1+(A163/Fp2_u)^2)</f>
        <v>0.985017974700025</v>
      </c>
      <c r="V163" s="0" t="n">
        <f aca="false">-ATAN2(Fp2_u,A163)</f>
        <v>-0.173318121760757</v>
      </c>
      <c r="X163" s="0" t="n">
        <f aca="false">20*LOG(C163*J163*O163*Q163*F163*M163*S163*U163)</f>
        <v>51.093331557281</v>
      </c>
      <c r="Y163" s="0" t="n">
        <f aca="false">(180/Pi)*(D163+H163+N163+P163+R163+T163+V163)</f>
        <v>-173.117357295131</v>
      </c>
      <c r="Z163" s="0" t="n">
        <f aca="false">Y163+180</f>
        <v>6.88264270486917</v>
      </c>
      <c r="AC163" s="0" t="n">
        <v>1</v>
      </c>
      <c r="AD163" s="0" t="n">
        <f aca="false">Rcea1_u*Cc1ea_u*A163*2*Pi</f>
        <v>1.5756720767928</v>
      </c>
      <c r="AE163" s="0" t="n">
        <f aca="false">-Rcea1_u*Cc1ea_u*Cc2ea_u*(A163*2*Pi)^2</f>
        <v>-9.57848184253293E-005</v>
      </c>
      <c r="AF163" s="0" t="n">
        <f aca="false">(Cc2ea_u+Cc1ea_u)*A163*2*Pi</f>
        <v>0.0005471083599975</v>
      </c>
      <c r="AG163" s="0" t="n">
        <f aca="false">AC163*AE163/(AE163^2+AF163^2)+AD163*AF163/(AE163^2+AF163^2)</f>
        <v>2483.86665083427</v>
      </c>
      <c r="AH163" s="0" t="n">
        <f aca="false">AD163*AE163/(AE163^2+AF163^2)-AC163*AF163/(AE163^2+AF163^2)</f>
        <v>-2262.65362888724</v>
      </c>
      <c r="AJ163" s="0" t="n">
        <f aca="false">_Rfb1</f>
        <v>20000</v>
      </c>
      <c r="AK163" s="0" t="n">
        <f aca="false">_Rfb1*Rcea2_u*Cc3ea_u*A163*2*Pi</f>
        <v>95577.804164304</v>
      </c>
      <c r="AL163" s="0" t="n">
        <v>1</v>
      </c>
      <c r="AM163" s="0" t="n">
        <f aca="false">(_Rfb1+Rcea2_u)*Cc3ea_u*A163*2*Pi</f>
        <v>1787.94687834822</v>
      </c>
      <c r="AN163" s="0" t="n">
        <f aca="false">AJ163*AL163/(AL163^2+AM163^2)+AK163*AM163/(AL163^2+AM163^2)</f>
        <v>53.4629755697194</v>
      </c>
      <c r="AO163" s="0" t="n">
        <f aca="false">AK163*AL163/(AL163^2+AM163^2)-AJ163*AM163/(AL163^2+AM163^2)</f>
        <v>-11.1561127827566</v>
      </c>
      <c r="AQ163" s="0" t="n">
        <f aca="false">Eadcg/(1+(Eadcg*A163/GBP)^2)</f>
        <v>2.7342957868729</v>
      </c>
      <c r="AR163" s="0" t="n">
        <f aca="false">-(A163*Eadcg*Eadcg/GBP)/(1+(Eadcg*A163/GBP)^2)</f>
        <v>-92.9428152394901</v>
      </c>
      <c r="AT163" s="0" t="n">
        <f aca="false">-AR163*AH163+AG163*AQ163</f>
        <v>-203505.772062099</v>
      </c>
      <c r="AU163" s="0" t="n">
        <f aca="false">AQ163*AH163+AG163*AR163</f>
        <v>-237044.32349264</v>
      </c>
      <c r="AV163" s="0" t="n">
        <f aca="false">ATAN2(AT163,AU163)</f>
        <v>-2.28021224845676</v>
      </c>
      <c r="AW163" s="0" t="n">
        <f aca="false">AG163-AH163*AO163/_Rfb2+AG163*AN163/_Rfb2+AN163-AO163*AR163+AQ163*AN163</f>
        <v>1695.03130344922</v>
      </c>
      <c r="AX163" s="0" t="n">
        <f aca="false">AH163+AH163*AN163/_Rfb2+AG163*AO163/_Rfb2+AO163+AO163*AQ163+AN163*AR163</f>
        <v>-7340.21863585966</v>
      </c>
      <c r="AY163" s="0" t="n">
        <f aca="false">ATAN2(AW163,AX163)</f>
        <v>-1.34385071384148</v>
      </c>
      <c r="BA163" s="0" t="n">
        <f aca="false">SQRT(AT163^2+AU163^2)/SQRT(AW163^2+AX163^2)</f>
        <v>41.4710286402087</v>
      </c>
      <c r="BB163" s="0" t="n">
        <f aca="false">20*LOG(BA163)</f>
        <v>32.3548961532539</v>
      </c>
      <c r="BC163" s="0" t="n">
        <f aca="false">AV163-AY163</f>
        <v>-0.936361534615285</v>
      </c>
      <c r="BD163" s="0" t="n">
        <f aca="false">BC163*180/Pi-180</f>
        <v>-233.649564093152</v>
      </c>
      <c r="BF163" s="0" t="n">
        <f aca="false">20*LOG(BA163*J163*F163*C163)</f>
        <v>47.6677644882365</v>
      </c>
      <c r="BG163" s="0" t="n">
        <f aca="false">(180/Pi)*(D163+H163+BC163)</f>
        <v>-196.222046246772</v>
      </c>
      <c r="BH163" s="0" t="n">
        <f aca="false">IF(BG163&gt;180,BG163-180,BG163+180)</f>
        <v>-16.2220462467724</v>
      </c>
      <c r="BI163" s="0" t="n">
        <f aca="false">IF(BH163&gt;180,BH163-360,BH163)</f>
        <v>-16.2220462467724</v>
      </c>
      <c r="BJ163" s="0" t="n">
        <f aca="false">SUM((BF164&lt;0)*(BF163&gt;0))*A163</f>
        <v>0</v>
      </c>
      <c r="BK163" s="0" t="n">
        <f aca="false">IF(BJ163&gt;0,BI163,0)</f>
        <v>0</v>
      </c>
      <c r="BM163" s="0" t="n">
        <f aca="false">20*LOG(J163*F163*C163)</f>
        <v>15.3128683349826</v>
      </c>
      <c r="BN163" s="0" t="n">
        <f aca="false">(H163+D163)*180/Pi</f>
        <v>-142.57248215362</v>
      </c>
      <c r="BQ163" s="347" t="n">
        <f aca="false">20*LOG(BA163*7)</f>
        <v>49.256856953539</v>
      </c>
      <c r="BR163" s="353"/>
      <c r="BS163" s="353"/>
      <c r="BT163" s="353" t="n">
        <v>3388.442</v>
      </c>
      <c r="BU163" s="353" t="n">
        <v>5.05282</v>
      </c>
      <c r="BV163" s="353" t="n">
        <v>-247.756</v>
      </c>
      <c r="BW163" s="349"/>
      <c r="BY163" s="353"/>
      <c r="BZ163" s="353"/>
      <c r="CA163" s="353"/>
      <c r="CC163" s="353"/>
    </row>
    <row r="164" customFormat="false" ht="12.75" hidden="false" customHeight="false" outlineLevel="0" collapsed="false">
      <c r="A164" s="0" t="n">
        <f aca="false">A163+500</f>
        <v>65000</v>
      </c>
      <c r="B164" s="0" t="n">
        <f aca="false">A164/1000</f>
        <v>65</v>
      </c>
      <c r="C164" s="0" t="n">
        <f aca="false">SQRT((A164/Fesr)^2+1)</f>
        <v>1.00000008339815</v>
      </c>
      <c r="D164" s="0" t="n">
        <f aca="false">ATAN(A164/Fesr)</f>
        <v>0.000408407021793072</v>
      </c>
      <c r="F164" s="0" t="n">
        <f aca="false">(Ro/(Ro+Rdcr))/SQRT((A164/(Q*Fo))^2+(1-(A164^2/Fo^2))^2)</f>
        <v>0.634541969382505</v>
      </c>
      <c r="G164" s="0" t="n">
        <f aca="false">-ATAN(A164*Fo/(Q*(Fo^2-A164^2)))</f>
        <v>0.643090255981543</v>
      </c>
      <c r="H164" s="0" t="n">
        <f aca="false">IF(G164&gt;0,G164-Pi,G164)</f>
        <v>-2.49850239401846</v>
      </c>
      <c r="J164" s="0" t="n">
        <f aca="false">Vin/Vramp</f>
        <v>9</v>
      </c>
      <c r="M164" s="0" t="n">
        <f aca="false">1/(2*Pi*_Rfb1*(Cc1ea_u+Cc2ea_u)*A164)</f>
        <v>0.0906865773639638</v>
      </c>
      <c r="N164" s="0" t="n">
        <f aca="false">-Pi/2</f>
        <v>-1.570796325</v>
      </c>
      <c r="O164" s="0" t="n">
        <f aca="false">SQRT(1+(A164/Fz1_u)^2)</f>
        <v>1.87653505684729</v>
      </c>
      <c r="P164" s="0" t="n">
        <f aca="false">ATAN2(Fz1_u,A164)</f>
        <v>1.00877575508713</v>
      </c>
      <c r="Q164" s="0" t="n">
        <f aca="false">SQRT(1+(A164/Fz2_u)^2)</f>
        <v>1801.80720916793</v>
      </c>
      <c r="R164" s="0" t="n">
        <f aca="false">ATAN2(Fz2_u,A164)</f>
        <v>1.570241328432</v>
      </c>
      <c r="S164" s="0" t="n">
        <f aca="false">1/SQRT(1+(A164/Fp1_u)^2)</f>
        <v>0.203307312019555</v>
      </c>
      <c r="T164" s="0" t="n">
        <f aca="false">-ATAN2(Fp1_u,A164)</f>
        <v>-1.36606172468446</v>
      </c>
      <c r="U164" s="0" t="n">
        <f aca="false">1/SQRT(1+(A164/Fp2_u)^2)</f>
        <v>0.984790088125612</v>
      </c>
      <c r="V164" s="0" t="n">
        <f aca="false">-ATAN2(Fp2_u,A164)</f>
        <v>-0.174634623899156</v>
      </c>
      <c r="X164" s="0" t="n">
        <f aca="false">20*LOG(C164*J164*O164*Q164*F164*M164*S164*U164)</f>
        <v>50.8961515763527</v>
      </c>
      <c r="Y164" s="0" t="n">
        <f aca="false">(180/Pi)*(D164+H164+N164+P164+R164+T164+V164)</f>
        <v>-173.638846484762</v>
      </c>
      <c r="Z164" s="0" t="n">
        <f aca="false">Y164+180</f>
        <v>6.36115351523836</v>
      </c>
      <c r="AC164" s="0" t="n">
        <v>1</v>
      </c>
      <c r="AD164" s="0" t="n">
        <f aca="false">Rcea1_u*Cc1ea_u*A164*2*Pi</f>
        <v>1.587886589016</v>
      </c>
      <c r="AE164" s="0" t="n">
        <f aca="false">-Rcea1_u*Cc1ea_u*Cc2ea_u*(A164*2*Pi)^2</f>
        <v>-9.72756103231816E-005</v>
      </c>
      <c r="AF164" s="0" t="n">
        <f aca="false">(Cc2ea_u+Cc1ea_u)*A164*2*Pi</f>
        <v>0.000551349510075</v>
      </c>
      <c r="AG164" s="0" t="n">
        <f aca="false">AC164*AE164/(AE164^2+AF164^2)+AD164*AF164/(AE164^2+AF164^2)</f>
        <v>2482.71748523635</v>
      </c>
      <c r="AH164" s="0" t="n">
        <f aca="false">AD164*AE164/(AE164^2+AF164^2)-AC164*AF164/(AE164^2+AF164^2)</f>
        <v>-2251.76196940398</v>
      </c>
      <c r="AJ164" s="0" t="n">
        <f aca="false">_Rfb1</f>
        <v>20000</v>
      </c>
      <c r="AK164" s="0" t="n">
        <f aca="false">_Rfb1*Rcea2_u*Cc3ea_u*A164*2*Pi</f>
        <v>96318.71737488</v>
      </c>
      <c r="AL164" s="0" t="n">
        <v>1</v>
      </c>
      <c r="AM164" s="0" t="n">
        <f aca="false">(_Rfb1+Rcea2_u)*Cc3ea_u*A164*2*Pi</f>
        <v>1801.80693166874</v>
      </c>
      <c r="AN164" s="0" t="n">
        <f aca="false">AJ164*AL164/(AL164^2+AM164^2)+AK164*AM164/(AL164^2+AM164^2)</f>
        <v>53.4628799447718</v>
      </c>
      <c r="AO164" s="0" t="n">
        <f aca="false">AK164*AL164/(AL164^2+AM164^2)-AJ164*AM164/(AL164^2+AM164^2)</f>
        <v>-11.0702965836532</v>
      </c>
      <c r="AQ164" s="0" t="n">
        <f aca="false">Eadcg/(1+(Eadcg*A164/GBP)^2)</f>
        <v>2.6924271717928</v>
      </c>
      <c r="AR164" s="0" t="n">
        <f aca="false">-(A164*Eadcg*Eadcg/GBP)/(1+(Eadcg*A164/GBP)^2)</f>
        <v>-92.2290927697623</v>
      </c>
      <c r="AT164" s="0" t="n">
        <f aca="false">-AR164*AH164+AG164*AQ164</f>
        <v>-200993.427554447</v>
      </c>
      <c r="AU164" s="0" t="n">
        <f aca="false">AQ164*AH164+AG164*AR164</f>
        <v>-235041.486377807</v>
      </c>
      <c r="AV164" s="0" t="n">
        <f aca="false">ATAN2(AT164,AU164)</f>
        <v>-2.27826699250499</v>
      </c>
      <c r="AW164" s="0" t="n">
        <f aca="false">AG164-AH164*AO164/_Rfb2+AG164*AN164/_Rfb2+AN164-AO164*AR164+AQ164*AN164</f>
        <v>1707.63436452998</v>
      </c>
      <c r="AX164" s="0" t="n">
        <f aca="false">AH164+AH164*AN164/_Rfb2+AG164*AO164/_Rfb2+AO164+AO164*AQ164+AN164*AR164</f>
        <v>-7290.01269190253</v>
      </c>
      <c r="AY164" s="0" t="n">
        <f aca="false">ATAN2(AW164,AX164)</f>
        <v>-1.34070187998086</v>
      </c>
      <c r="BA164" s="0" t="n">
        <f aca="false">SQRT(AT164^2+AU164^2)/SQRT(AW164^2+AX164^2)</f>
        <v>41.3046135998376</v>
      </c>
      <c r="BB164" s="0" t="n">
        <f aca="false">20*LOG(BA164)</f>
        <v>32.3199712747966</v>
      </c>
      <c r="BC164" s="0" t="n">
        <f aca="false">AV164-AY164</f>
        <v>-0.937565112524134</v>
      </c>
      <c r="BD164" s="0" t="n">
        <f aca="false">BC164*180/Pi-180</f>
        <v>-233.718524027723</v>
      </c>
      <c r="BF164" s="0" t="n">
        <f aca="false">20*LOG(BA164*J164*F164*C164)</f>
        <v>47.4540292309562</v>
      </c>
      <c r="BG164" s="0" t="n">
        <f aca="false">(180/Pi)*(D164+H164+BC164)</f>
        <v>-196.848766473191</v>
      </c>
      <c r="BH164" s="0" t="n">
        <f aca="false">IF(BG164&gt;180,BG164-180,BG164+180)</f>
        <v>-16.8487664731911</v>
      </c>
      <c r="BI164" s="0" t="n">
        <f aca="false">IF(BH164&gt;180,BH164-360,BH164)</f>
        <v>-16.8487664731911</v>
      </c>
      <c r="BJ164" s="0" t="n">
        <f aca="false">SUM((BF165&lt;0)*(BF164&gt;0))*A164</f>
        <v>0</v>
      </c>
      <c r="BK164" s="0" t="n">
        <f aca="false">IF(BJ164&gt;0,BI164,0)</f>
        <v>0</v>
      </c>
      <c r="BM164" s="0" t="n">
        <f aca="false">20*LOG(J164*F164*C164)</f>
        <v>15.1340579561596</v>
      </c>
      <c r="BN164" s="0" t="n">
        <f aca="false">(H164+D164)*180/Pi</f>
        <v>-143.130242445468</v>
      </c>
      <c r="BQ164" s="347" t="n">
        <f aca="false">20*LOG(BA164*7)</f>
        <v>49.2219320750817</v>
      </c>
      <c r="BR164" s="353"/>
      <c r="BS164" s="353"/>
      <c r="BT164" s="353" t="n">
        <v>3467.369</v>
      </c>
      <c r="BU164" s="353" t="n">
        <v>4.9029</v>
      </c>
      <c r="BV164" s="353" t="n">
        <v>-247.513</v>
      </c>
      <c r="BW164" s="349"/>
      <c r="BY164" s="353"/>
      <c r="BZ164" s="353"/>
      <c r="CA164" s="353"/>
      <c r="CC164" s="353"/>
    </row>
    <row r="165" customFormat="false" ht="12.75" hidden="false" customHeight="false" outlineLevel="0" collapsed="false">
      <c r="A165" s="0" t="n">
        <f aca="false">A164+500</f>
        <v>65500</v>
      </c>
      <c r="B165" s="0" t="n">
        <f aca="false">A165/1000</f>
        <v>65.5</v>
      </c>
      <c r="C165" s="0" t="n">
        <f aca="false">SQRT((A165/Fesr)^2+1)</f>
        <v>1.00000008468614</v>
      </c>
      <c r="D165" s="0" t="n">
        <f aca="false">ATAN(A165/Fesr)</f>
        <v>0.000411548613915025</v>
      </c>
      <c r="F165" s="0" t="n">
        <f aca="false">(Ro/(Ro+Rdcr))/SQRT((A165/(Q*Fo))^2+(1-(A165^2/Fo^2))^2)</f>
        <v>0.621731694631398</v>
      </c>
      <c r="G165" s="0" t="n">
        <f aca="false">-ATAN(A165*Fo/(Q*(Fo^2-A165^2)))</f>
        <v>0.633643265763146</v>
      </c>
      <c r="H165" s="0" t="n">
        <f aca="false">IF(G165&gt;0,G165-Pi,G165)</f>
        <v>-2.50794938423685</v>
      </c>
      <c r="J165" s="0" t="n">
        <f aca="false">Vin/Vramp</f>
        <v>9</v>
      </c>
      <c r="M165" s="0" t="n">
        <f aca="false">1/(2*Pi*_Rfb1*(Cc1ea_u+Cc2ea_u)*A165)</f>
        <v>0.0899943134146205</v>
      </c>
      <c r="N165" s="0" t="n">
        <f aca="false">-Pi/2</f>
        <v>-1.570796325</v>
      </c>
      <c r="O165" s="0" t="n">
        <f aca="false">SQRT(1+(A165/Fz1_u)^2)</f>
        <v>1.88688196085153</v>
      </c>
      <c r="P165" s="0" t="n">
        <f aca="false">ATAN2(Fz1_u,A165)</f>
        <v>1.01222540938545</v>
      </c>
      <c r="Q165" s="0" t="n">
        <f aca="false">SQRT(1+(A165/Fz2_u)^2)</f>
        <v>1815.66726037015</v>
      </c>
      <c r="R165" s="0" t="n">
        <f aca="false">ATAN2(Fz2_u,A165)</f>
        <v>1.57024556505987</v>
      </c>
      <c r="S165" s="0" t="n">
        <f aca="false">1/SQRT(1+(A165/Fp1_u)^2)</f>
        <v>0.201818793739434</v>
      </c>
      <c r="T165" s="0" t="n">
        <f aca="false">-ATAN2(Fp1_u,A165)</f>
        <v>-1.36758175452714</v>
      </c>
      <c r="U165" s="0" t="n">
        <f aca="false">1/SQRT(1+(A165/Fp2_u)^2)</f>
        <v>0.984560601738124</v>
      </c>
      <c r="V165" s="0" t="n">
        <f aca="false">-ATAN2(Fp2_u,A165)</f>
        <v>-0.175950514746344</v>
      </c>
      <c r="X165" s="0" t="n">
        <f aca="false">20*LOG(C165*J165*O165*Q165*F165*M165*S165*U165)</f>
        <v>50.7009135156901</v>
      </c>
      <c r="Y165" s="0" t="n">
        <f aca="false">(180/Pi)*(D165+H165+N165+P165+R165+T165+V165)</f>
        <v>-174.14453206758</v>
      </c>
      <c r="Z165" s="0" t="n">
        <f aca="false">Y165+180</f>
        <v>5.85546793242</v>
      </c>
      <c r="AC165" s="0" t="n">
        <v>1</v>
      </c>
      <c r="AD165" s="0" t="n">
        <f aca="false">Rcea1_u*Cc1ea_u*A165*2*Pi</f>
        <v>1.6001011012392</v>
      </c>
      <c r="AE165" s="0" t="n">
        <f aca="false">-Rcea1_u*Cc1ea_u*Cc2ea_u*(A165*2*Pi)^2</f>
        <v>-9.8777914127581E-005</v>
      </c>
      <c r="AF165" s="0" t="n">
        <f aca="false">(Cc2ea_u+Cc1ea_u)*A165*2*Pi</f>
        <v>0.0005555906601525</v>
      </c>
      <c r="AG165" s="0" t="n">
        <f aca="false">AC165*AE165/(AE165^2+AF165^2)+AD165*AF165/(AE165^2+AF165^2)</f>
        <v>2481.56052094704</v>
      </c>
      <c r="AH165" s="0" t="n">
        <f aca="false">AD165*AE165/(AE165^2+AF165^2)-AC165*AF165/(AE165^2+AF165^2)</f>
        <v>-2241.08045966564</v>
      </c>
      <c r="AJ165" s="0" t="n">
        <f aca="false">_Rfb1</f>
        <v>20000</v>
      </c>
      <c r="AK165" s="0" t="n">
        <f aca="false">_Rfb1*Rcea2_u*Cc3ea_u*A165*2*Pi</f>
        <v>97059.630585456</v>
      </c>
      <c r="AL165" s="0" t="n">
        <v>1</v>
      </c>
      <c r="AM165" s="0" t="n">
        <f aca="false">(_Rfb1+Rcea2_u)*Cc3ea_u*A165*2*Pi</f>
        <v>1815.66698498927</v>
      </c>
      <c r="AN165" s="0" t="n">
        <f aca="false">AJ165*AL165/(AL165^2+AM165^2)+AK165*AM165/(AL165^2+AM165^2)</f>
        <v>53.4627865013384</v>
      </c>
      <c r="AO165" s="0" t="n">
        <f aca="false">AK165*AL165/(AL165^2+AM165^2)-AJ165*AM165/(AL165^2+AM165^2)</f>
        <v>-10.9857905543271</v>
      </c>
      <c r="AQ165" s="0" t="n">
        <f aca="false">Eadcg/(1+(Eadcg*A165/GBP)^2)</f>
        <v>2.65151264355115</v>
      </c>
      <c r="AR165" s="0" t="n">
        <f aca="false">-(A165*Eadcg*Eadcg/GBP)/(1+(Eadcg*A165/GBP)^2)</f>
        <v>-91.5262391864203</v>
      </c>
      <c r="AT165" s="0" t="n">
        <f aca="false">-AR165*AH165+AG165*AQ165</f>
        <v>-198537.777090342</v>
      </c>
      <c r="AU165" s="0" t="n">
        <f aca="false">AQ165*AH165+AG165*AR165</f>
        <v>-233070.154969795</v>
      </c>
      <c r="AV165" s="0" t="n">
        <f aca="false">ATAN2(AT165,AU165)</f>
        <v>-2.2763558866885</v>
      </c>
      <c r="AW165" s="0" t="n">
        <f aca="false">AG165-AH165*AO165/_Rfb2+AG165*AN165/_Rfb2+AN165-AO165*AR165+AQ165*AN165</f>
        <v>1719.91546278821</v>
      </c>
      <c r="AX165" s="0" t="n">
        <f aca="false">AH165+AH165*AN165/_Rfb2+AG165*AO165/_Rfb2+AO165+AO165*AQ165+AN165*AR165</f>
        <v>-7240.62733729349</v>
      </c>
      <c r="AY165" s="0" t="n">
        <f aca="false">ATAN2(AW165,AX165)</f>
        <v>-1.33758168937931</v>
      </c>
      <c r="BA165" s="0" t="n">
        <f aca="false">SQRT(AT165^2+AU165^2)/SQRT(AW165^2+AX165^2)</f>
        <v>41.1400450579481</v>
      </c>
      <c r="BB165" s="0" t="n">
        <f aca="false">20*LOG(BA165)</f>
        <v>32.285295260255</v>
      </c>
      <c r="BC165" s="0" t="n">
        <f aca="false">AV165-AY165</f>
        <v>-0.938774197309188</v>
      </c>
      <c r="BD165" s="0" t="n">
        <f aca="false">BC165*180/Pi-180</f>
        <v>-233.78779948306</v>
      </c>
      <c r="BF165" s="0" t="n">
        <f aca="false">20*LOG(BA165*J165*F165*C165)</f>
        <v>47.2422063324508</v>
      </c>
      <c r="BG165" s="0" t="n">
        <f aca="false">(180/Pi)*(D165+H165+BC165)</f>
        <v>-197.459134597792</v>
      </c>
      <c r="BH165" s="0" t="n">
        <f aca="false">IF(BG165&gt;180,BG165-180,BG165+180)</f>
        <v>-17.4591345977916</v>
      </c>
      <c r="BI165" s="0" t="n">
        <f aca="false">IF(BH165&gt;180,BH165-360,BH165)</f>
        <v>-17.4591345977916</v>
      </c>
      <c r="BJ165" s="0" t="n">
        <f aca="false">SUM((BF166&lt;0)*(BF165&gt;0))*A165</f>
        <v>0</v>
      </c>
      <c r="BK165" s="0" t="n">
        <f aca="false">IF(BJ165&gt;0,BI165,0)</f>
        <v>0</v>
      </c>
      <c r="BM165" s="0" t="n">
        <f aca="false">20*LOG(J165*F165*C165)</f>
        <v>14.9569110721958</v>
      </c>
      <c r="BN165" s="0" t="n">
        <f aca="false">(H165+D165)*180/Pi</f>
        <v>-143.671335114732</v>
      </c>
      <c r="BQ165" s="347" t="n">
        <f aca="false">20*LOG(BA165*7)</f>
        <v>49.1872560605402</v>
      </c>
      <c r="BR165" s="353"/>
      <c r="BS165" s="353"/>
      <c r="BT165" s="353" t="n">
        <v>3548.134</v>
      </c>
      <c r="BU165" s="353" t="n">
        <v>4.65226</v>
      </c>
      <c r="BV165" s="353" t="n">
        <v>-246.726</v>
      </c>
      <c r="BW165" s="349"/>
      <c r="BY165" s="353"/>
      <c r="BZ165" s="353"/>
      <c r="CA165" s="353"/>
      <c r="CC165" s="353"/>
    </row>
    <row r="166" customFormat="false" ht="12.75" hidden="false" customHeight="false" outlineLevel="0" collapsed="false">
      <c r="A166" s="0" t="n">
        <f aca="false">A165+500</f>
        <v>66000</v>
      </c>
      <c r="B166" s="0" t="n">
        <f aca="false">A166/1000</f>
        <v>66</v>
      </c>
      <c r="C166" s="0" t="n">
        <f aca="false">SQRT((A166/Fesr)^2+1)</f>
        <v>1.00000008598399</v>
      </c>
      <c r="D166" s="0" t="n">
        <f aca="false">ATAN(A166/Fesr)</f>
        <v>0.000414690206028855</v>
      </c>
      <c r="F166" s="0" t="n">
        <f aca="false">(Ro/(Ro+Rdcr))/SQRT((A166/(Q*Fo))^2+(1-(A166^2/Fo^2))^2)</f>
        <v>0.609296348621457</v>
      </c>
      <c r="G166" s="0" t="n">
        <f aca="false">-ATAN(A166*Fo/(Q*(Fo^2-A166^2)))</f>
        <v>0.624475274028149</v>
      </c>
      <c r="H166" s="0" t="n">
        <f aca="false">IF(G166&gt;0,G166-Pi,G166)</f>
        <v>-2.51711737597185</v>
      </c>
      <c r="J166" s="0" t="n">
        <f aca="false">Vin/Vramp</f>
        <v>9</v>
      </c>
      <c r="M166" s="0" t="n">
        <f aca="false">1/(2*Pi*_Rfb1*(Cc1ea_u+Cc2ea_u)*A166)</f>
        <v>0.0893125383129946</v>
      </c>
      <c r="N166" s="0" t="n">
        <f aca="false">-Pi/2</f>
        <v>-1.570796325</v>
      </c>
      <c r="O166" s="0" t="n">
        <f aca="false">SQRT(1+(A166/Fz1_u)^2)</f>
        <v>1.89725107389998</v>
      </c>
      <c r="P166" s="0" t="n">
        <f aca="false">ATAN2(Fz1_u,A166)</f>
        <v>1.01563739688411</v>
      </c>
      <c r="Q166" s="0" t="n">
        <f aca="false">SQRT(1+(A166/Fz2_u)^2)</f>
        <v>1829.52731160446</v>
      </c>
      <c r="R166" s="0" t="n">
        <f aca="false">ATAN2(Fz2_u,A166)</f>
        <v>1.57024973749642</v>
      </c>
      <c r="S166" s="0" t="n">
        <f aca="false">1/SQRT(1+(A166/Fp1_u)^2)</f>
        <v>0.200351460600213</v>
      </c>
      <c r="T166" s="0" t="n">
        <f aca="false">-ATAN2(Fp1_u,A166)</f>
        <v>-1.36907968489043</v>
      </c>
      <c r="U166" s="0" t="n">
        <f aca="false">1/SQRT(1+(A166/Fp2_u)^2)</f>
        <v>0.984329519039102</v>
      </c>
      <c r="V166" s="0" t="n">
        <f aca="false">-ATAN2(Fp2_u,A166)</f>
        <v>-0.177265790174062</v>
      </c>
      <c r="X166" s="0" t="n">
        <f aca="false">20*LOG(C166*J166*O166*Q166*F166*M166*S166*U166)</f>
        <v>50.507605627613</v>
      </c>
      <c r="Y166" s="0" t="n">
        <f aca="false">(180/Pi)*(D166+H166+N166+P166+R166+T166+V166)</f>
        <v>-174.635092573495</v>
      </c>
      <c r="Z166" s="0" t="n">
        <f aca="false">Y166+180</f>
        <v>5.364907426505</v>
      </c>
      <c r="AC166" s="0" t="n">
        <v>1</v>
      </c>
      <c r="AD166" s="0" t="n">
        <f aca="false">Rcea1_u*Cc1ea_u*A166*2*Pi</f>
        <v>1.6123156134624</v>
      </c>
      <c r="AE166" s="0" t="n">
        <f aca="false">-Rcea1_u*Cc1ea_u*Cc2ea_u*(A166*2*Pi)^2</f>
        <v>-0.000100291729838528</v>
      </c>
      <c r="AF166" s="0" t="n">
        <f aca="false">(Cc2ea_u+Cc1ea_u)*A166*2*Pi</f>
        <v>0.00055983181023</v>
      </c>
      <c r="AG166" s="0" t="n">
        <f aca="false">AC166*AE166/(AE166^2+AF166^2)+AD166*AF166/(AE166^2+AF166^2)</f>
        <v>2480.39578125248</v>
      </c>
      <c r="AH166" s="0" t="n">
        <f aca="false">AD166*AE166/(AE166^2+AF166^2)-AC166*AF166/(AE166^2+AF166^2)</f>
        <v>-2230.60419355763</v>
      </c>
      <c r="AJ166" s="0" t="n">
        <f aca="false">_Rfb1</f>
        <v>20000</v>
      </c>
      <c r="AK166" s="0" t="n">
        <f aca="false">_Rfb1*Rcea2_u*Cc3ea_u*A166*2*Pi</f>
        <v>97800.543796032</v>
      </c>
      <c r="AL166" s="0" t="n">
        <v>1</v>
      </c>
      <c r="AM166" s="0" t="n">
        <f aca="false">(_Rfb1+Rcea2_u)*Cc3ea_u*A166*2*Pi</f>
        <v>1829.5270383098</v>
      </c>
      <c r="AN166" s="0" t="n">
        <f aca="false">AJ166*AL166/(AL166^2+AM166^2)+AK166*AM166/(AL166^2+AM166^2)</f>
        <v>53.462695173564</v>
      </c>
      <c r="AO166" s="0" t="n">
        <f aca="false">AK166*AL166/(AL166^2+AM166^2)-AJ166*AM166/(AL166^2+AM166^2)</f>
        <v>-10.9025649182282</v>
      </c>
      <c r="AQ166" s="0" t="n">
        <f aca="false">Eadcg/(1+(Eadcg*A166/GBP)^2)</f>
        <v>2.61152344017711</v>
      </c>
      <c r="AR166" s="0" t="n">
        <f aca="false">-(A166*Eadcg*Eadcg/GBP)/(1+(Eadcg*A166/GBP)^2)</f>
        <v>-90.8340082962401</v>
      </c>
      <c r="AT166" s="0" t="n">
        <f aca="false">-AR166*AH166+AG166*AQ166</f>
        <v>-196137.108099584</v>
      </c>
      <c r="AU166" s="0" t="n">
        <f aca="false">AQ166*AH166+AG166*AR166</f>
        <v>-231129.56610948</v>
      </c>
      <c r="AV166" s="0" t="n">
        <f aca="false">ATAN2(AT166,AU166)</f>
        <v>-2.27447846145932</v>
      </c>
      <c r="AW166" s="0" t="n">
        <f aca="false">AG166-AH166*AO166/_Rfb2+AG166*AN166/_Rfb2+AN166-AO166*AR166+AQ166*AN166</f>
        <v>1731.8840872553</v>
      </c>
      <c r="AX166" s="0" t="n">
        <f aca="false">AH166+AH166*AN166/_Rfb2+AG166*AO166/_Rfb2+AO166+AO166*AQ166+AN166*AR166</f>
        <v>-7192.0435138892</v>
      </c>
      <c r="AY166" s="0" t="n">
        <f aca="false">ATAN2(AW166,AX166)</f>
        <v>-1.33448979579202</v>
      </c>
      <c r="BA166" s="0" t="n">
        <f aca="false">SQRT(AT166^2+AU166^2)/SQRT(AW166^2+AX166^2)</f>
        <v>40.9772778183814</v>
      </c>
      <c r="BB166" s="0" t="n">
        <f aca="false">20*LOG(BA166)</f>
        <v>32.2508620838787</v>
      </c>
      <c r="BC166" s="0" t="n">
        <f aca="false">AV166-AY166</f>
        <v>-0.939988665667299</v>
      </c>
      <c r="BD166" s="0" t="n">
        <f aca="false">BC166*180/Pi-180</f>
        <v>-233.857383394411</v>
      </c>
      <c r="BF166" s="0" t="n">
        <f aca="false">20*LOG(BA166*J166*F166*C166)</f>
        <v>47.0322845295384</v>
      </c>
      <c r="BG166" s="0" t="n">
        <f aca="false">(180/Pi)*(D166+H166+BC166)</f>
        <v>-198.0538257428</v>
      </c>
      <c r="BH166" s="0" t="n">
        <f aca="false">IF(BG166&gt;180,BG166-180,BG166+180)</f>
        <v>-18.0538257428001</v>
      </c>
      <c r="BI166" s="0" t="n">
        <f aca="false">IF(BH166&gt;180,BH166-360,BH166)</f>
        <v>-18.0538257428001</v>
      </c>
      <c r="BJ166" s="0" t="n">
        <f aca="false">SUM((BF167&lt;0)*(BF166&gt;0))*A166</f>
        <v>0</v>
      </c>
      <c r="BK166" s="0" t="n">
        <f aca="false">IF(BJ166&gt;0,BI166,0)</f>
        <v>0</v>
      </c>
      <c r="BM166" s="0" t="n">
        <f aca="false">20*LOG(J166*F166*C166)</f>
        <v>14.7814224456597</v>
      </c>
      <c r="BN166" s="0" t="n">
        <f aca="false">(H166+D166)*180/Pi</f>
        <v>-144.196442348389</v>
      </c>
      <c r="BQ166" s="347" t="n">
        <f aca="false">20*LOG(BA166*7)</f>
        <v>49.1528228841638</v>
      </c>
      <c r="BR166" s="353"/>
      <c r="BS166" s="353"/>
      <c r="BT166" s="353" t="n">
        <v>3630.781</v>
      </c>
      <c r="BU166" s="353" t="n">
        <v>4.4951</v>
      </c>
      <c r="BV166" s="353" t="n">
        <v>-246.212</v>
      </c>
      <c r="BW166" s="349"/>
      <c r="BY166" s="353"/>
      <c r="BZ166" s="353"/>
      <c r="CA166" s="353"/>
      <c r="CC166" s="353"/>
    </row>
    <row r="167" customFormat="false" ht="12.75" hidden="false" customHeight="false" outlineLevel="0" collapsed="false">
      <c r="A167" s="0" t="n">
        <f aca="false">A166+500</f>
        <v>66500</v>
      </c>
      <c r="B167" s="0" t="n">
        <f aca="false">A167/1000</f>
        <v>66.5</v>
      </c>
      <c r="C167" s="0" t="n">
        <f aca="false">SQRT((A167/Fesr)^2+1)</f>
        <v>1.00000008729171</v>
      </c>
      <c r="D167" s="0" t="n">
        <f aca="false">ATAN(A167/Fesr)</f>
        <v>0.000417831798134498</v>
      </c>
      <c r="F167" s="0" t="n">
        <f aca="false">(Ro/(Ro+Rdcr))/SQRT((A167/(Q*Fo))^2+(1-(A167^2/Fo^2))^2)</f>
        <v>0.597223207590886</v>
      </c>
      <c r="G167" s="0" t="n">
        <f aca="false">-ATAN(A167*Fo/(Q*(Fo^2-A167^2)))</f>
        <v>0.615574933798528</v>
      </c>
      <c r="H167" s="0" t="n">
        <f aca="false">IF(G167&gt;0,G167-Pi,G167)</f>
        <v>-2.52601771620147</v>
      </c>
      <c r="J167" s="0" t="n">
        <f aca="false">Vin/Vramp</f>
        <v>9</v>
      </c>
      <c r="M167" s="0" t="n">
        <f aca="false">1/(2*Pi*_Rfb1*(Cc1ea_u+Cc2ea_u)*A167)</f>
        <v>0.088641015468536</v>
      </c>
      <c r="N167" s="0" t="n">
        <f aca="false">-Pi/2</f>
        <v>-1.570796325</v>
      </c>
      <c r="O167" s="0" t="n">
        <f aca="false">SQRT(1+(A167/Fz1_u)^2)</f>
        <v>1.90764203383656</v>
      </c>
      <c r="P167" s="0" t="n">
        <f aca="false">ATAN2(Fz1_u,A167)</f>
        <v>1.01901225300348</v>
      </c>
      <c r="Q167" s="0" t="n">
        <f aca="false">SQRT(1+(A167/Fz2_u)^2)</f>
        <v>1843.38736287014</v>
      </c>
      <c r="R167" s="0" t="n">
        <f aca="false">ATAN2(Fz2_u,A167)</f>
        <v>1.57025384718958</v>
      </c>
      <c r="S167" s="0" t="n">
        <f aca="false">1/SQRT(1+(A167/Fp1_u)^2)</f>
        <v>0.19890487339903</v>
      </c>
      <c r="T167" s="0" t="n">
        <f aca="false">-ATAN2(Fp1_u,A167)</f>
        <v>-1.37055598766956</v>
      </c>
      <c r="U167" s="0" t="n">
        <f aca="false">1/SQRT(1+(A167/Fp2_u)^2)</f>
        <v>0.984096843549987</v>
      </c>
      <c r="V167" s="0" t="n">
        <f aca="false">-ATAN2(Fp2_u,A167)</f>
        <v>-0.178580446066425</v>
      </c>
      <c r="X167" s="0" t="n">
        <f aca="false">20*LOG(C167*J167*O167*Q167*F167*M167*S167*U167)</f>
        <v>50.3162139547399</v>
      </c>
      <c r="Y167" s="0" t="n">
        <f aca="false">(180/Pi)*(D167+H167+N167+P167+R167+T167+V167)</f>
        <v>-175.111174177953</v>
      </c>
      <c r="Z167" s="0" t="n">
        <f aca="false">Y167+180</f>
        <v>4.88882582204749</v>
      </c>
      <c r="AC167" s="0" t="n">
        <v>1</v>
      </c>
      <c r="AD167" s="0" t="n">
        <f aca="false">Rcea1_u*Cc1ea_u*A167*2*Pi</f>
        <v>1.6245301256856</v>
      </c>
      <c r="AE167" s="0" t="n">
        <f aca="false">-Rcea1_u*Cc1ea_u*Cc2ea_u*(A167*2*Pi)^2</f>
        <v>-0.000101817057456021</v>
      </c>
      <c r="AF167" s="0" t="n">
        <f aca="false">(Cc2ea_u+Cc1ea_u)*A167*2*Pi</f>
        <v>0.0005640729603075</v>
      </c>
      <c r="AG167" s="0" t="n">
        <f aca="false">AC167*AE167/(AE167^2+AF167^2)+AD167*AF167/(AE167^2+AF167^2)</f>
        <v>2479.22328956172</v>
      </c>
      <c r="AH167" s="0" t="n">
        <f aca="false">AD167*AE167/(AE167^2+AF167^2)-AC167*AF167/(AE167^2+AF167^2)</f>
        <v>-2220.32841183676</v>
      </c>
      <c r="AJ167" s="0" t="n">
        <f aca="false">_Rfb1</f>
        <v>20000</v>
      </c>
      <c r="AK167" s="0" t="n">
        <f aca="false">_Rfb1*Rcea2_u*Cc3ea_u*A167*2*Pi</f>
        <v>98541.457006608</v>
      </c>
      <c r="AL167" s="0" t="n">
        <v>1</v>
      </c>
      <c r="AM167" s="0" t="n">
        <f aca="false">(_Rfb1+Rcea2_u)*Cc3ea_u*A167*2*Pi</f>
        <v>1843.38709163033</v>
      </c>
      <c r="AN167" s="0" t="n">
        <f aca="false">AJ167*AL167/(AL167^2+AM167^2)+AK167*AM167/(AL167^2+AM167^2)</f>
        <v>53.4626058980594</v>
      </c>
      <c r="AO167" s="0" t="n">
        <f aca="false">AK167*AL167/(AL167^2+AM167^2)-AJ167*AM167/(AL167^2+AM167^2)</f>
        <v>-10.8205907943409</v>
      </c>
      <c r="AQ167" s="0" t="n">
        <f aca="false">Eadcg/(1+(Eadcg*A167/GBP)^2)</f>
        <v>2.57243187512287</v>
      </c>
      <c r="AR167" s="0" t="n">
        <f aca="false">-(A167*Eadcg*Eadcg/GBP)/(1+(Eadcg*A167/GBP)^2)</f>
        <v>-90.1521612796187</v>
      </c>
      <c r="AT167" s="0" t="n">
        <f aca="false">-AR167*AH167+AG167*AQ167</f>
        <v>-193789.772062012</v>
      </c>
      <c r="AU167" s="0" t="n">
        <f aca="false">AQ167*AH167+AG167*AR167</f>
        <v>-229218.981428605</v>
      </c>
      <c r="AV167" s="0" t="n">
        <f aca="false">ATAN2(AT167,AU167)</f>
        <v>-2.27263425323069</v>
      </c>
      <c r="AW167" s="0" t="n">
        <f aca="false">AG167-AH167*AO167/_Rfb2+AG167*AN167/_Rfb2+AN167-AO167*AR167+AQ167*AN167</f>
        <v>1743.54937318723</v>
      </c>
      <c r="AX167" s="0" t="n">
        <f aca="false">AH167+AH167*AN167/_Rfb2+AG167*AO167/_Rfb2+AO167+AO167*AQ167+AN167*AR167</f>
        <v>-7144.24274624637</v>
      </c>
      <c r="AY167" s="0" t="n">
        <f aca="false">ATAN2(AW167,AX167)</f>
        <v>-1.33142586130901</v>
      </c>
      <c r="BA167" s="0" t="n">
        <f aca="false">SQRT(AT167^2+AU167^2)/SQRT(AW167^2+AX167^2)</f>
        <v>40.8162682052461</v>
      </c>
      <c r="BB167" s="0" t="n">
        <f aca="false">20*LOG(BA167)</f>
        <v>32.216665900812</v>
      </c>
      <c r="BC167" s="0" t="n">
        <f aca="false">AV167-AY167</f>
        <v>-0.941208391921679</v>
      </c>
      <c r="BD167" s="0" t="n">
        <f aca="false">BC167*180/Pi-180</f>
        <v>-233.927268561028</v>
      </c>
      <c r="BF167" s="0" t="n">
        <f aca="false">20*LOG(BA167*J167*F167*C167)</f>
        <v>46.8242503617789</v>
      </c>
      <c r="BG167" s="0" t="n">
        <f aca="false">(180/Pi)*(D167+H167+BC167)</f>
        <v>-198.633482841419</v>
      </c>
      <c r="BH167" s="0" t="n">
        <f aca="false">IF(BG167&gt;180,BG167-180,BG167+180)</f>
        <v>-18.633482841419</v>
      </c>
      <c r="BI167" s="0" t="n">
        <f aca="false">IF(BH167&gt;180,BH167-360,BH167)</f>
        <v>-18.633482841419</v>
      </c>
      <c r="BJ167" s="0" t="n">
        <f aca="false">SUM((BF168&lt;0)*(BF167&gt;0))*A167</f>
        <v>0</v>
      </c>
      <c r="BK167" s="0" t="n">
        <f aca="false">IF(BJ167&gt;0,BI167,0)</f>
        <v>0</v>
      </c>
      <c r="BM167" s="0" t="n">
        <f aca="false">20*LOG(J167*F167*C167)</f>
        <v>14.6075844609669</v>
      </c>
      <c r="BN167" s="0" t="n">
        <f aca="false">(H167+D167)*180/Pi</f>
        <v>-144.706214280391</v>
      </c>
      <c r="BQ167" s="347" t="n">
        <f aca="false">20*LOG(BA167*7)</f>
        <v>49.1186267010971</v>
      </c>
      <c r="BR167" s="353"/>
      <c r="BS167" s="353"/>
      <c r="BT167" s="353" t="n">
        <v>3715.352</v>
      </c>
      <c r="BU167" s="353" t="n">
        <v>4.3437</v>
      </c>
      <c r="BV167" s="353" t="n">
        <v>-245.97</v>
      </c>
      <c r="BW167" s="349"/>
      <c r="BY167" s="353"/>
      <c r="BZ167" s="353"/>
      <c r="CA167" s="353"/>
      <c r="CC167" s="353"/>
    </row>
    <row r="168" customFormat="false" ht="12.75" hidden="false" customHeight="false" outlineLevel="0" collapsed="false">
      <c r="A168" s="0" t="n">
        <f aca="false">A167+500</f>
        <v>67000</v>
      </c>
      <c r="B168" s="0" t="n">
        <f aca="false">A168/1000</f>
        <v>67</v>
      </c>
      <c r="C168" s="0" t="n">
        <f aca="false">SQRT((A168/Fesr)^2+1)</f>
        <v>1.0000000886093</v>
      </c>
      <c r="D168" s="0" t="n">
        <f aca="false">ATAN(A168/Fesr)</f>
        <v>0.000420973390231894</v>
      </c>
      <c r="F168" s="0" t="n">
        <f aca="false">(Ro/(Ro+Rdcr))/SQRT((A168/(Q*Fo))^2+(1-(A168^2/Fo^2))^2)</f>
        <v>0.585499897568889</v>
      </c>
      <c r="G168" s="0" t="n">
        <f aca="false">-ATAN(A168*Fo/(Q*(Fo^2-A168^2)))</f>
        <v>0.606931432346026</v>
      </c>
      <c r="H168" s="0" t="n">
        <f aca="false">IF(G168&gt;0,G168-Pi,G168)</f>
        <v>-2.53466121765397</v>
      </c>
      <c r="J168" s="0" t="n">
        <f aca="false">Vin/Vramp</f>
        <v>9</v>
      </c>
      <c r="M168" s="0" t="n">
        <f aca="false">1/(2*Pi*_Rfb1*(Cc1ea_u+Cc2ea_u)*A168)</f>
        <v>0.0879795153530992</v>
      </c>
      <c r="N168" s="0" t="n">
        <f aca="false">-Pi/2</f>
        <v>-1.570796325</v>
      </c>
      <c r="O168" s="0" t="n">
        <f aca="false">SQRT(1+(A168/Fz1_u)^2)</f>
        <v>1.91805448559816</v>
      </c>
      <c r="P168" s="0" t="n">
        <f aca="false">ATAN2(Fz1_u,A168)</f>
        <v>1.02235050495752</v>
      </c>
      <c r="Q168" s="0" t="n">
        <f aca="false">SQRT(1+(A168/Fz2_u)^2)</f>
        <v>1857.24741416649</v>
      </c>
      <c r="R168" s="0" t="n">
        <f aca="false">ATAN2(Fz2_u,A168)</f>
        <v>1.57025789554406</v>
      </c>
      <c r="S168" s="0" t="n">
        <f aca="false">1/SQRT(1+(A168/Fp1_u)^2)</f>
        <v>0.197478604701921</v>
      </c>
      <c r="T168" s="0" t="n">
        <f aca="false">-ATAN2(Fp1_u,A168)</f>
        <v>-1.37201112160794</v>
      </c>
      <c r="U168" s="0" t="n">
        <f aca="false">1/SQRT(1+(A168/Fp2_u)^2)</f>
        <v>0.983862578811981</v>
      </c>
      <c r="V168" s="0" t="n">
        <f aca="false">-ATAN2(Fp2_u,A168)</f>
        <v>-0.179894478319994</v>
      </c>
      <c r="X168" s="0" t="n">
        <f aca="false">20*LOG(C168*J168*O168*Q168*F168*M168*S168*U168)</f>
        <v>50.1267226279223</v>
      </c>
      <c r="Y168" s="0" t="n">
        <f aca="false">(180/Pi)*(D168+H168+N168+P168+R168+T168+V168)</f>
        <v>-175.573392165982</v>
      </c>
      <c r="Z168" s="0" t="n">
        <f aca="false">Y168+180</f>
        <v>4.42660783401831</v>
      </c>
      <c r="AC168" s="0" t="n">
        <v>1</v>
      </c>
      <c r="AD168" s="0" t="n">
        <f aca="false">Rcea1_u*Cc1ea_u*A168*2*Pi</f>
        <v>1.6367446379088</v>
      </c>
      <c r="AE168" s="0" t="n">
        <f aca="false">-Rcea1_u*Cc1ea_u*Cc2ea_u*(A168*2*Pi)^2</f>
        <v>-0.000103353896980062</v>
      </c>
      <c r="AF168" s="0" t="n">
        <f aca="false">(Cc2ea_u+Cc1ea_u)*A168*2*Pi</f>
        <v>0.000568314110385</v>
      </c>
      <c r="AG168" s="0" t="n">
        <f aca="false">AC168*AE168/(AE168^2+AF168^2)+AD168*AF168/(AE168^2+AF168^2)</f>
        <v>2478.0430694056</v>
      </c>
      <c r="AH168" s="0" t="n">
        <f aca="false">AD168*AE168/(AE168^2+AF168^2)-AC168*AF168/(AE168^2+AF168^2)</f>
        <v>-2210.24849665717</v>
      </c>
      <c r="AJ168" s="0" t="n">
        <f aca="false">_Rfb1</f>
        <v>20000</v>
      </c>
      <c r="AK168" s="0" t="n">
        <f aca="false">_Rfb1*Rcea2_u*Cc3ea_u*A168*2*Pi</f>
        <v>99282.370217184</v>
      </c>
      <c r="AL168" s="0" t="n">
        <v>1</v>
      </c>
      <c r="AM168" s="0" t="n">
        <f aca="false">(_Rfb1+Rcea2_u)*Cc3ea_u*A168*2*Pi</f>
        <v>1857.24714495086</v>
      </c>
      <c r="AN168" s="0" t="n">
        <f aca="false">AJ168*AL168/(AL168^2+AM168^2)+AK168*AM168/(AL168^2+AM168^2)</f>
        <v>53.4625186137922</v>
      </c>
      <c r="AO168" s="0" t="n">
        <f aca="false">AK168*AL168/(AL168^2+AM168^2)-AJ168*AM168/(AL168^2+AM168^2)</f>
        <v>-10.7398401637677</v>
      </c>
      <c r="AQ168" s="0" t="n">
        <f aca="false">Eadcg/(1+(Eadcg*A168/GBP)^2)</f>
        <v>2.53421128938217</v>
      </c>
      <c r="AR168" s="0" t="n">
        <f aca="false">-(A168*Eadcg*Eadcg/GBP)/(1+(Eadcg*A168/GBP)^2)</f>
        <v>-89.4804664167951</v>
      </c>
      <c r="AT168" s="0" t="n">
        <f aca="false">-AR168*AH168+AG168*AQ168</f>
        <v>-191494.181655841</v>
      </c>
      <c r="AU168" s="0" t="n">
        <f aca="false">AQ168*AH168+AG168*AR168</f>
        <v>-227337.686343888</v>
      </c>
      <c r="AV168" s="0" t="n">
        <f aca="false">ATAN2(AT168,AU168)</f>
        <v>-2.27082280437065</v>
      </c>
      <c r="AW168" s="0" t="n">
        <f aca="false">AG168-AH168*AO168/_Rfb2+AG168*AN168/_Rfb2+AN168-AO168*AR168+AQ168*AN168</f>
        <v>1754.92011781991</v>
      </c>
      <c r="AX168" s="0" t="n">
        <f aca="false">AH168+AH168*AN168/_Rfb2+AG168*AO168/_Rfb2+AO168+AO168*AQ168+AN168*AR168</f>
        <v>-7097.20711943393</v>
      </c>
      <c r="AY168" s="0" t="n">
        <f aca="false">ATAN2(AW168,AX168)</f>
        <v>-1.32838955604471</v>
      </c>
      <c r="BA168" s="0" t="n">
        <f aca="false">SQRT(AT168^2+AU168^2)/SQRT(AW168^2+AX168^2)</f>
        <v>40.65697400509</v>
      </c>
      <c r="BB168" s="0" t="n">
        <f aca="false">20*LOG(BA168)</f>
        <v>32.1827010414778</v>
      </c>
      <c r="BC168" s="0" t="n">
        <f aca="false">AV168-AY168</f>
        <v>-0.942433248325939</v>
      </c>
      <c r="BD168" s="0" t="n">
        <f aca="false">BC168*180/Pi-180</f>
        <v>-233.997447663582</v>
      </c>
      <c r="BF168" s="0" t="n">
        <f aca="false">20*LOG(BA168*J168*F168*C168)</f>
        <v>46.6180884685174</v>
      </c>
      <c r="BG168" s="0" t="n">
        <f aca="false">(180/Pi)*(D168+H168+BC168)</f>
        <v>-199.198718098014</v>
      </c>
      <c r="BH168" s="0" t="n">
        <f aca="false">IF(BG168&gt;180,BG168-180,BG168+180)</f>
        <v>-19.1987180980139</v>
      </c>
      <c r="BI168" s="0" t="n">
        <f aca="false">IF(BH168&gt;180,BH168-360,BH168)</f>
        <v>-19.1987180980139</v>
      </c>
      <c r="BJ168" s="0" t="n">
        <f aca="false">SUM((BF169&lt;0)*(BF168&gt;0))*A168</f>
        <v>0</v>
      </c>
      <c r="BK168" s="0" t="n">
        <f aca="false">IF(BJ168&gt;0,BI168,0)</f>
        <v>0</v>
      </c>
      <c r="BM168" s="0" t="n">
        <f aca="false">20*LOG(J168*F168*C168)</f>
        <v>14.4353874270396</v>
      </c>
      <c r="BN168" s="0" t="n">
        <f aca="false">(H168+D168)*180/Pi</f>
        <v>-145.201270434432</v>
      </c>
      <c r="BQ168" s="347" t="n">
        <f aca="false">20*LOG(BA168*7)</f>
        <v>49.0846618417629</v>
      </c>
      <c r="BR168" s="353"/>
      <c r="BS168" s="353"/>
      <c r="BT168" s="353" t="n">
        <v>3801.894</v>
      </c>
      <c r="BU168" s="353" t="n">
        <v>4.14374</v>
      </c>
      <c r="BV168" s="353" t="n">
        <v>-245.169</v>
      </c>
      <c r="BW168" s="349"/>
      <c r="BY168" s="353"/>
      <c r="BZ168" s="353"/>
      <c r="CA168" s="353"/>
      <c r="CC168" s="353"/>
    </row>
    <row r="169" customFormat="false" ht="12.75" hidden="false" customHeight="false" outlineLevel="0" collapsed="false">
      <c r="A169" s="0" t="n">
        <f aca="false">A168+500</f>
        <v>67500</v>
      </c>
      <c r="B169" s="0" t="n">
        <f aca="false">A169/1000</f>
        <v>67.5</v>
      </c>
      <c r="C169" s="0" t="n">
        <f aca="false">SQRT((A169/Fesr)^2+1)</f>
        <v>1.00000008993677</v>
      </c>
      <c r="D169" s="0" t="n">
        <f aca="false">ATAN(A169/Fesr)</f>
        <v>0.00042411498232098</v>
      </c>
      <c r="F169" s="0" t="n">
        <f aca="false">(Ro/(Ro+Rdcr))/SQRT((A169/(Q*Fo))^2+(1-(A169^2/Fo^2))^2)</f>
        <v>0.574114405159763</v>
      </c>
      <c r="G169" s="0" t="n">
        <f aca="false">-ATAN(A169*Fo/(Q*(Fo^2-A169^2)))</f>
        <v>0.598534466544111</v>
      </c>
      <c r="H169" s="0" t="n">
        <f aca="false">IF(G169&gt;0,G169-Pi,G169)</f>
        <v>-2.54305818345589</v>
      </c>
      <c r="J169" s="0" t="n">
        <f aca="false">Vin/Vramp</f>
        <v>9</v>
      </c>
      <c r="M169" s="0" t="n">
        <f aca="false">1/(2*Pi*_Rfb1*(Cc1ea_u+Cc2ea_u)*A169)</f>
        <v>0.0873278152393725</v>
      </c>
      <c r="N169" s="0" t="n">
        <f aca="false">-Pi/2</f>
        <v>-1.570796325</v>
      </c>
      <c r="O169" s="0" t="n">
        <f aca="false">SQRT(1+(A169/Fz1_u)^2)</f>
        <v>1.92848808106352</v>
      </c>
      <c r="P169" s="0" t="n">
        <f aca="false">ATAN2(Fz1_u,A169)</f>
        <v>1.02565267184944</v>
      </c>
      <c r="Q169" s="0" t="n">
        <f aca="false">SQRT(1+(A169/Fz2_u)^2)</f>
        <v>1871.10746549283</v>
      </c>
      <c r="R169" s="0" t="n">
        <f aca="false">ATAN2(Fz2_u,A169)</f>
        <v>1.57026188392294</v>
      </c>
      <c r="S169" s="0" t="n">
        <f aca="false">1/SQRT(1+(A169/Fp1_u)^2)</f>
        <v>0.196072238462832</v>
      </c>
      <c r="T169" s="0" t="n">
        <f aca="false">-ATAN2(Fp1_u,A169)</f>
        <v>-1.37344553274547</v>
      </c>
      <c r="U169" s="0" t="n">
        <f aca="false">1/SQRT(1+(A169/Fp2_u)^2)</f>
        <v>0.983626728385902</v>
      </c>
      <c r="V169" s="0" t="n">
        <f aca="false">-ATAN2(Fp2_u,A169)</f>
        <v>-0.181207882843836</v>
      </c>
      <c r="X169" s="0" t="n">
        <f aca="false">20*LOG(C169*J169*O169*Q169*F169*M169*S169*U169)</f>
        <v>49.9391141328943</v>
      </c>
      <c r="Y169" s="0" t="n">
        <f aca="false">(180/Pi)*(D169+H169+N169+P169+R169+T169+V169)</f>
        <v>-176.022332364538</v>
      </c>
      <c r="Z169" s="0" t="n">
        <f aca="false">Y169+180</f>
        <v>3.97766763546181</v>
      </c>
      <c r="AC169" s="0" t="n">
        <v>1</v>
      </c>
      <c r="AD169" s="0" t="n">
        <f aca="false">Rcea1_u*Cc1ea_u*A169*2*Pi</f>
        <v>1.648959150132</v>
      </c>
      <c r="AE169" s="0" t="n">
        <f aca="false">-Rcea1_u*Cc1ea_u*Cc2ea_u*(A169*2*Pi)^2</f>
        <v>-0.00010490224841065</v>
      </c>
      <c r="AF169" s="0" t="n">
        <f aca="false">(Cc2ea_u+Cc1ea_u)*A169*2*Pi</f>
        <v>0.0005725552604625</v>
      </c>
      <c r="AG169" s="0" t="n">
        <f aca="false">AC169*AE169/(AE169^2+AF169^2)+AD169*AF169/(AE169^2+AF169^2)</f>
        <v>2476.85514443559</v>
      </c>
      <c r="AH169" s="0" t="n">
        <f aca="false">AD169*AE169/(AE169^2+AF169^2)-AC169*AF169/(AE169^2+AF169^2)</f>
        <v>-2200.35996633951</v>
      </c>
      <c r="AJ169" s="0" t="n">
        <f aca="false">_Rfb1</f>
        <v>20000</v>
      </c>
      <c r="AK169" s="0" t="n">
        <f aca="false">_Rfb1*Rcea2_u*Cc3ea_u*A169*2*Pi</f>
        <v>100023.28342776</v>
      </c>
      <c r="AL169" s="0" t="n">
        <v>1</v>
      </c>
      <c r="AM169" s="0" t="n">
        <f aca="false">(_Rfb1+Rcea2_u)*Cc3ea_u*A169*2*Pi</f>
        <v>1871.10719827139</v>
      </c>
      <c r="AN169" s="0" t="n">
        <f aca="false">AJ169*AL169/(AL169^2+AM169^2)+AK169*AM169/(AL169^2+AM169^2)</f>
        <v>53.4624332619818</v>
      </c>
      <c r="AO169" s="0" t="n">
        <f aca="false">AK169*AL169/(AL169^2+AM169^2)-AJ169*AM169/(AL169^2+AM169^2)</f>
        <v>-10.6602858377999</v>
      </c>
      <c r="AQ169" s="0" t="n">
        <f aca="false">Eadcg/(1+(Eadcg*A169/GBP)^2)</f>
        <v>2.49683600607688</v>
      </c>
      <c r="AR169" s="0" t="n">
        <f aca="false">-(A169*Eadcg*Eadcg/GBP)/(1+(Eadcg*A169/GBP)^2)</f>
        <v>-88.8186988261698</v>
      </c>
      <c r="AT169" s="0" t="n">
        <f aca="false">-AR169*AH169+AG169*AQ169</f>
        <v>-189248.808053007</v>
      </c>
      <c r="AU169" s="0" t="n">
        <f aca="false">AQ169*AH169+AG169*AR169</f>
        <v>-225484.989099961</v>
      </c>
      <c r="AV169" s="0" t="n">
        <f aca="false">ATAN2(AT169,AU169)</f>
        <v>-2.26904366319013</v>
      </c>
      <c r="AW169" s="0" t="n">
        <f aca="false">AG169-AH169*AO169/_Rfb2+AG169*AN169/_Rfb2+AN169-AO169*AR169+AQ169*AN169</f>
        <v>1766.00479531242</v>
      </c>
      <c r="AX169" s="0" t="n">
        <f aca="false">AH169+AH169*AN169/_Rfb2+AG169*AO169/_Rfb2+AO169+AO169*AQ169+AN169*AR169</f>
        <v>-7050.91925785444</v>
      </c>
      <c r="AY169" s="0" t="n">
        <f aca="false">ATAN2(AW169,AX169)</f>
        <v>-1.32538055784099</v>
      </c>
      <c r="BA169" s="0" t="n">
        <f aca="false">SQRT(AT169^2+AU169^2)/SQRT(AW169^2+AX169^2)</f>
        <v>40.4993544114822</v>
      </c>
      <c r="BB169" s="0" t="n">
        <f aca="false">20*LOG(BA169)</f>
        <v>32.1489620061375</v>
      </c>
      <c r="BC169" s="0" t="n">
        <f aca="false">AV169-AY169</f>
        <v>-0.943663105349138</v>
      </c>
      <c r="BD169" s="0" t="n">
        <f aca="false">BC169*180/Pi-180</f>
        <v>-234.067913280496</v>
      </c>
      <c r="BF169" s="0" t="n">
        <f aca="false">20*LOG(BA169*J169*F169*C169)</f>
        <v>46.4137818546838</v>
      </c>
      <c r="BG169" s="0" t="n">
        <f aca="false">(180/Pi)*(D169+H169+BC169)</f>
        <v>-199.750114416676</v>
      </c>
      <c r="BH169" s="0" t="n">
        <f aca="false">IF(BG169&gt;180,BG169-180,BG169+180)</f>
        <v>-19.7501144166756</v>
      </c>
      <c r="BI169" s="0" t="n">
        <f aca="false">IF(BH169&gt;180,BH169-360,BH169)</f>
        <v>-19.7501144166756</v>
      </c>
      <c r="BJ169" s="0" t="n">
        <f aca="false">SUM((BF170&lt;0)*(BF169&gt;0))*A169</f>
        <v>0</v>
      </c>
      <c r="BK169" s="0" t="n">
        <f aca="false">IF(BJ169&gt;0,BI169,0)</f>
        <v>0</v>
      </c>
      <c r="BM169" s="0" t="n">
        <f aca="false">20*LOG(J169*F169*C169)</f>
        <v>14.2648198485463</v>
      </c>
      <c r="BN169" s="0" t="n">
        <f aca="false">(H169+D169)*180/Pi</f>
        <v>-145.682201136179</v>
      </c>
      <c r="BQ169" s="347" t="n">
        <f aca="false">20*LOG(BA169*7)</f>
        <v>49.0509228064227</v>
      </c>
      <c r="BR169" s="353"/>
      <c r="BS169" s="353"/>
      <c r="BT169" s="353" t="n">
        <v>3890.451</v>
      </c>
      <c r="BU169" s="353" t="n">
        <v>3.9573</v>
      </c>
      <c r="BV169" s="353" t="n">
        <v>-244.768</v>
      </c>
      <c r="BW169" s="349"/>
      <c r="BY169" s="353"/>
      <c r="BZ169" s="353"/>
      <c r="CA169" s="353"/>
      <c r="CC169" s="353"/>
    </row>
    <row r="170" customFormat="false" ht="12.75" hidden="false" customHeight="false" outlineLevel="0" collapsed="false">
      <c r="A170" s="0" t="n">
        <f aca="false">A169+500</f>
        <v>68000</v>
      </c>
      <c r="B170" s="0" t="n">
        <f aca="false">A170/1000</f>
        <v>68</v>
      </c>
      <c r="C170" s="0" t="n">
        <f aca="false">SQRT((A170/Fesr)^2+1)</f>
        <v>1.0000000912741</v>
      </c>
      <c r="D170" s="0" t="n">
        <f aca="false">ATAN(A170/Fesr)</f>
        <v>0.000427256574401695</v>
      </c>
      <c r="F170" s="0" t="n">
        <f aca="false">(Ro/(Ro+Rdcr))/SQRT((A170/(Q*Fo))^2+(1-(A170^2/Fo^2))^2)</f>
        <v>0.563055084196686</v>
      </c>
      <c r="G170" s="0" t="n">
        <f aca="false">-ATAN(A170*Fo/(Q*(Fo^2-A170^2)))</f>
        <v>0.590374218870244</v>
      </c>
      <c r="H170" s="0" t="n">
        <f aca="false">IF(G170&gt;0,G170-Pi,G170)</f>
        <v>-2.55121843112976</v>
      </c>
      <c r="J170" s="0" t="n">
        <f aca="false">Vin/Vramp</f>
        <v>9</v>
      </c>
      <c r="M170" s="0" t="n">
        <f aca="false">1/(2*Pi*_Rfb1*(Cc1ea_u+Cc2ea_u)*A170)</f>
        <v>0.0866856989508477</v>
      </c>
      <c r="N170" s="0" t="n">
        <f aca="false">-Pi/2</f>
        <v>-1.570796325</v>
      </c>
      <c r="O170" s="0" t="n">
        <f aca="false">SQRT(1+(A170/Fz1_u)^2)</f>
        <v>1.93894247890508</v>
      </c>
      <c r="P170" s="0" t="n">
        <f aca="false">ATAN2(Fz1_u,A170)</f>
        <v>1.02891926476876</v>
      </c>
      <c r="Q170" s="0" t="n">
        <f aca="false">SQRT(1+(A170/Fz2_u)^2)</f>
        <v>1884.9675168485</v>
      </c>
      <c r="R170" s="0" t="n">
        <f aca="false">ATAN2(Fz2_u,A170)</f>
        <v>1.5702658136492</v>
      </c>
      <c r="S170" s="0" t="n">
        <f aca="false">1/SQRT(1+(A170/Fp1_u)^2)</f>
        <v>0.194685369656863</v>
      </c>
      <c r="T170" s="0" t="n">
        <f aca="false">-ATAN2(Fp1_u,A170)</f>
        <v>-1.37485965484889</v>
      </c>
      <c r="U170" s="0" t="n">
        <f aca="false">1/SQRT(1+(A170/Fp2_u)^2)</f>
        <v>0.98338929585204</v>
      </c>
      <c r="V170" s="0" t="n">
        <f aca="false">-ATAN2(Fp2_u,A170)</f>
        <v>-0.182520655559586</v>
      </c>
      <c r="X170" s="0" t="n">
        <f aca="false">20*LOG(C170*J170*O170*Q170*F170*M170*S170*U170)</f>
        <v>49.7533695486604</v>
      </c>
      <c r="Y170" s="0" t="n">
        <f aca="false">(180/Pi)*(D170+H170+N170+P170+R170+T170+V170)</f>
        <v>-176.458552536485</v>
      </c>
      <c r="Z170" s="0" t="n">
        <f aca="false">Y170+180</f>
        <v>3.54144746351548</v>
      </c>
      <c r="AC170" s="0" t="n">
        <v>1</v>
      </c>
      <c r="AD170" s="0" t="n">
        <f aca="false">Rcea1_u*Cc1ea_u*A170*2*Pi</f>
        <v>1.6611736623552</v>
      </c>
      <c r="AE170" s="0" t="n">
        <f aca="false">-Rcea1_u*Cc1ea_u*Cc2ea_u*(A170*2*Pi)^2</f>
        <v>-0.000106462111747785</v>
      </c>
      <c r="AF170" s="0" t="n">
        <f aca="false">(Cc2ea_u+Cc1ea_u)*A170*2*Pi</f>
        <v>0.00057679641054</v>
      </c>
      <c r="AG170" s="0" t="n">
        <f aca="false">AC170*AE170/(AE170^2+AF170^2)+AD170*AF170/(AE170^2+AF170^2)</f>
        <v>2475.65953842271</v>
      </c>
      <c r="AH170" s="0" t="n">
        <f aca="false">AD170*AE170/(AE170^2+AF170^2)-AC170*AF170/(AE170^2+AF170^2)</f>
        <v>-2190.65847037098</v>
      </c>
      <c r="AJ170" s="0" t="n">
        <f aca="false">_Rfb1</f>
        <v>20000</v>
      </c>
      <c r="AK170" s="0" t="n">
        <f aca="false">_Rfb1*Rcea2_u*Cc3ea_u*A170*2*Pi</f>
        <v>100764.196638336</v>
      </c>
      <c r="AL170" s="0" t="n">
        <v>1</v>
      </c>
      <c r="AM170" s="0" t="n">
        <f aca="false">(_Rfb1+Rcea2_u)*Cc3ea_u*A170*2*Pi</f>
        <v>1884.96725159192</v>
      </c>
      <c r="AN170" s="0" t="n">
        <f aca="false">AJ170*AL170/(AL170^2+AM170^2)+AK170*AM170/(AL170^2+AM170^2)</f>
        <v>53.4623497860007</v>
      </c>
      <c r="AO170" s="0" t="n">
        <f aca="false">AK170*AL170/(AL170^2+AM170^2)-AJ170*AM170/(AL170^2+AM170^2)</f>
        <v>-10.5819014273954</v>
      </c>
      <c r="AQ170" s="0" t="n">
        <f aca="false">Eadcg/(1+(Eadcg*A170/GBP)^2)</f>
        <v>2.46028128736756</v>
      </c>
      <c r="AR170" s="0" t="n">
        <f aca="false">-(A170*Eadcg*Eadcg/GBP)/(1+(Eadcg*A170/GBP)^2)</f>
        <v>-88.1666402141041</v>
      </c>
      <c r="AT170" s="0" t="n">
        <f aca="false">-AR170*AH170+AG170*AQ170</f>
        <v>-187052.178352903</v>
      </c>
      <c r="AU170" s="0" t="n">
        <f aca="false">AQ170*AH170+AG170*AR170</f>
        <v>-223660.219858397</v>
      </c>
      <c r="AV170" s="0" t="n">
        <f aca="false">ATAN2(AT170,AU170)</f>
        <v>-2.26729638392599</v>
      </c>
      <c r="AW170" s="0" t="n">
        <f aca="false">AG170-AH170*AO170/_Rfb2+AG170*AN170/_Rfb2+AN170-AO170*AR170+AQ170*AN170</f>
        <v>1776.81157092547</v>
      </c>
      <c r="AX170" s="0" t="n">
        <f aca="false">AH170+AH170*AN170/_Rfb2+AG170*AO170/_Rfb2+AO170+AO170*AQ170+AN170*AR170</f>
        <v>-7005.36230502148</v>
      </c>
      <c r="AY170" s="0" t="n">
        <f aca="false">ATAN2(AW170,AX170)</f>
        <v>-1.3223985519831</v>
      </c>
      <c r="BA170" s="0" t="n">
        <f aca="false">SQRT(AT170^2+AU170^2)/SQRT(AW170^2+AX170^2)</f>
        <v>40.3433699718946</v>
      </c>
      <c r="BB170" s="0" t="n">
        <f aca="false">20*LOG(BA170)</f>
        <v>32.1154434596217</v>
      </c>
      <c r="BC170" s="0" t="n">
        <f aca="false">AV170-AY170</f>
        <v>-0.944897831942885</v>
      </c>
      <c r="BD170" s="0" t="n">
        <f aca="false">BC170*180/Pi-180</f>
        <v>-234.138657903251</v>
      </c>
      <c r="BF170" s="0" t="n">
        <f aca="false">20*LOG(BA170*J170*F170*C170)</f>
        <v>46.2113121283715</v>
      </c>
      <c r="BG170" s="0" t="n">
        <f aca="false">(180/Pi)*(D170+H170+BC170)</f>
        <v>-200.288226791492</v>
      </c>
      <c r="BH170" s="0" t="n">
        <f aca="false">IF(BG170&gt;180,BG170-180,BG170+180)</f>
        <v>-20.2882267914916</v>
      </c>
      <c r="BI170" s="0" t="n">
        <f aca="false">IF(BH170&gt;180,BH170-360,BH170)</f>
        <v>-20.2882267914916</v>
      </c>
      <c r="BJ170" s="0" t="n">
        <f aca="false">SUM((BF171&lt;0)*(BF170&gt;0))*A170</f>
        <v>0</v>
      </c>
      <c r="BK170" s="0" t="n">
        <f aca="false">IF(BJ170&gt;0,BI170,0)</f>
        <v>0</v>
      </c>
      <c r="BM170" s="0" t="n">
        <f aca="false">20*LOG(J170*F170*C170)</f>
        <v>14.0958686687497</v>
      </c>
      <c r="BN170" s="0" t="n">
        <f aca="false">(H170+D170)*180/Pi</f>
        <v>-146.14956888824</v>
      </c>
      <c r="BQ170" s="347" t="n">
        <f aca="false">20*LOG(BA170*7)</f>
        <v>49.0174042599069</v>
      </c>
      <c r="BR170" s="353"/>
      <c r="BS170" s="353"/>
      <c r="BT170" s="353" t="n">
        <v>3981.072</v>
      </c>
      <c r="BU170" s="353" t="n">
        <v>3.89809</v>
      </c>
      <c r="BV170" s="353" t="n">
        <v>-244.315</v>
      </c>
      <c r="BW170" s="349"/>
      <c r="BY170" s="353"/>
      <c r="BZ170" s="353"/>
      <c r="CA170" s="353"/>
      <c r="CC170" s="353"/>
    </row>
    <row r="171" customFormat="false" ht="12.75" hidden="false" customHeight="false" outlineLevel="0" collapsed="false">
      <c r="A171" s="0" t="n">
        <f aca="false">A170+500</f>
        <v>68500</v>
      </c>
      <c r="B171" s="0" t="n">
        <f aca="false">A171/1000</f>
        <v>68.5</v>
      </c>
      <c r="C171" s="0" t="n">
        <f aca="false">SQRT((A171/Fesr)^2+1)</f>
        <v>1.0000000926213</v>
      </c>
      <c r="D171" s="0" t="n">
        <f aca="false">ATAN(A171/Fesr)</f>
        <v>0.000430398166473976</v>
      </c>
      <c r="F171" s="0" t="n">
        <f aca="false">(Ro/(Ro+Rdcr))/SQRT((A171/(Q*Fo))^2+(1-(A171^2/Fo^2))^2)</f>
        <v>0.552310658939538</v>
      </c>
      <c r="G171" s="0" t="n">
        <f aca="false">-ATAN(A171*Fo/(Q*(Fo^2-A171^2)))</f>
        <v>0.582441334145636</v>
      </c>
      <c r="H171" s="0" t="n">
        <f aca="false">IF(G171&gt;0,G171-Pi,G171)</f>
        <v>-2.55915131585436</v>
      </c>
      <c r="J171" s="0" t="n">
        <f aca="false">Vin/Vramp</f>
        <v>9</v>
      </c>
      <c r="M171" s="0" t="n">
        <f aca="false">1/(2*Pi*_Rfb1*(Cc1ea_u+Cc2ea_u)*A171)</f>
        <v>0.0860529566227393</v>
      </c>
      <c r="N171" s="0" t="n">
        <f aca="false">-Pi/2</f>
        <v>-1.570796325</v>
      </c>
      <c r="O171" s="0" t="n">
        <f aca="false">SQRT(1+(A171/Fz1_u)^2)</f>
        <v>1.94941734444393</v>
      </c>
      <c r="P171" s="0" t="n">
        <f aca="false">ATAN2(Fz1_u,A171)</f>
        <v>1.0321507868896</v>
      </c>
      <c r="Q171" s="0" t="n">
        <f aca="false">SQRT(1+(A171/Fz2_u)^2)</f>
        <v>1898.82756823285</v>
      </c>
      <c r="R171" s="0" t="n">
        <f aca="false">ATAN2(Fz2_u,A171)</f>
        <v>1.5702696860072</v>
      </c>
      <c r="S171" s="0" t="n">
        <f aca="false">1/SQRT(1+(A171/Fp1_u)^2)</f>
        <v>0.193317603927154</v>
      </c>
      <c r="T171" s="0" t="n">
        <f aca="false">-ATAN2(Fp1_u,A171)</f>
        <v>-1.37625390982499</v>
      </c>
      <c r="U171" s="0" t="n">
        <f aca="false">1/SQRT(1+(A171/Fp2_u)^2)</f>
        <v>0.983150284810017</v>
      </c>
      <c r="V171" s="0" t="n">
        <f aca="false">-ATAN2(Fp2_u,A171)</f>
        <v>-0.183832792401516</v>
      </c>
      <c r="X171" s="0" t="n">
        <f aca="false">20*LOG(C171*J171*O171*Q171*F171*M171*S171*U171)</f>
        <v>49.5694687603835</v>
      </c>
      <c r="Y171" s="0" t="n">
        <f aca="false">(180/Pi)*(D171+H171+N171+P171+R171+T171+V171)</f>
        <v>-176.88258373127</v>
      </c>
      <c r="Z171" s="0" t="n">
        <f aca="false">Y171+180</f>
        <v>3.11741626873007</v>
      </c>
      <c r="AC171" s="0" t="n">
        <v>1</v>
      </c>
      <c r="AD171" s="0" t="n">
        <f aca="false">Rcea1_u*Cc1ea_u*A171*2*Pi</f>
        <v>1.6733881745784</v>
      </c>
      <c r="AE171" s="0" t="n">
        <f aca="false">-Rcea1_u*Cc1ea_u*Cc2ea_u*(A171*2*Pi)^2</f>
        <v>-0.000108033486991467</v>
      </c>
      <c r="AF171" s="0" t="n">
        <f aca="false">(Cc2ea_u+Cc1ea_u)*A171*2*Pi</f>
        <v>0.0005810375606175</v>
      </c>
      <c r="AG171" s="0" t="n">
        <f aca="false">AC171*AE171/(AE171^2+AF171^2)+AD171*AF171/(AE171^2+AF171^2)</f>
        <v>2474.45627525636</v>
      </c>
      <c r="AH171" s="0" t="n">
        <f aca="false">AD171*AE171/(AE171^2+AF171^2)-AC171*AF171/(AE171^2+AF171^2)</f>
        <v>-2181.13978462427</v>
      </c>
      <c r="AJ171" s="0" t="n">
        <f aca="false">_Rfb1</f>
        <v>20000</v>
      </c>
      <c r="AK171" s="0" t="n">
        <f aca="false">_Rfb1*Rcea2_u*Cc3ea_u*A171*2*Pi</f>
        <v>101505.109848912</v>
      </c>
      <c r="AL171" s="0" t="n">
        <v>1</v>
      </c>
      <c r="AM171" s="0" t="n">
        <f aca="false">(_Rfb1+Rcea2_u)*Cc3ea_u*A171*2*Pi</f>
        <v>1898.82730491245</v>
      </c>
      <c r="AN171" s="0" t="n">
        <f aca="false">AJ171*AL171/(AL171^2+AM171^2)+AK171*AM171/(AL171^2+AM171^2)</f>
        <v>53.4622681312806</v>
      </c>
      <c r="AO171" s="0" t="n">
        <f aca="false">AK171*AL171/(AL171^2+AM171^2)-AJ171*AM171/(AL171^2+AM171^2)</f>
        <v>-10.5046613139937</v>
      </c>
      <c r="AQ171" s="0" t="n">
        <f aca="false">Eadcg/(1+(Eadcg*A171/GBP)^2)</f>
        <v>2.42452329355301</v>
      </c>
      <c r="AR171" s="0" t="n">
        <f aca="false">-(A171*Eadcg*Eadcg/GBP)/(1+(Eadcg*A171/GBP)^2)</f>
        <v>-87.5240786356168</v>
      </c>
      <c r="AT171" s="0" t="n">
        <f aca="false">-AR171*AH171+AG171*AQ171</f>
        <v>-184902.873146489</v>
      </c>
      <c r="AU171" s="0" t="n">
        <f aca="false">AQ171*AH171+AG171*AR171</f>
        <v>-221862.72983025</v>
      </c>
      <c r="AV171" s="0" t="n">
        <f aca="false">ATAN2(AT171,AU171)</f>
        <v>-2.26558052671933</v>
      </c>
      <c r="AW171" s="0" t="n">
        <f aca="false">AG171-AH171*AO171/_Rfb2+AG171*AN171/_Rfb2+AN171-AO171*AR171+AQ171*AN171</f>
        <v>1787.34831447952</v>
      </c>
      <c r="AX171" s="0" t="n">
        <f aca="false">AH171+AH171*AN171/_Rfb2+AG171*AO171/_Rfb2+AO171+AO171*AQ171+AN171*AR171</f>
        <v>-6960.51990424291</v>
      </c>
      <c r="AY171" s="0" t="n">
        <f aca="false">ATAN2(AW171,AX171)</f>
        <v>-1.31944323092783</v>
      </c>
      <c r="BA171" s="0" t="n">
        <f aca="false">SQRT(AT171^2+AU171^2)/SQRT(AW171^2+AX171^2)</f>
        <v>40.1889825367802</v>
      </c>
      <c r="BB171" s="0" t="n">
        <f aca="false">20*LOG(BA171)</f>
        <v>32.0821402262267</v>
      </c>
      <c r="BC171" s="0" t="n">
        <f aca="false">AV171-AY171</f>
        <v>-0.946137295791508</v>
      </c>
      <c r="BD171" s="0" t="n">
        <f aca="false">BC171*180/Pi-180</f>
        <v>-234.209673950718</v>
      </c>
      <c r="BF171" s="0" t="n">
        <f aca="false">20*LOG(BA171*J171*F171*C171)</f>
        <v>46.0106597129532</v>
      </c>
      <c r="BG171" s="0" t="n">
        <f aca="false">(180/Pi)*(D171+H171+BC171)</f>
        <v>-200.813583653594</v>
      </c>
      <c r="BH171" s="0" t="n">
        <f aca="false">IF(BG171&gt;180,BG171-180,BG171+180)</f>
        <v>-20.8135836535942</v>
      </c>
      <c r="BI171" s="0" t="n">
        <f aca="false">IF(BH171&gt;180,BH171-360,BH171)</f>
        <v>-20.8135836535942</v>
      </c>
      <c r="BJ171" s="0" t="n">
        <f aca="false">SUM((BF172&lt;0)*(BF171&gt;0))*A171</f>
        <v>0</v>
      </c>
      <c r="BK171" s="0" t="n">
        <f aca="false">IF(BJ171&gt;0,BI171,0)</f>
        <v>0</v>
      </c>
      <c r="BM171" s="0" t="n">
        <f aca="false">20*LOG(J171*F171*C171)</f>
        <v>13.9285194867265</v>
      </c>
      <c r="BN171" s="0" t="n">
        <f aca="false">(H171+D171)*180/Pi</f>
        <v>-146.603909702876</v>
      </c>
      <c r="BQ171" s="347" t="n">
        <f aca="false">20*LOG(BA171*7)</f>
        <v>48.9841010265118</v>
      </c>
      <c r="BR171" s="353"/>
      <c r="BS171" s="353"/>
      <c r="BT171" s="353" t="n">
        <v>4073.803</v>
      </c>
      <c r="BU171" s="353" t="n">
        <v>3.5601</v>
      </c>
      <c r="BV171" s="353" t="n">
        <v>-244.142</v>
      </c>
      <c r="BW171" s="349"/>
      <c r="BY171" s="353"/>
      <c r="BZ171" s="353"/>
      <c r="CA171" s="353"/>
      <c r="CC171" s="353"/>
    </row>
    <row r="172" customFormat="false" ht="12.75" hidden="false" customHeight="false" outlineLevel="0" collapsed="false">
      <c r="A172" s="0" t="n">
        <f aca="false">A171+500</f>
        <v>69000</v>
      </c>
      <c r="B172" s="0" t="n">
        <f aca="false">A172/1000</f>
        <v>69</v>
      </c>
      <c r="C172" s="0" t="n">
        <f aca="false">SQRT((A172/Fesr)^2+1)</f>
        <v>1.00000009397837</v>
      </c>
      <c r="D172" s="0" t="n">
        <f aca="false">ATAN(A172/Fesr)</f>
        <v>0.000433539758537761</v>
      </c>
      <c r="F172" s="0" t="n">
        <f aca="false">(Ro/(Ro+Rdcr))/SQRT((A172/(Q*Fo))^2+(1-(A172^2/Fo^2))^2)</f>
        <v>0.541870224398572</v>
      </c>
      <c r="G172" s="0" t="n">
        <f aca="false">-ATAN(A172*Fo/(Q*(Fo^2-A172^2)))</f>
        <v>0.574726897074783</v>
      </c>
      <c r="H172" s="0" t="n">
        <f aca="false">IF(G172&gt;0,G172-Pi,G172)</f>
        <v>-2.56686575292522</v>
      </c>
      <c r="J172" s="0" t="n">
        <f aca="false">Vin/Vramp</f>
        <v>9</v>
      </c>
      <c r="M172" s="0" t="n">
        <f aca="false">1/(2*Pi*_Rfb1*(Cc1ea_u+Cc2ea_u)*A172)</f>
        <v>0.0854293844732992</v>
      </c>
      <c r="N172" s="0" t="n">
        <f aca="false">-Pi/2</f>
        <v>-1.570796325</v>
      </c>
      <c r="O172" s="0" t="n">
        <f aca="false">SQRT(1+(A172/Fz1_u)^2)</f>
        <v>1.9599123495077</v>
      </c>
      <c r="P172" s="0" t="n">
        <f aca="false">ATAN2(Fz1_u,A172)</f>
        <v>1.03534773356993</v>
      </c>
      <c r="Q172" s="0" t="n">
        <f aca="false">SQRT(1+(A172/Fz2_u)^2)</f>
        <v>1912.68761964526</v>
      </c>
      <c r="R172" s="0" t="n">
        <f aca="false">ATAN2(Fz2_u,A172)</f>
        <v>1.5702735022441</v>
      </c>
      <c r="S172" s="0" t="n">
        <f aca="false">1/SQRT(1+(A172/Fp1_u)^2)</f>
        <v>0.191968557244852</v>
      </c>
      <c r="T172" s="0" t="n">
        <f aca="false">-ATAN2(Fp1_u,A172)</f>
        <v>-1.37762870811755</v>
      </c>
      <c r="U172" s="0" t="n">
        <f aca="false">1/SQRT(1+(A172/Fp2_u)^2)</f>
        <v>0.982909698878637</v>
      </c>
      <c r="V172" s="0" t="n">
        <f aca="false">-ATAN2(Fp2_u,A172)</f>
        <v>-0.185144289316591</v>
      </c>
      <c r="X172" s="0" t="n">
        <f aca="false">20*LOG(C172*J172*O172*Q172*F172*M172*S172*U172)</f>
        <v>49.387390649291</v>
      </c>
      <c r="Y172" s="0" t="n">
        <f aca="false">(180/Pi)*(D172+H172+N172+P172+R172+T172+V172)</f>
        <v>-177.294931588798</v>
      </c>
      <c r="Z172" s="0" t="n">
        <f aca="false">Y172+180</f>
        <v>2.70506841120181</v>
      </c>
      <c r="AC172" s="0" t="n">
        <v>1</v>
      </c>
      <c r="AD172" s="0" t="n">
        <f aca="false">Rcea1_u*Cc1ea_u*A172*2*Pi</f>
        <v>1.6856026868016</v>
      </c>
      <c r="AE172" s="0" t="n">
        <f aca="false">-Rcea1_u*Cc1ea_u*Cc2ea_u*(A172*2*Pi)^2</f>
        <v>-0.000109616374141697</v>
      </c>
      <c r="AF172" s="0" t="n">
        <f aca="false">(Cc2ea_u+Cc1ea_u)*A172*2*Pi</f>
        <v>0.000585278710695</v>
      </c>
      <c r="AG172" s="0" t="n">
        <f aca="false">AC172*AE172/(AE172^2+AF172^2)+AD172*AF172/(AE172^2+AF172^2)</f>
        <v>2473.24537894321</v>
      </c>
      <c r="AH172" s="0" t="n">
        <f aca="false">AD172*AE172/(AE172^2+AF172^2)-AC172*AF172/(AE172^2+AF172^2)</f>
        <v>-2171.79980678446</v>
      </c>
      <c r="AJ172" s="0" t="n">
        <f aca="false">_Rfb1</f>
        <v>20000</v>
      </c>
      <c r="AK172" s="0" t="n">
        <f aca="false">_Rfb1*Rcea2_u*Cc3ea_u*A172*2*Pi</f>
        <v>102246.023059488</v>
      </c>
      <c r="AL172" s="0" t="n">
        <v>1</v>
      </c>
      <c r="AM172" s="0" t="n">
        <f aca="false">(_Rfb1+Rcea2_u)*Cc3ea_u*A172*2*Pi</f>
        <v>1912.68735823297</v>
      </c>
      <c r="AN172" s="0" t="n">
        <f aca="false">AJ172*AL172/(AL172^2+AM172^2)+AK172*AM172/(AL172^2+AM172^2)</f>
        <v>53.462188245223</v>
      </c>
      <c r="AO172" s="0" t="n">
        <f aca="false">AK172*AL172/(AL172^2+AM172^2)-AJ172*AM172/(AL172^2+AM172^2)</f>
        <v>-10.4285406216007</v>
      </c>
      <c r="AQ172" s="0" t="n">
        <f aca="false">Eadcg/(1+(Eadcg*A172/GBP)^2)</f>
        <v>2.38953904423255</v>
      </c>
      <c r="AR172" s="0" t="n">
        <f aca="false">-(A172*Eadcg*Eadcg/GBP)/(1+(Eadcg*A172/GBP)^2)</f>
        <v>-86.8908082654282</v>
      </c>
      <c r="AT172" s="0" t="n">
        <f aca="false">-AR172*AH172+AG172*AQ172</f>
        <v>-182799.52420325</v>
      </c>
      <c r="AU172" s="0" t="n">
        <f aca="false">AQ172*AH172+AG172*AR172</f>
        <v>-220091.890449679</v>
      </c>
      <c r="AV172" s="0" t="n">
        <f aca="false">ATAN2(AT172,AU172)</f>
        <v>-2.26389565758955</v>
      </c>
      <c r="AW172" s="0" t="n">
        <f aca="false">AG172-AH172*AO172/_Rfb2+AG172*AN172/_Rfb2+AN172-AO172*AR172+AQ172*AN172</f>
        <v>1797.62261313416</v>
      </c>
      <c r="AX172" s="0" t="n">
        <f aca="false">AH172+AH172*AN172/_Rfb2+AG172*AO172/_Rfb2+AO172+AO172*AQ172+AN172*AR172</f>
        <v>-6916.37618016289</v>
      </c>
      <c r="AY172" s="0" t="n">
        <f aca="false">ATAN2(AW172,AX172)</f>
        <v>-1.31651429404333</v>
      </c>
      <c r="BA172" s="0" t="n">
        <f aca="false">SQRT(AT172^2+AU172^2)/SQRT(AW172^2+AX172^2)</f>
        <v>40.0361552107463</v>
      </c>
      <c r="BB172" s="0" t="n">
        <f aca="false">20*LOG(BA172)</f>
        <v>32.0490472847715</v>
      </c>
      <c r="BC172" s="0" t="n">
        <f aca="false">AV172-AY172</f>
        <v>-0.947381363546221</v>
      </c>
      <c r="BD172" s="0" t="n">
        <f aca="false">BC172*180/Pi-180</f>
        <v>-234.280953782573</v>
      </c>
      <c r="BF172" s="0" t="n">
        <f aca="false">20*LOG(BA172*J172*F172*C172)</f>
        <v>45.8118040362522</v>
      </c>
      <c r="BG172" s="0" t="n">
        <f aca="false">(180/Pi)*(D172+H172+BC172)</f>
        <v>-201.326688171467</v>
      </c>
      <c r="BH172" s="0" t="n">
        <f aca="false">IF(BG172&gt;180,BG172-180,BG172+180)</f>
        <v>-21.3266881714668</v>
      </c>
      <c r="BI172" s="0" t="n">
        <f aca="false">IF(BH172&gt;180,BH172-360,BH172)</f>
        <v>-21.3266881714668</v>
      </c>
      <c r="BJ172" s="0" t="n">
        <f aca="false">SUM((BF173&lt;0)*(BF172&gt;0))*A172</f>
        <v>0</v>
      </c>
      <c r="BK172" s="0" t="n">
        <f aca="false">IF(BJ172&gt;0,BI172,0)</f>
        <v>0</v>
      </c>
      <c r="BM172" s="0" t="n">
        <f aca="false">20*LOG(J172*F172*C172)</f>
        <v>13.7627567514807</v>
      </c>
      <c r="BN172" s="0" t="n">
        <f aca="false">(H172+D172)*180/Pi</f>
        <v>-147.045734388894</v>
      </c>
      <c r="BQ172" s="347" t="n">
        <f aca="false">20*LOG(BA172*7)</f>
        <v>48.9510080850567</v>
      </c>
      <c r="BR172" s="353"/>
      <c r="BS172" s="353"/>
      <c r="BT172" s="353" t="n">
        <v>4168.694</v>
      </c>
      <c r="BU172" s="353" t="n">
        <v>3.40988</v>
      </c>
      <c r="BV172" s="353" t="n">
        <v>-243.709</v>
      </c>
      <c r="BW172" s="349"/>
      <c r="BY172" s="353"/>
      <c r="BZ172" s="353"/>
      <c r="CA172" s="353"/>
      <c r="CC172" s="353"/>
    </row>
    <row r="173" customFormat="false" ht="12.75" hidden="false" customHeight="false" outlineLevel="0" collapsed="false">
      <c r="A173" s="0" t="n">
        <f aca="false">A172+500</f>
        <v>69500</v>
      </c>
      <c r="B173" s="0" t="n">
        <f aca="false">A173/1000</f>
        <v>69.5</v>
      </c>
      <c r="C173" s="0" t="n">
        <f aca="false">SQRT((A173/Fesr)^2+1)</f>
        <v>1.00000009534531</v>
      </c>
      <c r="D173" s="0" t="n">
        <f aca="false">ATAN(A173/Fesr)</f>
        <v>0.000436681350592988</v>
      </c>
      <c r="F173" s="0" t="n">
        <f aca="false">(Ro/(Ro+Rdcr))/SQRT((A173/(Q*Fo))^2+(1-(A173^2/Fo^2))^2)</f>
        <v>0.531723244284614</v>
      </c>
      <c r="G173" s="0" t="n">
        <f aca="false">-ATAN(A173*Fo/(Q*(Fo^2-A173^2)))</f>
        <v>0.567222410626651</v>
      </c>
      <c r="H173" s="0" t="n">
        <f aca="false">IF(G173&gt;0,G173-Pi,G173)</f>
        <v>-2.57437023937335</v>
      </c>
      <c r="J173" s="0" t="n">
        <f aca="false">Vin/Vramp</f>
        <v>9</v>
      </c>
      <c r="M173" s="0" t="n">
        <f aca="false">1/(2*Pi*_Rfb1*(Cc1ea_u+Cc2ea_u)*A173)</f>
        <v>0.0848147845850021</v>
      </c>
      <c r="N173" s="0" t="n">
        <f aca="false">-Pi/2</f>
        <v>-1.570796325</v>
      </c>
      <c r="O173" s="0" t="n">
        <f aca="false">SQRT(1+(A173/Fz1_u)^2)</f>
        <v>1.97042717229143</v>
      </c>
      <c r="P173" s="0" t="n">
        <f aca="false">ATAN2(Fz1_u,A173)</f>
        <v>1.03851059245168</v>
      </c>
      <c r="Q173" s="0" t="n">
        <f aca="false">SQRT(1+(A173/Fz2_u)^2)</f>
        <v>1926.54767108512</v>
      </c>
      <c r="R173" s="0" t="n">
        <f aca="false">ATAN2(Fz2_u,A173)</f>
        <v>1.57027726357112</v>
      </c>
      <c r="S173" s="0" t="n">
        <f aca="false">1/SQRT(1+(A173/Fp1_u)^2)</f>
        <v>0.19063785558161</v>
      </c>
      <c r="T173" s="0" t="n">
        <f aca="false">-ATAN2(Fp1_u,A173)</f>
        <v>-1.37898444908863</v>
      </c>
      <c r="U173" s="0" t="n">
        <f aca="false">1/SQRT(1+(A173/Fp2_u)^2)</f>
        <v>0.982667541695745</v>
      </c>
      <c r="V173" s="0" t="n">
        <f aca="false">-ATAN2(Fp2_u,A173)</f>
        <v>-0.186455142264535</v>
      </c>
      <c r="X173" s="0" t="n">
        <f aca="false">20*LOG(C173*J173*O173*Q173*F173*M173*S173*U173)</f>
        <v>49.2071132618877</v>
      </c>
      <c r="Y173" s="0" t="n">
        <f aca="false">(180/Pi)*(D173+H173+N173+P173+R173+T173+V173)</f>
        <v>-177.696077594134</v>
      </c>
      <c r="Z173" s="0" t="n">
        <f aca="false">Y173+180</f>
        <v>2.30392240586602</v>
      </c>
      <c r="AC173" s="0" t="n">
        <v>1</v>
      </c>
      <c r="AD173" s="0" t="n">
        <f aca="false">Rcea1_u*Cc1ea_u*A173*2*Pi</f>
        <v>1.6978171990248</v>
      </c>
      <c r="AE173" s="0" t="n">
        <f aca="false">-Rcea1_u*Cc1ea_u*Cc2ea_u*(A173*2*Pi)^2</f>
        <v>-0.000111210773198473</v>
      </c>
      <c r="AF173" s="0" t="n">
        <f aca="false">(Cc2ea_u+Cc1ea_u)*A173*2*Pi</f>
        <v>0.0005895198607725</v>
      </c>
      <c r="AG173" s="0" t="n">
        <f aca="false">AC173*AE173/(AE173^2+AF173^2)+AD173*AF173/(AE173^2+AF173^2)</f>
        <v>2472.02687360604</v>
      </c>
      <c r="AH173" s="0" t="n">
        <f aca="false">AD173*AE173/(AE173^2+AF173^2)-AC173*AF173/(AE173^2+AF173^2)</f>
        <v>-2162.63455197336</v>
      </c>
      <c r="AJ173" s="0" t="n">
        <f aca="false">_Rfb1</f>
        <v>20000</v>
      </c>
      <c r="AK173" s="0" t="n">
        <f aca="false">_Rfb1*Rcea2_u*Cc3ea_u*A173*2*Pi</f>
        <v>102986.936270064</v>
      </c>
      <c r="AL173" s="0" t="n">
        <v>1</v>
      </c>
      <c r="AM173" s="0" t="n">
        <f aca="false">(_Rfb1+Rcea2_u)*Cc3ea_u*A173*2*Pi</f>
        <v>1926.5474115535</v>
      </c>
      <c r="AN173" s="0" t="n">
        <f aca="false">AJ173*AL173/(AL173^2+AM173^2)+AK173*AM173/(AL173^2+AM173^2)</f>
        <v>53.4621100771149</v>
      </c>
      <c r="AO173" s="0" t="n">
        <f aca="false">AK173*AL173/(AL173^2+AM173^2)-AJ173*AM173/(AL173^2+AM173^2)</f>
        <v>-10.3535151900771</v>
      </c>
      <c r="AQ173" s="0" t="n">
        <f aca="false">Eadcg/(1+(Eadcg*A173/GBP)^2)</f>
        <v>2.35530638141331</v>
      </c>
      <c r="AR173" s="0" t="n">
        <f aca="false">-(A173*Eadcg*Eadcg/GBP)/(1+(Eadcg*A173/GBP)^2)</f>
        <v>-86.2666291788346</v>
      </c>
      <c r="AT173" s="0" t="n">
        <f aca="false">-AR173*AH173+AG173*AQ173</f>
        <v>-180740.812273991</v>
      </c>
      <c r="AU173" s="0" t="n">
        <f aca="false">AQ173*AH173+AG173*AR173</f>
        <v>-218347.092586414</v>
      </c>
      <c r="AV173" s="0" t="n">
        <f aca="false">ATAN2(AT173,AU173)</f>
        <v>-2.26224134840431</v>
      </c>
      <c r="AW173" s="0" t="n">
        <f aca="false">AG173-AH173*AO173/_Rfb2+AG173*AN173/_Rfb2+AN173-AO173*AR173+AQ173*AN173</f>
        <v>1807.64178352743</v>
      </c>
      <c r="AX173" s="0" t="n">
        <f aca="false">AH173+AH173*AN173/_Rfb2+AG173*AO173/_Rfb2+AO173+AO173*AQ173+AN173*AR173</f>
        <v>-6872.91572111834</v>
      </c>
      <c r="AY173" s="0" t="n">
        <f aca="false">ATAN2(AW173,AX173)</f>
        <v>-1.31361144736012</v>
      </c>
      <c r="BA173" s="0" t="n">
        <f aca="false">SQRT(AT173^2+AU173^2)/SQRT(AW173^2+AX173^2)</f>
        <v>39.88485230573</v>
      </c>
      <c r="BB173" s="0" t="n">
        <f aca="false">20*LOG(BA173)</f>
        <v>32.016159763811</v>
      </c>
      <c r="BC173" s="0" t="n">
        <f aca="false">AV173-AY173</f>
        <v>-0.94862990104419</v>
      </c>
      <c r="BD173" s="0" t="n">
        <f aca="false">BC173*180/Pi-180</f>
        <v>-234.352489711852</v>
      </c>
      <c r="BF173" s="0" t="n">
        <f aca="false">20*LOG(BA173*J173*F173*C173)</f>
        <v>45.6147236990539</v>
      </c>
      <c r="BG173" s="0" t="n">
        <f aca="false">(180/Pi)*(D173+H173+BC173)</f>
        <v>-201.828019502162</v>
      </c>
      <c r="BH173" s="0" t="n">
        <f aca="false">IF(BG173&gt;180,BG173-180,BG173+180)</f>
        <v>-21.8280195021624</v>
      </c>
      <c r="BI173" s="0" t="n">
        <f aca="false">IF(BH173&gt;180,BH173-360,BH173)</f>
        <v>-21.8280195021624</v>
      </c>
      <c r="BJ173" s="0" t="n">
        <f aca="false">SUM((BF174&lt;0)*(BF173&gt;0))*A173</f>
        <v>0</v>
      </c>
      <c r="BK173" s="0" t="n">
        <f aca="false">IF(BJ173&gt;0,BI173,0)</f>
        <v>0</v>
      </c>
      <c r="BM173" s="0" t="n">
        <f aca="false">20*LOG(J173*F173*C173)</f>
        <v>13.5985639352428</v>
      </c>
      <c r="BN173" s="0" t="n">
        <f aca="false">(H173+D173)*180/Pi</f>
        <v>-147.475529790311</v>
      </c>
      <c r="BQ173" s="347" t="n">
        <f aca="false">20*LOG(BA173*7)</f>
        <v>48.9181205640962</v>
      </c>
      <c r="BR173" s="353"/>
      <c r="BS173" s="353"/>
      <c r="BT173" s="353" t="n">
        <v>4265.795</v>
      </c>
      <c r="BU173" s="353" t="n">
        <v>3.2245</v>
      </c>
      <c r="BV173" s="353" t="n">
        <v>-243.324</v>
      </c>
      <c r="BW173" s="349"/>
      <c r="BY173" s="353"/>
      <c r="BZ173" s="353"/>
      <c r="CA173" s="353"/>
      <c r="CC173" s="353"/>
    </row>
    <row r="174" customFormat="false" ht="12.75" hidden="false" customHeight="false" outlineLevel="0" collapsed="false">
      <c r="A174" s="0" t="n">
        <f aca="false">A173+500</f>
        <v>70000</v>
      </c>
      <c r="B174" s="0" t="n">
        <f aca="false">A174/1000</f>
        <v>70</v>
      </c>
      <c r="C174" s="0" t="n">
        <f aca="false">SQRT((A174/Fesr)^2+1)</f>
        <v>1.00000009672212</v>
      </c>
      <c r="D174" s="0" t="n">
        <f aca="false">ATAN(A174/Fesr)</f>
        <v>0.000439822942639596</v>
      </c>
      <c r="F174" s="0" t="n">
        <f aca="false">(Ro/(Ro+Rdcr))/SQRT((A174/(Q*Fo))^2+(1-(A174^2/Fo^2))^2)</f>
        <v>0.521859547015615</v>
      </c>
      <c r="G174" s="0" t="n">
        <f aca="false">-ATAN(A174*Fo/(Q*(Fo^2-A174^2)))</f>
        <v>0.559919775282659</v>
      </c>
      <c r="H174" s="0" t="n">
        <f aca="false">IF(G174&gt;0,G174-Pi,G174)</f>
        <v>-2.58167287471734</v>
      </c>
      <c r="J174" s="0" t="n">
        <f aca="false">Vin/Vramp</f>
        <v>9</v>
      </c>
      <c r="M174" s="0" t="n">
        <f aca="false">1/(2*Pi*_Rfb1*(Cc1ea_u+Cc2ea_u)*A174)</f>
        <v>0.0842089646951092</v>
      </c>
      <c r="N174" s="0" t="n">
        <f aca="false">-Pi/2</f>
        <v>-1.570796325</v>
      </c>
      <c r="O174" s="0" t="n">
        <f aca="false">SQRT(1+(A174/Fz1_u)^2)</f>
        <v>1.98096149722143</v>
      </c>
      <c r="P174" s="0" t="n">
        <f aca="false">ATAN2(Fz1_u,A174)</f>
        <v>1.04163984356147</v>
      </c>
      <c r="Q174" s="0" t="n">
        <f aca="false">SQRT(1+(A174/Fz2_u)^2)</f>
        <v>1940.40772255185</v>
      </c>
      <c r="R174" s="0" t="n">
        <f aca="false">ATAN2(Fz2_u,A174)</f>
        <v>1.57028097116492</v>
      </c>
      <c r="S174" s="0" t="n">
        <f aca="false">1/SQRT(1+(A174/Fp1_u)^2)</f>
        <v>0.189325134594113</v>
      </c>
      <c r="T174" s="0" t="n">
        <f aca="false">-ATAN2(Fp1_u,A174)</f>
        <v>-1.38032152138505</v>
      </c>
      <c r="U174" s="0" t="n">
        <f aca="false">1/SQRT(1+(A174/Fp2_u)^2)</f>
        <v>0.982423816918081</v>
      </c>
      <c r="V174" s="0" t="n">
        <f aca="false">-ATAN2(Fp2_u,A174)</f>
        <v>-0.187765347217892</v>
      </c>
      <c r="X174" s="0" t="n">
        <f aca="false">20*LOG(C174*J174*O174*Q174*F174*M174*S174*U174)</f>
        <v>49.0286139605543</v>
      </c>
      <c r="Y174" s="0" t="n">
        <f aca="false">(180/Pi)*(D174+H174+N174+P174+R174+T174+V174)</f>
        <v>-178.086480281658</v>
      </c>
      <c r="Z174" s="0" t="n">
        <f aca="false">Y174+180</f>
        <v>1.91351971834212</v>
      </c>
      <c r="AC174" s="0" t="n">
        <v>1</v>
      </c>
      <c r="AD174" s="0" t="n">
        <f aca="false">Rcea1_u*Cc1ea_u*A174*2*Pi</f>
        <v>1.710031711248</v>
      </c>
      <c r="AE174" s="0" t="n">
        <f aca="false">-Rcea1_u*Cc1ea_u*Cc2ea_u*(A174*2*Pi)^2</f>
        <v>-0.000112816684161796</v>
      </c>
      <c r="AF174" s="0" t="n">
        <f aca="false">(Cc2ea_u+Cc1ea_u)*A174*2*Pi</f>
        <v>0.00059376101085</v>
      </c>
      <c r="AG174" s="0" t="n">
        <f aca="false">AC174*AE174/(AE174^2+AF174^2)+AD174*AF174/(AE174^2+AF174^2)</f>
        <v>2470.8007834826</v>
      </c>
      <c r="AH174" s="0" t="n">
        <f aca="false">AD174*AE174/(AE174^2+AF174^2)-AC174*AF174/(AE174^2+AF174^2)</f>
        <v>-2153.64014856126</v>
      </c>
      <c r="AJ174" s="0" t="n">
        <f aca="false">_Rfb1</f>
        <v>20000</v>
      </c>
      <c r="AK174" s="0" t="n">
        <f aca="false">_Rfb1*Rcea2_u*Cc3ea_u*A174*2*Pi</f>
        <v>103727.84948064</v>
      </c>
      <c r="AL174" s="0" t="n">
        <v>1</v>
      </c>
      <c r="AM174" s="0" t="n">
        <f aca="false">(_Rfb1+Rcea2_u)*Cc3ea_u*A174*2*Pi</f>
        <v>1940.40746487403</v>
      </c>
      <c r="AN174" s="0" t="n">
        <f aca="false">AJ174*AL174/(AL174^2+AM174^2)+AK174*AM174/(AL174^2+AM174^2)</f>
        <v>53.4620335780475</v>
      </c>
      <c r="AO174" s="0" t="n">
        <f aca="false">AK174*AL174/(AL174^2+AM174^2)-AJ174*AM174/(AL174^2+AM174^2)</f>
        <v>-10.2795615495722</v>
      </c>
      <c r="AQ174" s="0" t="n">
        <f aca="false">Eadcg/(1+(Eadcg*A174/GBP)^2)</f>
        <v>2.3218039344517</v>
      </c>
      <c r="AR174" s="0" t="n">
        <f aca="false">-(A174*Eadcg*Eadcg/GBP)/(1+(Eadcg*A174/GBP)^2)</f>
        <v>-85.6513471419232</v>
      </c>
      <c r="AT174" s="0" t="n">
        <f aca="false">-AR174*AH174+AG174*AQ174</f>
        <v>-178725.465002867</v>
      </c>
      <c r="AU174" s="0" t="n">
        <f aca="false">AQ174*AH174+AG174*AR174</f>
        <v>-216627.745794927</v>
      </c>
      <c r="AV174" s="0" t="n">
        <f aca="false">ATAN2(AT174,AU174)</f>
        <v>-2.26061717684596</v>
      </c>
      <c r="AW174" s="0" t="n">
        <f aca="false">AG174-AH174*AO174/_Rfb2+AG174*AN174/_Rfb2+AN174-AO174*AR174+AQ174*AN174</f>
        <v>1817.41288331157</v>
      </c>
      <c r="AX174" s="0" t="n">
        <f aca="false">AH174+AH174*AN174/_Rfb2+AG174*AO174/_Rfb2+AO174+AO174*AQ174+AN174*AR174</f>
        <v>-6830.12356226815</v>
      </c>
      <c r="AY174" s="0" t="n">
        <f aca="false">ATAN2(AW174,AX174)</f>
        <v>-1.31073440333263</v>
      </c>
      <c r="BA174" s="0" t="n">
        <f aca="false">SQRT(AT174^2+AU174^2)/SQRT(AW174^2+AX174^2)</f>
        <v>39.735039296086</v>
      </c>
      <c r="BB174" s="0" t="n">
        <f aca="false">20*LOG(BA174)</f>
        <v>31.983472936999</v>
      </c>
      <c r="BC174" s="0" t="n">
        <f aca="false">AV174-AY174</f>
        <v>-0.949882773513335</v>
      </c>
      <c r="BD174" s="0" t="n">
        <f aca="false">BC174*180/Pi-180</f>
        <v>-234.424274016684</v>
      </c>
      <c r="BF174" s="0" t="n">
        <f aca="false">20*LOG(BA174*J174*F174*C174)</f>
        <v>45.4193966250355</v>
      </c>
      <c r="BG174" s="0" t="n">
        <f aca="false">(180/Pi)*(D174+H174+BC174)</f>
        <v>-202.318033992041</v>
      </c>
      <c r="BH174" s="0" t="n">
        <f aca="false">IF(BG174&gt;180,BG174-180,BG174+180)</f>
        <v>-22.3180339920411</v>
      </c>
      <c r="BI174" s="0" t="n">
        <f aca="false">IF(BH174&gt;180,BH174-360,BH174)</f>
        <v>-22.3180339920411</v>
      </c>
      <c r="BJ174" s="0" t="n">
        <f aca="false">SUM((BF175&lt;0)*(BF174&gt;0))*A174</f>
        <v>0</v>
      </c>
      <c r="BK174" s="0" t="n">
        <f aca="false">IF(BJ174&gt;0,BI174,0)</f>
        <v>0</v>
      </c>
      <c r="BM174" s="0" t="n">
        <f aca="false">20*LOG(J174*F174*C174)</f>
        <v>13.4359236880364</v>
      </c>
      <c r="BN174" s="0" t="n">
        <f aca="false">(H174+D174)*180/Pi</f>
        <v>-147.893759975357</v>
      </c>
      <c r="BQ174" s="347" t="n">
        <f aca="false">20*LOG(BA174*7)</f>
        <v>48.8854337372842</v>
      </c>
      <c r="BR174" s="353"/>
      <c r="BS174" s="353"/>
      <c r="BT174" s="353" t="n">
        <v>4365.158</v>
      </c>
      <c r="BU174" s="353" t="n">
        <v>3.07782</v>
      </c>
      <c r="BV174" s="353" t="n">
        <v>-242.172</v>
      </c>
      <c r="BW174" s="349"/>
      <c r="BY174" s="353"/>
      <c r="BZ174" s="353"/>
      <c r="CA174" s="353"/>
      <c r="CC174" s="353"/>
    </row>
    <row r="175" customFormat="false" ht="12.75" hidden="false" customHeight="false" outlineLevel="0" collapsed="false">
      <c r="A175" s="0" t="n">
        <f aca="false">A174+500</f>
        <v>70500</v>
      </c>
      <c r="B175" s="0" t="n">
        <f aca="false">A175/1000</f>
        <v>70.5</v>
      </c>
      <c r="C175" s="0" t="n">
        <f aca="false">SQRT((A175/Fesr)^2+1)</f>
        <v>1.0000000981088</v>
      </c>
      <c r="D175" s="0" t="n">
        <f aca="false">ATAN(A175/Fesr)</f>
        <v>0.000442964534677522</v>
      </c>
      <c r="F175" s="0" t="n">
        <f aca="false">(Ro/(Ro+Rdcr))/SQRT((A175/(Q*Fo))^2+(1-(A175^2/Fo^2))^2)</f>
        <v>0.512269320147534</v>
      </c>
      <c r="G175" s="0" t="n">
        <f aca="false">-ATAN(A175*Fo/(Q*(Fo^2-A175^2)))</f>
        <v>0.552811269163148</v>
      </c>
      <c r="H175" s="0" t="n">
        <f aca="false">IF(G175&gt;0,G175-Pi,G175)</f>
        <v>-2.58878138083685</v>
      </c>
      <c r="J175" s="0" t="n">
        <f aca="false">Vin/Vramp</f>
        <v>9</v>
      </c>
      <c r="M175" s="0" t="n">
        <f aca="false">1/(2*Pi*_Rfb1*(Cc1ea_u+Cc2ea_u)*A175)</f>
        <v>0.0836117379951439</v>
      </c>
      <c r="N175" s="0" t="n">
        <f aca="false">-Pi/2</f>
        <v>-1.570796325</v>
      </c>
      <c r="O175" s="0" t="n">
        <f aca="false">SQRT(1+(A175/Fz1_u)^2)</f>
        <v>1.99151501482183</v>
      </c>
      <c r="P175" s="0" t="n">
        <f aca="false">ATAN2(Fz1_u,A175)</f>
        <v>1.04473595941185</v>
      </c>
      <c r="Q175" s="0" t="n">
        <f aca="false">SQRT(1+(A175/Fz2_u)^2)</f>
        <v>1954.26777404488</v>
      </c>
      <c r="R175" s="0" t="n">
        <f aca="false">ATAN2(Fz2_u,A175)</f>
        <v>1.57028462616875</v>
      </c>
      <c r="S175" s="0" t="n">
        <f aca="false">1/SQRT(1+(A175/Fp1_u)^2)</f>
        <v>0.188030039320125</v>
      </c>
      <c r="T175" s="0" t="n">
        <f aca="false">-ATAN2(Fp1_u,A175)</f>
        <v>-1.3816403032905</v>
      </c>
      <c r="U175" s="0" t="n">
        <f aca="false">1/SQRT(1+(A175/Fp2_u)^2)</f>
        <v>0.982178528221132</v>
      </c>
      <c r="V175" s="0" t="n">
        <f aca="false">-ATAN2(Fp2_u,A175)</f>
        <v>-0.189074900162084</v>
      </c>
      <c r="X175" s="0" t="n">
        <f aca="false">20*LOG(C175*J175*O175*Q175*F175*M175*S175*U175)</f>
        <v>48.8518695574106</v>
      </c>
      <c r="Y175" s="0" t="n">
        <f aca="false">(180/Pi)*(D175+H175+N175+P175+R175+T175+V175)</f>
        <v>-178.466576388046</v>
      </c>
      <c r="Z175" s="0" t="n">
        <f aca="false">Y175+180</f>
        <v>1.53342361195385</v>
      </c>
      <c r="AC175" s="0" t="n">
        <v>1</v>
      </c>
      <c r="AD175" s="0" t="n">
        <f aca="false">Rcea1_u*Cc1ea_u*A175*2*Pi</f>
        <v>1.7222462234712</v>
      </c>
      <c r="AE175" s="0" t="n">
        <f aca="false">-Rcea1_u*Cc1ea_u*Cc2ea_u*(A175*2*Pi)^2</f>
        <v>-0.000114434107031667</v>
      </c>
      <c r="AF175" s="0" t="n">
        <f aca="false">(Cc2ea_u+Cc1ea_u)*A175*2*Pi</f>
        <v>0.0005980021609275</v>
      </c>
      <c r="AG175" s="0" t="n">
        <f aca="false">AC175*AE175/(AE175^2+AF175^2)+AD175*AF175/(AE175^2+AF175^2)</f>
        <v>2469.56713292449</v>
      </c>
      <c r="AH175" s="0" t="n">
        <f aca="false">AD175*AE175/(AE175^2+AF175^2)-AC175*AF175/(AE175^2+AF175^2)</f>
        <v>-2144.81283415708</v>
      </c>
      <c r="AJ175" s="0" t="n">
        <f aca="false">_Rfb1</f>
        <v>20000</v>
      </c>
      <c r="AK175" s="0" t="n">
        <f aca="false">_Rfb1*Rcea2_u*Cc3ea_u*A175*2*Pi</f>
        <v>104468.762691216</v>
      </c>
      <c r="AL175" s="0" t="n">
        <v>1</v>
      </c>
      <c r="AM175" s="0" t="n">
        <f aca="false">(_Rfb1+Rcea2_u)*Cc3ea_u*A175*2*Pi</f>
        <v>1954.26751819456</v>
      </c>
      <c r="AN175" s="0" t="n">
        <f aca="false">AJ175*AL175/(AL175^2+AM175^2)+AK175*AM175/(AL175^2+AM175^2)</f>
        <v>53.4619587008407</v>
      </c>
      <c r="AO175" s="0" t="n">
        <f aca="false">AK175*AL175/(AL175^2+AM175^2)-AJ175*AM175/(AL175^2+AM175^2)</f>
        <v>-10.206656896046</v>
      </c>
      <c r="AQ175" s="0" t="n">
        <f aca="false">Eadcg/(1+(Eadcg*A175/GBP)^2)</f>
        <v>2.28901108672584</v>
      </c>
      <c r="AR175" s="0" t="n">
        <f aca="false">-(A175*Eadcg*Eadcg/GBP)/(1+(Eadcg*A175/GBP)^2)</f>
        <v>-85.0447734106686</v>
      </c>
      <c r="AT175" s="0" t="n">
        <f aca="false">-AR175*AH175+AG175*AQ175</f>
        <v>-176752.254942505</v>
      </c>
      <c r="AU175" s="0" t="n">
        <f aca="false">AQ175*AH175+AG175*AR175</f>
        <v>-214933.277598335</v>
      </c>
      <c r="AV175" s="0" t="n">
        <f aca="false">ATAN2(AT175,AU175)</f>
        <v>-2.25902272637453</v>
      </c>
      <c r="AW175" s="0" t="n">
        <f aca="false">AG175-AH175*AO175/_Rfb2+AG175*AN175/_Rfb2+AN175-AO175*AR175+AQ175*AN175</f>
        <v>1826.94272211917</v>
      </c>
      <c r="AX175" s="0" t="n">
        <f aca="false">AH175+AH175*AN175/_Rfb2+AG175*AO175/_Rfb2+AO175+AO175*AQ175+AN175*AR175</f>
        <v>-6787.98516945581</v>
      </c>
      <c r="AY175" s="0" t="n">
        <f aca="false">ATAN2(AW175,AX175)</f>
        <v>-1.30788288061086</v>
      </c>
      <c r="BA175" s="0" t="n">
        <f aca="false">SQRT(AT175^2+AU175^2)/SQRT(AW175^2+AX175^2)</f>
        <v>39.5866827754999</v>
      </c>
      <c r="BB175" s="0" t="n">
        <f aca="false">20*LOG(BA175)</f>
        <v>31.9509822185981</v>
      </c>
      <c r="BC175" s="0" t="n">
        <f aca="false">AV175-AY175</f>
        <v>-0.951139845763672</v>
      </c>
      <c r="BD175" s="0" t="n">
        <f aca="false">BC175*180/Pi-180</f>
        <v>-234.496298951254</v>
      </c>
      <c r="BF175" s="0" t="n">
        <f aca="false">20*LOG(BA175*J175*F175*C175)</f>
        <v>45.2258001939928</v>
      </c>
      <c r="BG175" s="0" t="n">
        <f aca="false">(180/Pi)*(D175+H175+BC175)</f>
        <v>-202.797166326402</v>
      </c>
      <c r="BH175" s="0" t="n">
        <f aca="false">IF(BG175&gt;180,BG175-180,BG175+180)</f>
        <v>-22.7971663264021</v>
      </c>
      <c r="BI175" s="0" t="n">
        <f aca="false">IF(BH175&gt;180,BH175-360,BH175)</f>
        <v>-22.7971663264021</v>
      </c>
      <c r="BJ175" s="0" t="n">
        <f aca="false">SUM((BF176&lt;0)*(BF175&gt;0))*A175</f>
        <v>0</v>
      </c>
      <c r="BK175" s="0" t="n">
        <f aca="false">IF(BJ175&gt;0,BI175,0)</f>
        <v>0</v>
      </c>
      <c r="BM175" s="0" t="n">
        <f aca="false">20*LOG(J175*F175*C175)</f>
        <v>13.2748179753947</v>
      </c>
      <c r="BN175" s="0" t="n">
        <f aca="false">(H175+D175)*180/Pi</f>
        <v>-148.300867375149</v>
      </c>
      <c r="BQ175" s="347" t="n">
        <f aca="false">20*LOG(BA175*7)</f>
        <v>48.8529430188833</v>
      </c>
      <c r="BR175" s="353"/>
      <c r="BS175" s="353"/>
      <c r="BT175" s="353" t="n">
        <v>4466.836</v>
      </c>
      <c r="BU175" s="353" t="n">
        <v>2.92332</v>
      </c>
      <c r="BV175" s="353" t="n">
        <v>-240.903</v>
      </c>
      <c r="BW175" s="349"/>
      <c r="BY175" s="353"/>
      <c r="BZ175" s="353"/>
      <c r="CA175" s="353"/>
      <c r="CC175" s="353"/>
    </row>
    <row r="176" customFormat="false" ht="12.75" hidden="false" customHeight="false" outlineLevel="0" collapsed="false">
      <c r="A176" s="0" t="n">
        <f aca="false">A175+500</f>
        <v>71000</v>
      </c>
      <c r="B176" s="0" t="n">
        <f aca="false">A176/1000</f>
        <v>71</v>
      </c>
      <c r="C176" s="0" t="n">
        <f aca="false">SQRT((A176/Fesr)^2+1)</f>
        <v>1.00000009950535</v>
      </c>
      <c r="D176" s="0" t="n">
        <f aca="false">ATAN(A176/Fesr)</f>
        <v>0.000446106126706704</v>
      </c>
      <c r="F176" s="0" t="n">
        <f aca="false">(Ro/(Ro+Rdcr))/SQRT((A176/(Q*Fo))^2+(1-(A176^2/Fo^2))^2)</f>
        <v>0.502943103543829</v>
      </c>
      <c r="G176" s="0" t="n">
        <f aca="false">-ATAN(A176*Fo/(Q*(Fo^2-A176^2)))</f>
        <v>0.545889529033133</v>
      </c>
      <c r="H176" s="0" t="n">
        <f aca="false">IF(G176&gt;0,G176-Pi,G176)</f>
        <v>-2.59570312096687</v>
      </c>
      <c r="J176" s="0" t="n">
        <f aca="false">Vin/Vramp</f>
        <v>9</v>
      </c>
      <c r="M176" s="0" t="n">
        <f aca="false">1/(2*Pi*_Rfb1*(Cc1ea_u+Cc2ea_u)*A176)</f>
        <v>0.0830229229388401</v>
      </c>
      <c r="N176" s="0" t="n">
        <f aca="false">-Pi/2</f>
        <v>-1.570796325</v>
      </c>
      <c r="O176" s="0" t="n">
        <f aca="false">SQRT(1+(A176/Fz1_u)^2)</f>
        <v>2.00208742158417</v>
      </c>
      <c r="P176" s="0" t="n">
        <f aca="false">ATAN2(Fz1_u,A176)</f>
        <v>1.04779940510293</v>
      </c>
      <c r="Q176" s="0" t="n">
        <f aca="false">SQRT(1+(A176/Fz2_u)^2)</f>
        <v>1968.12782556365</v>
      </c>
      <c r="R176" s="0" t="n">
        <f aca="false">ATAN2(Fz2_u,A176)</f>
        <v>1.57028822969366</v>
      </c>
      <c r="S176" s="0" t="n">
        <f aca="false">1/SQRT(1+(A176/Fp1_u)^2)</f>
        <v>0.186752223885597</v>
      </c>
      <c r="T176" s="0" t="n">
        <f aca="false">-ATAN2(Fp1_u,A176)</f>
        <v>-1.38294116306415</v>
      </c>
      <c r="U176" s="0" t="n">
        <f aca="false">1/SQRT(1+(A176/Fp2_u)^2)</f>
        <v>0.981931679298989</v>
      </c>
      <c r="V176" s="0" t="n">
        <f aca="false">-ATAN2(Fp2_u,A176)</f>
        <v>-0.190383797095474</v>
      </c>
      <c r="X176" s="0" t="n">
        <f aca="false">20*LOG(C176*J176*O176*Q176*F176*M176*S176*U176)</f>
        <v>48.6768564331479</v>
      </c>
      <c r="Y176" s="0" t="n">
        <f aca="false">(180/Pi)*(D176+H176+N176+P176+R176+T176+V176)</f>
        <v>-178.836781954075</v>
      </c>
      <c r="Z176" s="0" t="n">
        <f aca="false">Y176+180</f>
        <v>1.16321804592513</v>
      </c>
      <c r="AC176" s="0" t="n">
        <v>1</v>
      </c>
      <c r="AD176" s="0" t="n">
        <f aca="false">Rcea1_u*Cc1ea_u*A176*2*Pi</f>
        <v>1.7344607356944</v>
      </c>
      <c r="AE176" s="0" t="n">
        <f aca="false">-Rcea1_u*Cc1ea_u*Cc2ea_u*(A176*2*Pi)^2</f>
        <v>-0.000116063041808085</v>
      </c>
      <c r="AF176" s="0" t="n">
        <f aca="false">(Cc2ea_u+Cc1ea_u)*A176*2*Pi</f>
        <v>0.000602243311005</v>
      </c>
      <c r="AG176" s="0" t="n">
        <f aca="false">AC176*AE176/(AE176^2+AF176^2)+AD176*AF176/(AE176^2+AF176^2)</f>
        <v>2468.32594639599</v>
      </c>
      <c r="AH176" s="0" t="n">
        <f aca="false">AD176*AE176/(AE176^2+AF176^2)-AC176*AF176/(AE176^2+AF176^2)</f>
        <v>-2136.14895176786</v>
      </c>
      <c r="AJ176" s="0" t="n">
        <f aca="false">_Rfb1</f>
        <v>20000</v>
      </c>
      <c r="AK176" s="0" t="n">
        <f aca="false">_Rfb1*Rcea2_u*Cc3ea_u*A176*2*Pi</f>
        <v>105209.675901792</v>
      </c>
      <c r="AL176" s="0" t="n">
        <v>1</v>
      </c>
      <c r="AM176" s="0" t="n">
        <f aca="false">(_Rfb1+Rcea2_u)*Cc3ea_u*A176*2*Pi</f>
        <v>1968.12757151509</v>
      </c>
      <c r="AN176" s="0" t="n">
        <f aca="false">AJ176*AL176/(AL176^2+AM176^2)+AK176*AM176/(AL176^2+AM176^2)</f>
        <v>53.4618853999694</v>
      </c>
      <c r="AO176" s="0" t="n">
        <f aca="false">AK176*AL176/(AL176^2+AM176^2)-AJ176*AM176/(AL176^2+AM176^2)</f>
        <v>-10.1347790678248</v>
      </c>
      <c r="AQ176" s="0" t="n">
        <f aca="false">Eadcg/(1+(Eadcg*A176/GBP)^2)</f>
        <v>2.25690794394188</v>
      </c>
      <c r="AR176" s="0" t="n">
        <f aca="false">-(A176*Eadcg*Eadcg/GBP)/(1+(Eadcg*A176/GBP)^2)</f>
        <v>-84.4467245384734</v>
      </c>
      <c r="AT176" s="0" t="n">
        <f aca="false">-AR176*AH176+AG176*AQ176</f>
        <v>-174819.99766643</v>
      </c>
      <c r="AU176" s="0" t="n">
        <f aca="false">AQ176*AH176+AG176*AR176</f>
        <v>-213263.132805157</v>
      </c>
      <c r="AV176" s="0" t="n">
        <f aca="false">ATAN2(AT176,AU176)</f>
        <v>-2.25745758618769</v>
      </c>
      <c r="AW176" s="0" t="n">
        <f aca="false">AG176-AH176*AO176/_Rfb2+AG176*AN176/_Rfb2+AN176-AO176*AR176+AQ176*AN176</f>
        <v>1836.23787199161</v>
      </c>
      <c r="AX176" s="0" t="n">
        <f aca="false">AH176+AH176*AN176/_Rfb2+AG176*AO176/_Rfb2+AO176+AO176*AQ176+AN176*AR176</f>
        <v>-6746.48642376846</v>
      </c>
      <c r="AY176" s="0" t="n">
        <f aca="false">ATAN2(AW176,AX176)</f>
        <v>-1.30505660382176</v>
      </c>
      <c r="BA176" s="0" t="n">
        <f aca="false">SQRT(AT176^2+AU176^2)/SQRT(AW176^2+AX176^2)</f>
        <v>39.4397504156474</v>
      </c>
      <c r="BB176" s="0" t="n">
        <f aca="false">20*LOG(BA176)</f>
        <v>31.9186831591309</v>
      </c>
      <c r="BC176" s="0" t="n">
        <f aca="false">AV176-AY176</f>
        <v>-0.952400982365935</v>
      </c>
      <c r="BD176" s="0" t="n">
        <f aca="false">BC176*180/Pi-180</f>
        <v>-234.568556756035</v>
      </c>
      <c r="BF176" s="0" t="n">
        <f aca="false">20*LOG(BA176*J176*F176*C176)</f>
        <v>45.0339113600649</v>
      </c>
      <c r="BG176" s="0" t="n">
        <f aca="false">(180/Pi)*(D176+H176+BC176)</f>
        <v>-203.265830628009</v>
      </c>
      <c r="BH176" s="0" t="n">
        <f aca="false">IF(BG176&gt;180,BG176-180,BG176+180)</f>
        <v>-23.2658306280087</v>
      </c>
      <c r="BI176" s="0" t="n">
        <f aca="false">IF(BH176&gt;180,BH176-360,BH176)</f>
        <v>-23.2658306280087</v>
      </c>
      <c r="BJ176" s="0" t="n">
        <f aca="false">SUM((BF177&lt;0)*(BF176&gt;0))*A176</f>
        <v>0</v>
      </c>
      <c r="BK176" s="0" t="n">
        <f aca="false">IF(BJ176&gt;0,BI176,0)</f>
        <v>0</v>
      </c>
      <c r="BM176" s="0" t="n">
        <f aca="false">20*LOG(J176*F176*C176)</f>
        <v>13.115228200934</v>
      </c>
      <c r="BN176" s="0" t="n">
        <f aca="false">(H176+D176)*180/Pi</f>
        <v>-148.697273871973</v>
      </c>
      <c r="BQ176" s="347" t="n">
        <f aca="false">20*LOG(BA176*7)</f>
        <v>48.820643959416</v>
      </c>
      <c r="BR176" s="353"/>
      <c r="BS176" s="353"/>
      <c r="BT176" s="353" t="n">
        <v>4570.882</v>
      </c>
      <c r="BU176" s="353" t="n">
        <v>2.72669</v>
      </c>
      <c r="BV176" s="353" t="n">
        <v>-241.252</v>
      </c>
      <c r="BW176" s="349"/>
      <c r="BY176" s="353"/>
      <c r="BZ176" s="353"/>
      <c r="CA176" s="353"/>
      <c r="CC176" s="353"/>
    </row>
    <row r="177" customFormat="false" ht="12.75" hidden="false" customHeight="false" outlineLevel="0" collapsed="false">
      <c r="A177" s="0" t="n">
        <f aca="false">A176+500</f>
        <v>71500</v>
      </c>
      <c r="B177" s="0" t="n">
        <f aca="false">A177/1000</f>
        <v>71.5</v>
      </c>
      <c r="C177" s="0" t="n">
        <f aca="false">SQRT((A177/Fesr)^2+1)</f>
        <v>1.00000010091177</v>
      </c>
      <c r="D177" s="0" t="n">
        <f aca="false">ATAN(A177/Fesr)</f>
        <v>0.00044924771872708</v>
      </c>
      <c r="F177" s="0" t="n">
        <f aca="false">(Ro/(Ro+Rdcr))/SQRT((A177/(Q*Fo))^2+(1-(A177^2/Fo^2))^2)</f>
        <v>0.493871781551179</v>
      </c>
      <c r="G177" s="0" t="n">
        <f aca="false">-ATAN(A177*Fo/(Q*(Fo^2-A177^2)))</f>
        <v>0.53914753217953</v>
      </c>
      <c r="H177" s="0" t="n">
        <f aca="false">IF(G177&gt;0,G177-Pi,G177)</f>
        <v>-2.60244511782047</v>
      </c>
      <c r="J177" s="0" t="n">
        <f aca="false">Vin/Vramp</f>
        <v>9</v>
      </c>
      <c r="M177" s="0" t="n">
        <f aca="false">1/(2*Pi*_Rfb1*(Cc1ea_u+Cc2ea_u)*A177)</f>
        <v>0.0824423430581489</v>
      </c>
      <c r="N177" s="0" t="n">
        <f aca="false">-Pi/2</f>
        <v>-1.570796325</v>
      </c>
      <c r="O177" s="0" t="n">
        <f aca="false">SQRT(1+(A177/Fz1_u)^2)</f>
        <v>2.0126784198396</v>
      </c>
      <c r="P177" s="0" t="n">
        <f aca="false">ATAN2(Fz1_u,A177)</f>
        <v>1.05083063842423</v>
      </c>
      <c r="Q177" s="0" t="n">
        <f aca="false">SQRT(1+(A177/Fz2_u)^2)</f>
        <v>1981.98787710761</v>
      </c>
      <c r="R177" s="0" t="n">
        <f aca="false">ATAN2(Fz2_u,A177)</f>
        <v>1.57029178281964</v>
      </c>
      <c r="S177" s="0" t="n">
        <f aca="false">1/SQRT(1+(A177/Fp1_u)^2)</f>
        <v>0.185491351222378</v>
      </c>
      <c r="T177" s="0" t="n">
        <f aca="false">-ATAN2(Fp1_u,A177)</f>
        <v>-1.38422445926625</v>
      </c>
      <c r="U177" s="0" t="n">
        <f aca="false">1/SQRT(1+(A177/Fp2_u)^2)</f>
        <v>0.981683273864198</v>
      </c>
      <c r="V177" s="0" t="n">
        <f aca="false">-ATAN2(Fp2_u,A177)</f>
        <v>-0.191692034029423</v>
      </c>
      <c r="X177" s="0" t="n">
        <f aca="false">20*LOG(C177*J177*O177*Q177*F177*M177*S177*U177)</f>
        <v>48.5035506423663</v>
      </c>
      <c r="Y177" s="0" t="n">
        <f aca="false">(180/Pi)*(D177+H177+N177+P177+R177+T177+V177)</f>
        <v>-179.197493375737</v>
      </c>
      <c r="Z177" s="0" t="n">
        <f aca="false">Y177+180</f>
        <v>0.802506624262833</v>
      </c>
      <c r="AC177" s="0" t="n">
        <v>1</v>
      </c>
      <c r="AD177" s="0" t="n">
        <f aca="false">Rcea1_u*Cc1ea_u*A177*2*Pi</f>
        <v>1.7466752479176</v>
      </c>
      <c r="AE177" s="0" t="n">
        <f aca="false">-Rcea1_u*Cc1ea_u*Cc2ea_u*(A177*2*Pi)^2</f>
        <v>-0.00011770348849105</v>
      </c>
      <c r="AF177" s="0" t="n">
        <f aca="false">(Cc2ea_u+Cc1ea_u)*A177*2*Pi</f>
        <v>0.0006064844610825</v>
      </c>
      <c r="AG177" s="0" t="n">
        <f aca="false">AC177*AE177/(AE177^2+AF177^2)+AD177*AF177/(AE177^2+AF177^2)</f>
        <v>2467.07724847291</v>
      </c>
      <c r="AH177" s="0" t="n">
        <f aca="false">AD177*AE177/(AE177^2+AF177^2)-AC177*AF177/(AE177^2+AF177^2)</f>
        <v>-2127.64494611945</v>
      </c>
      <c r="AJ177" s="0" t="n">
        <f aca="false">_Rfb1</f>
        <v>20000</v>
      </c>
      <c r="AK177" s="0" t="n">
        <f aca="false">_Rfb1*Rcea2_u*Cc3ea_u*A177*2*Pi</f>
        <v>105950.589112368</v>
      </c>
      <c r="AL177" s="0" t="n">
        <v>1</v>
      </c>
      <c r="AM177" s="0" t="n">
        <f aca="false">(_Rfb1+Rcea2_u)*Cc3ea_u*A177*2*Pi</f>
        <v>1981.98762483562</v>
      </c>
      <c r="AN177" s="0" t="n">
        <f aca="false">AJ177*AL177/(AL177^2+AM177^2)+AK177*AM177/(AL177^2+AM177^2)</f>
        <v>53.461813631495</v>
      </c>
      <c r="AO177" s="0" t="n">
        <f aca="false">AK177*AL177/(AL177^2+AM177^2)-AJ177*AM177/(AL177^2+AM177^2)</f>
        <v>-10.0639065231413</v>
      </c>
      <c r="AQ177" s="0" t="n">
        <f aca="false">Eadcg/(1+(Eadcg*A177/GBP)^2)</f>
        <v>2.22547530398334</v>
      </c>
      <c r="AR177" s="0" t="n">
        <f aca="false">-(A177*Eadcg*Eadcg/GBP)/(1+(Eadcg*A177/GBP)^2)</f>
        <v>-83.8570221917442</v>
      </c>
      <c r="AT177" s="0" t="n">
        <f aca="false">-AR177*AH177+AG177*AQ177</f>
        <v>-172927.549973396</v>
      </c>
      <c r="AU177" s="0" t="n">
        <f aca="false">AQ177*AH177+AG177*AR177</f>
        <v>-211616.772857174</v>
      </c>
      <c r="AV177" s="0" t="n">
        <f aca="false">ATAN2(AT177,AU177)</f>
        <v>-2.25592135117794</v>
      </c>
      <c r="AW177" s="0" t="n">
        <f aca="false">AG177-AH177*AO177/_Rfb2+AG177*AN177/_Rfb2+AN177-AO177*AR177+AQ177*AN177</f>
        <v>1845.30467729984</v>
      </c>
      <c r="AX177" s="0" t="n">
        <f aca="false">AH177+AH177*AN177/_Rfb2+AG177*AO177/_Rfb2+AO177+AO177*AQ177+AN177*AR177</f>
        <v>-6705.61360675745</v>
      </c>
      <c r="AY177" s="0" t="n">
        <f aca="false">ATAN2(AW177,AX177)</f>
        <v>-1.30225530335974</v>
      </c>
      <c r="BA177" s="0" t="n">
        <f aca="false">SQRT(AT177^2+AU177^2)/SQRT(AW177^2+AX177^2)</f>
        <v>39.2942109265216</v>
      </c>
      <c r="BB177" s="0" t="n">
        <f aca="false">20*LOG(BA177)</f>
        <v>31.886571441168</v>
      </c>
      <c r="BC177" s="0" t="n">
        <f aca="false">AV177-AY177</f>
        <v>-0.953666047818202</v>
      </c>
      <c r="BD177" s="0" t="n">
        <f aca="false">BC177*180/Pi-180</f>
        <v>-234.641039667341</v>
      </c>
      <c r="BF177" s="0" t="n">
        <f aca="false">20*LOG(BA177*J177*F177*C177)</f>
        <v>44.8437067564922</v>
      </c>
      <c r="BG177" s="0" t="n">
        <f aca="false">(180/Pi)*(D177+H177+BC177)</f>
        <v>-203.724421504994</v>
      </c>
      <c r="BH177" s="0" t="n">
        <f aca="false">IF(BG177&gt;180,BG177-180,BG177+180)</f>
        <v>-23.7244215049937</v>
      </c>
      <c r="BI177" s="0" t="n">
        <f aca="false">IF(BH177&gt;180,BH177-360,BH177)</f>
        <v>-23.7244215049937</v>
      </c>
      <c r="BJ177" s="0" t="n">
        <f aca="false">SUM((BF178&lt;0)*(BF177&gt;0))*A177</f>
        <v>0</v>
      </c>
      <c r="BK177" s="0" t="n">
        <f aca="false">IF(BJ177&gt;0,BI177,0)</f>
        <v>0</v>
      </c>
      <c r="BM177" s="0" t="n">
        <f aca="false">20*LOG(J177*F177*C177)</f>
        <v>12.9571353153242</v>
      </c>
      <c r="BN177" s="0" t="n">
        <f aca="false">(H177+D177)*180/Pi</f>
        <v>-149.083381837653</v>
      </c>
      <c r="BQ177" s="347" t="n">
        <f aca="false">20*LOG(BA177*7)</f>
        <v>48.7885322414531</v>
      </c>
      <c r="BR177" s="353"/>
      <c r="BS177" s="353"/>
      <c r="BT177" s="353" t="n">
        <v>4677.351</v>
      </c>
      <c r="BU177" s="353" t="n">
        <v>2.54392</v>
      </c>
      <c r="BV177" s="353" t="n">
        <v>-240.638</v>
      </c>
      <c r="BW177" s="349"/>
      <c r="BY177" s="353"/>
      <c r="BZ177" s="353"/>
      <c r="CA177" s="353"/>
      <c r="CC177" s="353"/>
    </row>
    <row r="178" customFormat="false" ht="12.75" hidden="false" customHeight="false" outlineLevel="0" collapsed="false">
      <c r="A178" s="0" t="n">
        <f aca="false">A177+500</f>
        <v>72000</v>
      </c>
      <c r="B178" s="0" t="n">
        <f aca="false">A178/1000</f>
        <v>72</v>
      </c>
      <c r="C178" s="0" t="n">
        <f aca="false">SQRT((A178/Fesr)^2+1)</f>
        <v>1.00000010232805</v>
      </c>
      <c r="D178" s="0" t="n">
        <f aca="false">ATAN(A178/Fesr)</f>
        <v>0.000452389310738589</v>
      </c>
      <c r="F178" s="0" t="n">
        <f aca="false">(Ro/(Ro+Rdcr))/SQRT((A178/(Q*Fo))^2+(1-(A178^2/Fo^2))^2)</f>
        <v>0.485046574408641</v>
      </c>
      <c r="G178" s="0" t="n">
        <f aca="false">-ATAN(A178*Fo/(Q*(Fo^2-A178^2)))</f>
        <v>0.532578579145285</v>
      </c>
      <c r="H178" s="0" t="n">
        <f aca="false">IF(G178&gt;0,G178-Pi,G178)</f>
        <v>-2.60901407085472</v>
      </c>
      <c r="J178" s="0" t="n">
        <f aca="false">Vin/Vramp</f>
        <v>9</v>
      </c>
      <c r="M178" s="0" t="n">
        <f aca="false">1/(2*Pi*_Rfb1*(Cc1ea_u+Cc2ea_u)*A178)</f>
        <v>0.0818698267869117</v>
      </c>
      <c r="N178" s="0" t="n">
        <f aca="false">-Pi/2</f>
        <v>-1.570796325</v>
      </c>
      <c r="O178" s="0" t="n">
        <f aca="false">SQRT(1+(A178/Fz1_u)^2)</f>
        <v>2.02328771763389</v>
      </c>
      <c r="P178" s="0" t="n">
        <f aca="false">ATAN2(Fz1_u,A178)</f>
        <v>1.05383010995653</v>
      </c>
      <c r="Q178" s="0" t="n">
        <f aca="false">SQRT(1+(A178/Fz2_u)^2)</f>
        <v>1995.84792867625</v>
      </c>
      <c r="R178" s="0" t="n">
        <f aca="false">ATAN2(Fz2_u,A178)</f>
        <v>1.57029528659666</v>
      </c>
      <c r="S178" s="0" t="n">
        <f aca="false">1/SQRT(1+(A178/Fp1_u)^2)</f>
        <v>0.184247092796104</v>
      </c>
      <c r="T178" s="0" t="n">
        <f aca="false">-ATAN2(Fp1_u,A178)</f>
        <v>-1.38549054107125</v>
      </c>
      <c r="U178" s="0" t="n">
        <f aca="false">1/SQRT(1+(A178/Fp2_u)^2)</f>
        <v>0.981433315647613</v>
      </c>
      <c r="V178" s="0" t="n">
        <f aca="false">-ATAN2(Fp2_u,A178)</f>
        <v>-0.192999606988352</v>
      </c>
      <c r="X178" s="0" t="n">
        <f aca="false">20*LOG(C178*J178*O178*Q178*F178*M178*S178*U178)</f>
        <v>48.3319280068047</v>
      </c>
      <c r="Y178" s="0" t="n">
        <f aca="false">(180/Pi)*(D178+H178+N178+P178+R178+T178+V178)</f>
        <v>-179.549088405548</v>
      </c>
      <c r="Z178" s="0" t="n">
        <f aca="false">Y178+180</f>
        <v>0.450911594451981</v>
      </c>
      <c r="AC178" s="0" t="n">
        <v>1</v>
      </c>
      <c r="AD178" s="0" t="n">
        <f aca="false">Rcea1_u*Cc1ea_u*A178*2*Pi</f>
        <v>1.7588897601408</v>
      </c>
      <c r="AE178" s="0" t="n">
        <f aca="false">-Rcea1_u*Cc1ea_u*Cc2ea_u*(A178*2*Pi)^2</f>
        <v>-0.000119355447080562</v>
      </c>
      <c r="AF178" s="0" t="n">
        <f aca="false">(Cc2ea_u+Cc1ea_u)*A178*2*Pi</f>
        <v>0.00061072561116</v>
      </c>
      <c r="AG178" s="0" t="n">
        <f aca="false">AC178*AE178/(AE178^2+AF178^2)+AD178*AF178/(AE178^2+AF178^2)</f>
        <v>2465.82106384145</v>
      </c>
      <c r="AH178" s="0" t="n">
        <f aca="false">AD178*AE178/(AE178^2+AF178^2)-AC178*AF178/(AE178^2+AF178^2)</f>
        <v>-2119.29736013048</v>
      </c>
      <c r="AJ178" s="0" t="n">
        <f aca="false">_Rfb1</f>
        <v>20000</v>
      </c>
      <c r="AK178" s="0" t="n">
        <f aca="false">_Rfb1*Rcea2_u*Cc3ea_u*A178*2*Pi</f>
        <v>106691.502322944</v>
      </c>
      <c r="AL178" s="0" t="n">
        <v>1</v>
      </c>
      <c r="AM178" s="0" t="n">
        <f aca="false">(_Rfb1+Rcea2_u)*Cc3ea_u*A178*2*Pi</f>
        <v>1995.84767815615</v>
      </c>
      <c r="AN178" s="0" t="n">
        <f aca="false">AJ178*AL178/(AL178^2+AM178^2)+AK178*AM178/(AL178^2+AM178^2)</f>
        <v>53.4617433529989</v>
      </c>
      <c r="AO178" s="0" t="n">
        <f aca="false">AK178*AL178/(AL178^2+AM178^2)-AJ178*AM178/(AL178^2+AM178^2)</f>
        <v>-9.99401831860962</v>
      </c>
      <c r="AQ178" s="0" t="n">
        <f aca="false">Eadcg/(1+(Eadcg*A178/GBP)^2)</f>
        <v>2.19469462821823</v>
      </c>
      <c r="AR178" s="0" t="n">
        <f aca="false">-(A178*Eadcg*Eadcg/GBP)/(1+(Eadcg*A178/GBP)^2)</f>
        <v>-83.2754929731125</v>
      </c>
      <c r="AT178" s="0" t="n">
        <f aca="false">-AR178*AH178+AG178*AQ178</f>
        <v>-171073.808178522</v>
      </c>
      <c r="AU178" s="0" t="n">
        <f aca="false">AQ178*AH178+AG178*AR178</f>
        <v>-209993.675206757</v>
      </c>
      <c r="AV178" s="0" t="n">
        <f aca="false">ATAN2(AT178,AU178)</f>
        <v>-2.25441362188716</v>
      </c>
      <c r="AW178" s="0" t="n">
        <f aca="false">AG178-AH178*AO178/_Rfb2+AG178*AN178/_Rfb2+AN178-AO178*AR178+AQ178*AN178</f>
        <v>1854.14926418533</v>
      </c>
      <c r="AX178" s="0" t="n">
        <f aca="false">AH178+AH178*AN178/_Rfb2+AG178*AO178/_Rfb2+AO178+AO178*AQ178+AN178*AR178</f>
        <v>-6665.35338628755</v>
      </c>
      <c r="AY178" s="0" t="n">
        <f aca="false">ATAN2(AW178,AX178)</f>
        <v>-1.29947871518597</v>
      </c>
      <c r="BA178" s="0" t="n">
        <f aca="false">SQRT(AT178^2+AU178^2)/SQRT(AW178^2+AX178^2)</f>
        <v>39.1500340183541</v>
      </c>
      <c r="BB178" s="0" t="n">
        <f aca="false">20*LOG(BA178)</f>
        <v>31.8546428752494</v>
      </c>
      <c r="BC178" s="0" t="n">
        <f aca="false">AV178-AY178</f>
        <v>-0.954934906701196</v>
      </c>
      <c r="BD178" s="0" t="n">
        <f aca="false">BC178*180/Pi-180</f>
        <v>-234.713739926217</v>
      </c>
      <c r="BF178" s="0" t="n">
        <f aca="false">20*LOG(BA178*J178*F178*C178)</f>
        <v>44.6551627882948</v>
      </c>
      <c r="BG178" s="0" t="n">
        <f aca="false">(180/Pi)*(D178+H178+BC178)</f>
        <v>-204.173315049019</v>
      </c>
      <c r="BH178" s="0" t="n">
        <f aca="false">IF(BG178&gt;180,BG178-180,BG178+180)</f>
        <v>-24.1733150490186</v>
      </c>
      <c r="BI178" s="0" t="n">
        <f aca="false">IF(BH178&gt;180,BH178-360,BH178)</f>
        <v>-24.1733150490186</v>
      </c>
      <c r="BJ178" s="0" t="n">
        <f aca="false">SUM((BF179&lt;0)*(BF178&gt;0))*A178</f>
        <v>0</v>
      </c>
      <c r="BK178" s="0" t="n">
        <f aca="false">IF(BJ178&gt;0,BI178,0)</f>
        <v>0</v>
      </c>
      <c r="BM178" s="0" t="n">
        <f aca="false">20*LOG(J178*F178*C178)</f>
        <v>12.8005199130454</v>
      </c>
      <c r="BN178" s="0" t="n">
        <f aca="false">(H178+D178)*180/Pi</f>
        <v>-149.459575122801</v>
      </c>
      <c r="BQ178" s="347" t="n">
        <f aca="false">20*LOG(BA178*7)</f>
        <v>48.7566036755345</v>
      </c>
      <c r="BR178" s="353"/>
      <c r="BS178" s="353"/>
      <c r="BT178" s="353" t="n">
        <v>4786.301</v>
      </c>
      <c r="BU178" s="353" t="n">
        <v>2.53075</v>
      </c>
      <c r="BV178" s="353" t="n">
        <v>-240.031</v>
      </c>
      <c r="BW178" s="349"/>
      <c r="BY178" s="353"/>
      <c r="BZ178" s="353"/>
      <c r="CA178" s="353"/>
      <c r="CC178" s="353"/>
    </row>
    <row r="179" customFormat="false" ht="12.75" hidden="false" customHeight="false" outlineLevel="0" collapsed="false">
      <c r="A179" s="0" t="n">
        <f aca="false">A178+500</f>
        <v>72500</v>
      </c>
      <c r="B179" s="0" t="n">
        <f aca="false">A179/1000</f>
        <v>72.5</v>
      </c>
      <c r="C179" s="0" t="n">
        <f aca="false">SQRT((A179/Fesr)^2+1)</f>
        <v>1.00000010375421</v>
      </c>
      <c r="D179" s="0" t="n">
        <f aca="false">ATAN(A179/Fesr)</f>
        <v>0.000455530902741167</v>
      </c>
      <c r="F179" s="0" t="n">
        <f aca="false">(Ro/(Ro+Rdcr))/SQRT((A179/(Q*Fo))^2+(1-(A179^2/Fo^2))^2)</f>
        <v>0.476459029082562</v>
      </c>
      <c r="G179" s="0" t="n">
        <f aca="false">-ATAN(A179*Fo/(Q*(Fo^2-A179^2)))</f>
        <v>0.526176277300619</v>
      </c>
      <c r="H179" s="0" t="n">
        <f aca="false">IF(G179&gt;0,G179-Pi,G179)</f>
        <v>-2.61541637269938</v>
      </c>
      <c r="J179" s="0" t="n">
        <f aca="false">Vin/Vramp</f>
        <v>9</v>
      </c>
      <c r="M179" s="0" t="n">
        <f aca="false">1/(2*Pi*_Rfb1*(Cc1ea_u+Cc2ea_u)*A179)</f>
        <v>0.0813052072918296</v>
      </c>
      <c r="N179" s="0" t="n">
        <f aca="false">-Pi/2</f>
        <v>-1.570796325</v>
      </c>
      <c r="O179" s="0" t="n">
        <f aca="false">SQRT(1+(A179/Fz1_u)^2)</f>
        <v>2.03391502860518</v>
      </c>
      <c r="P179" s="0" t="n">
        <f aca="false">ATAN2(Fz1_u,A179)</f>
        <v>1.05679826317387</v>
      </c>
      <c r="Q179" s="0" t="n">
        <f aca="false">SQRT(1+(A179/Fz2_u)^2)</f>
        <v>2009.70798026906</v>
      </c>
      <c r="R179" s="0" t="n">
        <f aca="false">ATAN2(Fz2_u,A179)</f>
        <v>1.57029874204573</v>
      </c>
      <c r="S179" s="0" t="n">
        <f aca="false">1/SQRT(1+(A179/Fp1_u)^2)</f>
        <v>0.18301912834385</v>
      </c>
      <c r="T179" s="0" t="n">
        <f aca="false">-ATAN2(Fp1_u,A179)</f>
        <v>-1.38673974856904</v>
      </c>
      <c r="U179" s="0" t="n">
        <f aca="false">1/SQRT(1+(A179/Fp2_u)^2)</f>
        <v>0.98118180839825</v>
      </c>
      <c r="V179" s="0" t="n">
        <f aca="false">-ATAN2(Fp2_u,A179)</f>
        <v>-0.194306512009797</v>
      </c>
      <c r="X179" s="0" t="n">
        <f aca="false">20*LOG(C179*J179*O179*Q179*F179*M179*S179*U179)</f>
        <v>48.1619641977141</v>
      </c>
      <c r="Y179" s="0" t="n">
        <f aca="false">(180/Pi)*(D179+H179+N179+P179+R179+T179+V179)</f>
        <v>-179.891927105208</v>
      </c>
      <c r="Z179" s="0" t="n">
        <f aca="false">Y179+180</f>
        <v>0.108072894791547</v>
      </c>
      <c r="AC179" s="0" t="n">
        <v>1</v>
      </c>
      <c r="AD179" s="0" t="n">
        <f aca="false">Rcea1_u*Cc1ea_u*A179*2*Pi</f>
        <v>1.771104272364</v>
      </c>
      <c r="AE179" s="0" t="n">
        <f aca="false">-Rcea1_u*Cc1ea_u*Cc2ea_u*(A179*2*Pi)^2</f>
        <v>-0.000121018917576621</v>
      </c>
      <c r="AF179" s="0" t="n">
        <f aca="false">(Cc2ea_u+Cc1ea_u)*A179*2*Pi</f>
        <v>0.0006149667612375</v>
      </c>
      <c r="AG179" s="0" t="n">
        <f aca="false">AC179*AE179/(AE179^2+AF179^2)+AD179*AF179/(AE179^2+AF179^2)</f>
        <v>2464.55741729705</v>
      </c>
      <c r="AH179" s="0" t="n">
        <f aca="false">AD179*AE179/(AE179^2+AF179^2)-AC179*AF179/(AE179^2+AF179^2)</f>
        <v>-2111.10283153228</v>
      </c>
      <c r="AJ179" s="0" t="n">
        <f aca="false">_Rfb1</f>
        <v>20000</v>
      </c>
      <c r="AK179" s="0" t="n">
        <f aca="false">_Rfb1*Rcea2_u*Cc3ea_u*A179*2*Pi</f>
        <v>107432.41553352</v>
      </c>
      <c r="AL179" s="0" t="n">
        <v>1</v>
      </c>
      <c r="AM179" s="0" t="n">
        <f aca="false">(_Rfb1+Rcea2_u)*Cc3ea_u*A179*2*Pi</f>
        <v>2009.70773147668</v>
      </c>
      <c r="AN179" s="0" t="n">
        <f aca="false">AJ179*AL179/(AL179^2+AM179^2)+AK179*AM179/(AL179^2+AM179^2)</f>
        <v>53.4616745235204</v>
      </c>
      <c r="AO179" s="0" t="n">
        <f aca="false">AK179*AL179/(AL179^2+AM179^2)-AJ179*AM179/(AL179^2+AM179^2)</f>
        <v>-9.92509408859184</v>
      </c>
      <c r="AQ179" s="0" t="n">
        <f aca="false">Eadcg/(1+(Eadcg*A179/GBP)^2)</f>
        <v>2.164548014184</v>
      </c>
      <c r="AR179" s="0" t="n">
        <f aca="false">-(A179*Eadcg*Eadcg/GBP)/(1+(Eadcg*A179/GBP)^2)</f>
        <v>-82.7019682519352</v>
      </c>
      <c r="AT179" s="0" t="n">
        <f aca="false">-AR179*AH179+AG179*AQ179</f>
        <v>-169257.7064865</v>
      </c>
      <c r="AU179" s="0" t="n">
        <f aca="false">AQ179*AH179+AG179*AR179</f>
        <v>-208393.332722103</v>
      </c>
      <c r="AV179" s="0" t="n">
        <f aca="false">ATAN2(AT179,AU179)</f>
        <v>-2.25293400445897</v>
      </c>
      <c r="AW179" s="0" t="n">
        <f aca="false">AG179-AH179*AO179/_Rfb2+AG179*AN179/_Rfb2+AN179-AO179*AR179+AQ179*AN179</f>
        <v>1862.7775495477</v>
      </c>
      <c r="AX179" s="0" t="n">
        <f aca="false">AH179+AH179*AN179/_Rfb2+AG179*AO179/_Rfb2+AO179+AO179*AQ179+AN179*AR179</f>
        <v>-6625.69280298371</v>
      </c>
      <c r="AY179" s="0" t="n">
        <f aca="false">ATAN2(AW179,AX179)</f>
        <v>-1.29672658063608</v>
      </c>
      <c r="BA179" s="0" t="n">
        <f aca="false">SQRT(AT179^2+AU179^2)/SQRT(AW179^2+AX179^2)</f>
        <v>39.0071903650609</v>
      </c>
      <c r="BB179" s="0" t="n">
        <f aca="false">20*LOG(BA179)</f>
        <v>31.8228933959338</v>
      </c>
      <c r="BC179" s="0" t="n">
        <f aca="false">AV179-AY179</f>
        <v>-0.956207423822887</v>
      </c>
      <c r="BD179" s="0" t="n">
        <f aca="false">BC179*180/Pi-180</f>
        <v>-234.786649786731</v>
      </c>
      <c r="BF179" s="0" t="n">
        <f aca="false">20*LOG(BA179*J179*F179*C179)</f>
        <v>44.4682557141194</v>
      </c>
      <c r="BG179" s="0" t="n">
        <f aca="false">(180/Pi)*(D179+H179+BC179)</f>
        <v>-204.612869784857</v>
      </c>
      <c r="BH179" s="0" t="n">
        <f aca="false">IF(BG179&gt;180,BG179-180,BG179+180)</f>
        <v>-24.6128697848573</v>
      </c>
      <c r="BI179" s="0" t="n">
        <f aca="false">IF(BH179&gt;180,BH179-360,BH179)</f>
        <v>-24.6128697848573</v>
      </c>
      <c r="BJ179" s="0" t="n">
        <f aca="false">SUM((BF180&lt;0)*(BF179&gt;0))*A179</f>
        <v>0</v>
      </c>
      <c r="BK179" s="0" t="n">
        <f aca="false">IF(BJ179&gt;0,BI179,0)</f>
        <v>0</v>
      </c>
      <c r="BM179" s="0" t="n">
        <f aca="false">20*LOG(J179*F179*C179)</f>
        <v>12.6453623181857</v>
      </c>
      <c r="BN179" s="0" t="n">
        <f aca="false">(H179+D179)*180/Pi</f>
        <v>-149.826219998126</v>
      </c>
      <c r="BQ179" s="347" t="n">
        <f aca="false">20*LOG(BA179*7)</f>
        <v>48.7248541962189</v>
      </c>
      <c r="BR179" s="353"/>
      <c r="BS179" s="353"/>
      <c r="BT179" s="353" t="n">
        <v>4897.788</v>
      </c>
      <c r="BU179" s="353" t="n">
        <v>2.17956</v>
      </c>
      <c r="BV179" s="353" t="n">
        <v>-239.481</v>
      </c>
      <c r="BW179" s="349"/>
      <c r="BY179" s="353"/>
      <c r="BZ179" s="353"/>
      <c r="CA179" s="353"/>
      <c r="CC179" s="353"/>
    </row>
    <row r="180" customFormat="false" ht="12.75" hidden="false" customHeight="false" outlineLevel="0" collapsed="false">
      <c r="A180" s="0" t="n">
        <f aca="false">A179+500</f>
        <v>73000</v>
      </c>
      <c r="B180" s="0" t="n">
        <f aca="false">A180/1000</f>
        <v>73</v>
      </c>
      <c r="C180" s="0" t="n">
        <f aca="false">SQRT((A180/Fesr)^2+1)</f>
        <v>1.00000010519024</v>
      </c>
      <c r="D180" s="0" t="n">
        <f aca="false">ATAN(A180/Fesr)</f>
        <v>0.000458672494734754</v>
      </c>
      <c r="F180" s="0" t="n">
        <f aca="false">(Ro/(Ro+Rdcr))/SQRT((A180/(Q*Fo))^2+(1-(A180^2/Fo^2))^2)</f>
        <v>0.468101009689406</v>
      </c>
      <c r="G180" s="0" t="n">
        <f aca="false">-ATAN(A180*Fo/(Q*(Fo^2-A180^2)))</f>
        <v>0.519934525227661</v>
      </c>
      <c r="H180" s="0" t="n">
        <f aca="false">IF(G180&gt;0,G180-Pi,G180)</f>
        <v>-2.62165812477234</v>
      </c>
      <c r="J180" s="0" t="n">
        <f aca="false">Vin/Vramp</f>
        <v>9</v>
      </c>
      <c r="M180" s="0" t="n">
        <f aca="false">1/(2*Pi*_Rfb1*(Cc1ea_u+Cc2ea_u)*A180)</f>
        <v>0.0807483223103787</v>
      </c>
      <c r="N180" s="0" t="n">
        <f aca="false">-Pi/2</f>
        <v>-1.570796325</v>
      </c>
      <c r="O180" s="0" t="n">
        <f aca="false">SQRT(1+(A180/Fz1_u)^2)</f>
        <v>2.04456007186426</v>
      </c>
      <c r="P180" s="0" t="n">
        <f aca="false">ATAN2(Fz1_u,A180)</f>
        <v>1.05973553454526</v>
      </c>
      <c r="Q180" s="0" t="n">
        <f aca="false">SQRT(1+(A180/Fz2_u)^2)</f>
        <v>2023.56803188553</v>
      </c>
      <c r="R180" s="0" t="n">
        <f aca="false">ATAN2(Fz2_u,A180)</f>
        <v>1.57030215015989</v>
      </c>
      <c r="S180" s="0" t="n">
        <f aca="false">1/SQRT(1+(A180/Fp1_u)^2)</f>
        <v>0.181807145621153</v>
      </c>
      <c r="T180" s="0" t="n">
        <f aca="false">-ATAN2(Fp1_u,A180)</f>
        <v>-1.38797241305488</v>
      </c>
      <c r="U180" s="0" t="n">
        <f aca="false">1/SQRT(1+(A180/Fp2_u)^2)</f>
        <v>0.980928755883137</v>
      </c>
      <c r="V180" s="0" t="n">
        <f aca="false">-ATAN2(Fp2_u,A180)</f>
        <v>-0.195612745144467</v>
      </c>
      <c r="X180" s="0" t="n">
        <f aca="false">20*LOG(C180*J180*O180*Q180*F180*M180*S180*U180)</f>
        <v>47.9936348085006</v>
      </c>
      <c r="Y180" s="0" t="n">
        <f aca="false">(180/Pi)*(D180+H180+N180+P180+R180+T180+V180)</f>
        <v>-180.226352751024</v>
      </c>
      <c r="Z180" s="0" t="n">
        <f aca="false">Y180+180</f>
        <v>-0.22635275102428</v>
      </c>
      <c r="AC180" s="0" t="n">
        <v>1</v>
      </c>
      <c r="AD180" s="0" t="n">
        <f aca="false">Rcea1_u*Cc1ea_u*A180*2*Pi</f>
        <v>1.7833187845872</v>
      </c>
      <c r="AE180" s="0" t="n">
        <f aca="false">-Rcea1_u*Cc1ea_u*Cc2ea_u*(A180*2*Pi)^2</f>
        <v>-0.000122693899979227</v>
      </c>
      <c r="AF180" s="0" t="n">
        <f aca="false">(Cc2ea_u+Cc1ea_u)*A180*2*Pi</f>
        <v>0.000619207911315</v>
      </c>
      <c r="AG180" s="0" t="n">
        <f aca="false">AC180*AE180/(AE180^2+AF180^2)+AD180*AF180/(AE180^2+AF180^2)</f>
        <v>2463.2863337432</v>
      </c>
      <c r="AH180" s="0" t="n">
        <f aca="false">AD180*AE180/(AE180^2+AF180^2)-AC180*AF180/(AE180^2+AF180^2)</f>
        <v>-2103.05808962771</v>
      </c>
      <c r="AJ180" s="0" t="n">
        <f aca="false">_Rfb1</f>
        <v>20000</v>
      </c>
      <c r="AK180" s="0" t="n">
        <f aca="false">_Rfb1*Rcea2_u*Cc3ea_u*A180*2*Pi</f>
        <v>108173.328744096</v>
      </c>
      <c r="AL180" s="0" t="n">
        <v>1</v>
      </c>
      <c r="AM180" s="0" t="n">
        <f aca="false">(_Rfb1+Rcea2_u)*Cc3ea_u*A180*2*Pi</f>
        <v>2023.5677847972</v>
      </c>
      <c r="AN180" s="0" t="n">
        <f aca="false">AJ180*AL180/(AL180^2+AM180^2)+AK180*AM180/(AL180^2+AM180^2)</f>
        <v>53.4616071034968</v>
      </c>
      <c r="AO180" s="0" t="n">
        <f aca="false">AK180*AL180/(AL180^2+AM180^2)-AJ180*AM180/(AL180^2+AM180^2)</f>
        <v>-9.85711402541204</v>
      </c>
      <c r="AQ180" s="0" t="n">
        <f aca="false">Eadcg/(1+(Eadcg*A180/GBP)^2)</f>
        <v>2.13501816957518</v>
      </c>
      <c r="AR180" s="0" t="n">
        <f aca="false">-(A180*Eadcg*Eadcg/GBP)/(1+(Eadcg*A180/GBP)^2)</f>
        <v>-82.1362840017266</v>
      </c>
      <c r="AT180" s="0" t="n">
        <f aca="false">-AR180*AH180+AG180*AQ180</f>
        <v>-167478.215442382</v>
      </c>
      <c r="AU180" s="0" t="n">
        <f aca="false">AQ180*AH180+AG180*AR180</f>
        <v>-206815.253118931</v>
      </c>
      <c r="AV180" s="0" t="n">
        <f aca="false">ATAN2(AT180,AU180)</f>
        <v>-2.25148211058886</v>
      </c>
      <c r="AW180" s="0" t="n">
        <f aca="false">AG180-AH180*AO180/_Rfb2+AG180*AN180/_Rfb2+AN180-AO180*AR180+AQ180*AN180</f>
        <v>1871.19524960362</v>
      </c>
      <c r="AX180" s="0" t="n">
        <f aca="false">AH180+AH180*AN180/_Rfb2+AG180*AO180/_Rfb2+AO180+AO180*AQ180+AN180*AR180</f>
        <v>-6586.61925724609</v>
      </c>
      <c r="AY180" s="0" t="n">
        <f aca="false">ATAN2(AW180,AX180)</f>
        <v>-1.29399864623586</v>
      </c>
      <c r="BA180" s="0" t="n">
        <f aca="false">SQRT(AT180^2+AU180^2)/SQRT(AW180^2+AX180^2)</f>
        <v>38.8656515691464</v>
      </c>
      <c r="BB180" s="0" t="n">
        <f aca="false">20*LOG(BA180)</f>
        <v>31.791319057973</v>
      </c>
      <c r="BC180" s="0" t="n">
        <f aca="false">AV180-AY180</f>
        <v>-0.957483464353003</v>
      </c>
      <c r="BD180" s="0" t="n">
        <f aca="false">BC180*180/Pi-180</f>
        <v>-234.859761523678</v>
      </c>
      <c r="BF180" s="0" t="n">
        <f aca="false">20*LOG(BA180*J180*F180*C180)</f>
        <v>44.2829617183802</v>
      </c>
      <c r="BG180" s="0" t="n">
        <f aca="false">(180/Pi)*(D180+H180+BC180)</f>
        <v>-205.043427572798</v>
      </c>
      <c r="BH180" s="0" t="n">
        <f aca="false">IF(BG180&gt;180,BG180-180,BG180+180)</f>
        <v>-25.043427572798</v>
      </c>
      <c r="BI180" s="0" t="n">
        <f aca="false">IF(BH180&gt;180,BH180-360,BH180)</f>
        <v>-25.043427572798</v>
      </c>
      <c r="BJ180" s="0" t="n">
        <f aca="false">SUM((BF181&lt;0)*(BF180&gt;0))*A180</f>
        <v>0</v>
      </c>
      <c r="BK180" s="0" t="n">
        <f aca="false">IF(BJ180&gt;0,BI180,0)</f>
        <v>0</v>
      </c>
      <c r="BM180" s="0" t="n">
        <f aca="false">20*LOG(J180*F180*C180)</f>
        <v>12.4916426604073</v>
      </c>
      <c r="BN180" s="0" t="n">
        <f aca="false">(H180+D180)*180/Pi</f>
        <v>-150.18366604912</v>
      </c>
      <c r="BQ180" s="347" t="n">
        <f aca="false">20*LOG(BA180*7)</f>
        <v>48.6932798582581</v>
      </c>
      <c r="BR180" s="353"/>
      <c r="BS180" s="353"/>
      <c r="BT180" s="353" t="n">
        <v>5011.872</v>
      </c>
      <c r="BU180" s="353" t="n">
        <v>2.08934</v>
      </c>
      <c r="BV180" s="353" t="n">
        <v>-238.507</v>
      </c>
      <c r="BW180" s="349"/>
      <c r="BY180" s="353"/>
      <c r="BZ180" s="353"/>
      <c r="CA180" s="353"/>
      <c r="CC180" s="353"/>
    </row>
    <row r="181" customFormat="false" ht="12.75" hidden="false" customHeight="false" outlineLevel="0" collapsed="false">
      <c r="A181" s="0" t="n">
        <f aca="false">A180+500</f>
        <v>73500</v>
      </c>
      <c r="B181" s="0" t="n">
        <f aca="false">A181/1000</f>
        <v>73.5</v>
      </c>
      <c r="C181" s="0" t="n">
        <f aca="false">SQRT((A181/Fesr)^2+1)</f>
        <v>1.00000010663613</v>
      </c>
      <c r="D181" s="0" t="n">
        <f aca="false">ATAN(A181/Fesr)</f>
        <v>0.000461814086719287</v>
      </c>
      <c r="F181" s="0" t="n">
        <f aca="false">(Ro/(Ro+Rdcr))/SQRT((A181/(Q*Fo))^2+(1-(A181^2/Fo^2))^2)</f>
        <v>0.459964687642704</v>
      </c>
      <c r="G181" s="0" t="n">
        <f aca="false">-ATAN(A181*Fo/(Q*(Fo^2-A181^2)))</f>
        <v>0.513847497891854</v>
      </c>
      <c r="H181" s="0" t="n">
        <f aca="false">IF(G181&gt;0,G181-Pi,G181)</f>
        <v>-2.62774515210815</v>
      </c>
      <c r="J181" s="0" t="n">
        <f aca="false">Vin/Vramp</f>
        <v>9</v>
      </c>
      <c r="M181" s="0" t="n">
        <f aca="false">1/(2*Pi*_Rfb1*(Cc1ea_u+Cc2ea_u)*A181)</f>
        <v>0.0801990139953421</v>
      </c>
      <c r="N181" s="0" t="n">
        <f aca="false">-Pi/2</f>
        <v>-1.570796325</v>
      </c>
      <c r="O181" s="0" t="n">
        <f aca="false">SQRT(1+(A181/Fz1_u)^2)</f>
        <v>2.05522257187751</v>
      </c>
      <c r="P181" s="0" t="n">
        <f aca="false">ATAN2(Fz1_u,A181)</f>
        <v>1.06264235363624</v>
      </c>
      <c r="Q181" s="0" t="n">
        <f aca="false">SQRT(1+(A181/Fz2_u)^2)</f>
        <v>2037.42808352518</v>
      </c>
      <c r="R181" s="0" t="n">
        <f aca="false">ATAN2(Fz2_u,A181)</f>
        <v>1.57030551190517</v>
      </c>
      <c r="S181" s="0" t="n">
        <f aca="false">1/SQRT(1+(A181/Fp1_u)^2)</f>
        <v>0.180610840158026</v>
      </c>
      <c r="T181" s="0" t="n">
        <f aca="false">-ATAN2(Fp1_u,A181)</f>
        <v>-1.38918885730834</v>
      </c>
      <c r="U181" s="0" t="n">
        <f aca="false">1/SQRT(1+(A181/Fp2_u)^2)</f>
        <v>0.980674161887169</v>
      </c>
      <c r="V181" s="0" t="n">
        <f aca="false">-ATAN2(Fp2_u,A181)</f>
        <v>-0.196918302456303</v>
      </c>
      <c r="X181" s="0" t="n">
        <f aca="false">20*LOG(C181*J181*O181*Q181*F181*M181*S181*U181)</f>
        <v>47.8269154186508</v>
      </c>
      <c r="Y181" s="0" t="n">
        <f aca="false">(180/Pi)*(D181+H181+N181+P181+R181+T181+V181)</f>
        <v>-180.552692693637</v>
      </c>
      <c r="Z181" s="0" t="n">
        <f aca="false">Y181+180</f>
        <v>-0.552692693637198</v>
      </c>
      <c r="AC181" s="0" t="n">
        <v>1</v>
      </c>
      <c r="AD181" s="0" t="n">
        <f aca="false">Rcea1_u*Cc1ea_u*A181*2*Pi</f>
        <v>1.7955332968104</v>
      </c>
      <c r="AE181" s="0" t="n">
        <f aca="false">-Rcea1_u*Cc1ea_u*Cc2ea_u*(A181*2*Pi)^2</f>
        <v>-0.000124380394288381</v>
      </c>
      <c r="AF181" s="0" t="n">
        <f aca="false">(Cc2ea_u+Cc1ea_u)*A181*2*Pi</f>
        <v>0.0006234490613925</v>
      </c>
      <c r="AG181" s="0" t="n">
        <f aca="false">AC181*AE181/(AE181^2+AF181^2)+AD181*AF181/(AE181^2+AF181^2)</f>
        <v>2462.00783819034</v>
      </c>
      <c r="AH181" s="0" t="n">
        <f aca="false">AD181*AE181/(AE181^2+AF181^2)-AC181*AF181/(AE181^2+AF181^2)</f>
        <v>-2095.15995218228</v>
      </c>
      <c r="AJ181" s="0" t="n">
        <f aca="false">_Rfb1</f>
        <v>20000</v>
      </c>
      <c r="AK181" s="0" t="n">
        <f aca="false">_Rfb1*Rcea2_u*Cc3ea_u*A181*2*Pi</f>
        <v>108914.241954672</v>
      </c>
      <c r="AL181" s="0" t="n">
        <v>1</v>
      </c>
      <c r="AM181" s="0" t="n">
        <f aca="false">(_Rfb1+Rcea2_u)*Cc3ea_u*A181*2*Pi</f>
        <v>2037.42783811773</v>
      </c>
      <c r="AN181" s="0" t="n">
        <f aca="false">AJ181*AL181/(AL181^2+AM181^2)+AK181*AM181/(AL181^2+AM181^2)</f>
        <v>53.4615410547061</v>
      </c>
      <c r="AO181" s="0" t="n">
        <f aca="false">AK181*AL181/(AL181^2+AM181^2)-AJ181*AM181/(AL181^2+AM181^2)</f>
        <v>-9.79005886037799</v>
      </c>
      <c r="AQ181" s="0" t="n">
        <f aca="false">Eadcg/(1+(Eadcg*A181/GBP)^2)</f>
        <v>2.10608838746322</v>
      </c>
      <c r="AR181" s="0" t="n">
        <f aca="false">-(A181*Eadcg*Eadcg/GBP)/(1+(Eadcg*A181/GBP)^2)</f>
        <v>-81.5782806441941</v>
      </c>
      <c r="AT181" s="0" t="n">
        <f aca="false">-AR181*AH181+AG181*AQ181</f>
        <v>-165734.340455746</v>
      </c>
      <c r="AU181" s="0" t="n">
        <f aca="false">AQ181*AH181+AG181*AR181</f>
        <v>-205258.958417266</v>
      </c>
      <c r="AV181" s="0" t="n">
        <f aca="false">ATAN2(AT181,AU181)</f>
        <v>-2.25005755747259</v>
      </c>
      <c r="AW181" s="0" t="n">
        <f aca="false">AG181-AH181*AO181/_Rfb2+AG181*AN181/_Rfb2+AN181-AO181*AR181+AQ181*AN181</f>
        <v>1879.40788804024</v>
      </c>
      <c r="AX181" s="0" t="n">
        <f aca="false">AH181+AH181*AN181/_Rfb2+AG181*AO181/_Rfb2+AO181+AO181*AQ181+AN181*AR181</f>
        <v>-6548.12049680567</v>
      </c>
      <c r="AY181" s="0" t="n">
        <f aca="false">ATAN2(AW181,AX181)</f>
        <v>-1.29129466352456</v>
      </c>
      <c r="BA181" s="0" t="n">
        <f aca="false">SQRT(AT181^2+AU181^2)/SQRT(AW181^2+AX181^2)</f>
        <v>38.7253901280006</v>
      </c>
      <c r="BB181" s="0" t="n">
        <f aca="false">20*LOG(BA181)</f>
        <v>31.7599160326065</v>
      </c>
      <c r="BC181" s="0" t="n">
        <f aca="false">AV181-AY181</f>
        <v>-0.958762893948033</v>
      </c>
      <c r="BD181" s="0" t="n">
        <f aca="false">BC181*180/Pi-180</f>
        <v>-234.933067439741</v>
      </c>
      <c r="BF181" s="0" t="n">
        <f aca="false">20*LOG(BA181*J181*F181*C181)</f>
        <v>44.0992569747069</v>
      </c>
      <c r="BG181" s="0" t="n">
        <f aca="false">(180/Pi)*(D181+H181+BC181)</f>
        <v>-205.46531446542</v>
      </c>
      <c r="BH181" s="0" t="n">
        <f aca="false">IF(BG181&gt;180,BG181-180,BG181+180)</f>
        <v>-25.4653144654202</v>
      </c>
      <c r="BI181" s="0" t="n">
        <f aca="false">IF(BH181&gt;180,BH181-360,BH181)</f>
        <v>-25.4653144654202</v>
      </c>
      <c r="BJ181" s="0" t="n">
        <f aca="false">SUM((BF182&lt;0)*(BF181&gt;0))*A181</f>
        <v>0</v>
      </c>
      <c r="BK181" s="0" t="n">
        <f aca="false">IF(BJ181&gt;0,BI181,0)</f>
        <v>0</v>
      </c>
      <c r="BM181" s="0" t="n">
        <f aca="false">20*LOG(J181*F181*C181)</f>
        <v>12.3393409421004</v>
      </c>
      <c r="BN181" s="0" t="n">
        <f aca="false">(H181+D181)*180/Pi</f>
        <v>-150.532247025679</v>
      </c>
      <c r="BQ181" s="347" t="n">
        <f aca="false">20*LOG(BA181*7)</f>
        <v>48.6618768328916</v>
      </c>
      <c r="BR181" s="353"/>
      <c r="BS181" s="353"/>
      <c r="BT181" s="353" t="n">
        <v>5128.614</v>
      </c>
      <c r="BU181" s="353" t="n">
        <v>1.79547</v>
      </c>
      <c r="BV181" s="353" t="n">
        <v>-237.881</v>
      </c>
      <c r="BW181" s="349"/>
      <c r="BY181" s="353"/>
      <c r="BZ181" s="353"/>
      <c r="CA181" s="353"/>
      <c r="CC181" s="353"/>
    </row>
    <row r="182" customFormat="false" ht="12.75" hidden="false" customHeight="false" outlineLevel="0" collapsed="false">
      <c r="A182" s="0" t="n">
        <f aca="false">A181+500</f>
        <v>74000</v>
      </c>
      <c r="B182" s="0" t="n">
        <f aca="false">A182/1000</f>
        <v>74</v>
      </c>
      <c r="C182" s="0" t="n">
        <f aca="false">SQRT((A182/Fesr)^2+1)</f>
        <v>1.0000001080919</v>
      </c>
      <c r="D182" s="0" t="n">
        <f aca="false">ATAN(A182/Fesr)</f>
        <v>0.000464955678694705</v>
      </c>
      <c r="F182" s="0" t="n">
        <f aca="false">(Ro/(Ro+Rdcr))/SQRT((A182/(Q*Fo))^2+(1-(A182^2/Fo^2))^2)</f>
        <v>0.452042531638017</v>
      </c>
      <c r="G182" s="0" t="n">
        <f aca="false">-ATAN(A182*Fo/(Q*(Fo^2-A182^2)))</f>
        <v>0.507909632571525</v>
      </c>
      <c r="H182" s="0" t="n">
        <f aca="false">IF(G182&gt;0,G182-Pi,G182)</f>
        <v>-2.63368301742848</v>
      </c>
      <c r="J182" s="0" t="n">
        <f aca="false">Vin/Vramp</f>
        <v>9</v>
      </c>
      <c r="M182" s="0" t="n">
        <f aca="false">1/(2*Pi*_Rfb1*(Cc1ea_u+Cc2ea_u)*A182)</f>
        <v>0.0796571287656438</v>
      </c>
      <c r="N182" s="0" t="n">
        <f aca="false">-Pi/2</f>
        <v>-1.570796325</v>
      </c>
      <c r="O182" s="0" t="n">
        <f aca="false">SQRT(1+(A182/Fz1_u)^2)</f>
        <v>2.06590225835246</v>
      </c>
      <c r="P182" s="0" t="n">
        <f aca="false">ATAN2(Fz1_u,A182)</f>
        <v>1.06551914321013</v>
      </c>
      <c r="Q182" s="0" t="n">
        <f aca="false">SQRT(1+(A182/Fz2_u)^2)</f>
        <v>2051.28813518755</v>
      </c>
      <c r="R182" s="0" t="n">
        <f aca="false">ATAN2(Fz2_u,A182)</f>
        <v>1.57030882822146</v>
      </c>
      <c r="S182" s="0" t="n">
        <f aca="false">1/SQRT(1+(A182/Fp1_u)^2)</f>
        <v>0.179429915023613</v>
      </c>
      <c r="T182" s="0" t="n">
        <f aca="false">-ATAN2(Fp1_u,A182)</f>
        <v>-1.39038939586189</v>
      </c>
      <c r="U182" s="0" t="n">
        <f aca="false">1/SQRT(1+(A182/Fp2_u)^2)</f>
        <v>0.980418030212953</v>
      </c>
      <c r="V182" s="0" t="n">
        <f aca="false">-ATAN2(Fp2_u,A182)</f>
        <v>-0.198223180022533</v>
      </c>
      <c r="X182" s="0" t="n">
        <f aca="false">20*LOG(C182*J182*O182*Q182*F182*M182*S182*U182)</f>
        <v>47.6617816498536</v>
      </c>
      <c r="Y182" s="0" t="n">
        <f aca="false">(180/Pi)*(D182+H182+N182+P182+R182+T182+V182)</f>
        <v>-180.871259173741</v>
      </c>
      <c r="Z182" s="0" t="n">
        <f aca="false">Y182+180</f>
        <v>-0.871259173740839</v>
      </c>
      <c r="AC182" s="0" t="n">
        <v>1</v>
      </c>
      <c r="AD182" s="0" t="n">
        <f aca="false">Rcea1_u*Cc1ea_u*A182*2*Pi</f>
        <v>1.8077478090336</v>
      </c>
      <c r="AE182" s="0" t="n">
        <f aca="false">-Rcea1_u*Cc1ea_u*Cc2ea_u*(A182*2*Pi)^2</f>
        <v>-0.000126078400504081</v>
      </c>
      <c r="AF182" s="0" t="n">
        <f aca="false">(Cc2ea_u+Cc1ea_u)*A182*2*Pi</f>
        <v>0.00062769021147</v>
      </c>
      <c r="AG182" s="0" t="n">
        <f aca="false">AC182*AE182/(AE182^2+AF182^2)+AD182*AF182/(AE182^2+AF182^2)</f>
        <v>2460.72195575462</v>
      </c>
      <c r="AH182" s="0" t="n">
        <f aca="false">AD182*AE182/(AE182^2+AF182^2)-AC182*AF182/(AE182^2+AF182^2)</f>
        <v>-2087.40532244135</v>
      </c>
      <c r="AJ182" s="0" t="n">
        <f aca="false">_Rfb1</f>
        <v>20000</v>
      </c>
      <c r="AK182" s="0" t="n">
        <f aca="false">_Rfb1*Rcea2_u*Cc3ea_u*A182*2*Pi</f>
        <v>109655.155165248</v>
      </c>
      <c r="AL182" s="0" t="n">
        <v>1</v>
      </c>
      <c r="AM182" s="0" t="n">
        <f aca="false">(_Rfb1+Rcea2_u)*Cc3ea_u*A182*2*Pi</f>
        <v>2051.28789143826</v>
      </c>
      <c r="AN182" s="0" t="n">
        <f aca="false">AJ182*AL182/(AL182^2+AM182^2)+AK182*AM182/(AL182^2+AM182^2)</f>
        <v>53.4614763402137</v>
      </c>
      <c r="AO182" s="0" t="n">
        <f aca="false">AK182*AL182/(AL182^2+AM182^2)-AJ182*AM182/(AL182^2+AM182^2)</f>
        <v>-9.72390984557231</v>
      </c>
      <c r="AQ182" s="0" t="n">
        <f aca="false">Eadcg/(1+(Eadcg*A182/GBP)^2)</f>
        <v>2.07774252268237</v>
      </c>
      <c r="AR182" s="0" t="n">
        <f aca="false">-(A182*Eadcg*Eadcg/GBP)/(1+(Eadcg*A182/GBP)^2)</f>
        <v>-81.0278028995671</v>
      </c>
      <c r="AT182" s="0" t="n">
        <f aca="false">-AR182*AH182+AG182*AQ182</f>
        <v>-164025.120394316</v>
      </c>
      <c r="AU182" s="0" t="n">
        <f aca="false">AQ182*AH182+AG182*AR182</f>
        <v>-203723.984422032</v>
      </c>
      <c r="AV182" s="0" t="n">
        <f aca="false">ATAN2(AT182,AU182)</f>
        <v>-2.24865996775272</v>
      </c>
      <c r="AW182" s="0" t="n">
        <f aca="false">AG182-AH182*AO182/_Rfb2+AG182*AN182/_Rfb2+AN182-AO182*AR182+AQ182*AN182</f>
        <v>1887.42080378495</v>
      </c>
      <c r="AX182" s="0" t="n">
        <f aca="false">AH182+AH182*AN182/_Rfb2+AG182*AO182/_Rfb2+AO182+AO182*AQ182+AN182*AR182</f>
        <v>-6510.18460479442</v>
      </c>
      <c r="AY182" s="0" t="n">
        <f aca="false">ATAN2(AW182,AX182)</f>
        <v>-1.2886143888855</v>
      </c>
      <c r="BA182" s="0" t="n">
        <f aca="false">SQRT(AT182^2+AU182^2)/SQRT(AW182^2+AX182^2)</f>
        <v>38.5863794015317</v>
      </c>
      <c r="BB182" s="0" t="n">
        <f aca="false">20*LOG(BA182)</f>
        <v>31.7286806039732</v>
      </c>
      <c r="BC182" s="0" t="n">
        <f aca="false">AV182-AY182</f>
        <v>-0.960045578867217</v>
      </c>
      <c r="BD182" s="0" t="n">
        <f aca="false">BC182*180/Pi-180</f>
        <v>-235.00655987214</v>
      </c>
      <c r="BF182" s="0" t="n">
        <f aca="false">20*LOG(BA182*J182*F182*C182)</f>
        <v>43.9171177016099</v>
      </c>
      <c r="BG182" s="0" t="n">
        <f aca="false">(180/Pi)*(D182+H182+BC182)</f>
        <v>-205.878841520418</v>
      </c>
      <c r="BH182" s="0" t="n">
        <f aca="false">IF(BG182&gt;180,BG182-180,BG182+180)</f>
        <v>-25.8788415204178</v>
      </c>
      <c r="BI182" s="0" t="n">
        <f aca="false">IF(BH182&gt;180,BH182-360,BH182)</f>
        <v>-25.8788415204178</v>
      </c>
      <c r="BJ182" s="0" t="n">
        <f aca="false">SUM((BF183&lt;0)*(BF182&gt;0))*A182</f>
        <v>0</v>
      </c>
      <c r="BK182" s="0" t="n">
        <f aca="false">IF(BJ182&gt;0,BI182,0)</f>
        <v>0</v>
      </c>
      <c r="BM182" s="0" t="n">
        <f aca="false">20*LOG(J182*F182*C182)</f>
        <v>12.1884370976367</v>
      </c>
      <c r="BN182" s="0" t="n">
        <f aca="false">(H182+D182)*180/Pi</f>
        <v>-150.872281648278</v>
      </c>
      <c r="BQ182" s="347" t="n">
        <f aca="false">20*LOG(BA182*7)</f>
        <v>48.6306414042583</v>
      </c>
      <c r="BR182" s="353"/>
      <c r="BS182" s="353"/>
      <c r="BT182" s="353" t="n">
        <v>5248.075</v>
      </c>
      <c r="BU182" s="353" t="n">
        <v>1.60241</v>
      </c>
      <c r="BV182" s="353" t="n">
        <v>-238.28</v>
      </c>
      <c r="BW182" s="349"/>
      <c r="BY182" s="353"/>
      <c r="BZ182" s="353"/>
      <c r="CA182" s="353"/>
      <c r="CC182" s="353"/>
    </row>
    <row r="183" customFormat="false" ht="12.75" hidden="false" customHeight="false" outlineLevel="0" collapsed="false">
      <c r="A183" s="0" t="n">
        <f aca="false">A182+500</f>
        <v>74500</v>
      </c>
      <c r="B183" s="0" t="n">
        <f aca="false">A183/1000</f>
        <v>74.5</v>
      </c>
      <c r="C183" s="0" t="n">
        <f aca="false">SQRT((A183/Fesr)^2+1)</f>
        <v>1.00000010955754</v>
      </c>
      <c r="D183" s="0" t="n">
        <f aca="false">ATAN(A183/Fesr)</f>
        <v>0.000468097270660944</v>
      </c>
      <c r="F183" s="0" t="n">
        <f aca="false">(Ro/(Ro+Rdcr))/SQRT((A183/(Q*Fo))^2+(1-(A183^2/Fo^2))^2)</f>
        <v>0.44432729757064</v>
      </c>
      <c r="G183" s="0" t="n">
        <f aca="false">-ATAN(A183*Fo/(Q*(Fo^2-A183^2)))</f>
        <v>0.502115615515664</v>
      </c>
      <c r="H183" s="0" t="n">
        <f aca="false">IF(G183&gt;0,G183-Pi,G183)</f>
        <v>-2.63947703448434</v>
      </c>
      <c r="J183" s="0" t="n">
        <f aca="false">Vin/Vramp</f>
        <v>9</v>
      </c>
      <c r="M183" s="0" t="n">
        <f aca="false">1/(2*Pi*_Rfb1*(Cc1ea_u+Cc2ea_u)*A183)</f>
        <v>0.0791225171631898</v>
      </c>
      <c r="N183" s="0" t="n">
        <f aca="false">-Pi/2</f>
        <v>-1.570796325</v>
      </c>
      <c r="O183" s="0" t="n">
        <f aca="false">SQRT(1+(A183/Fz1_u)^2)</f>
        <v>2.07659886612568</v>
      </c>
      <c r="P183" s="0" t="n">
        <f aca="false">ATAN2(Fz1_u,A183)</f>
        <v>1.06836631932885</v>
      </c>
      <c r="Q183" s="0" t="n">
        <f aca="false">SQRT(1+(A183/Fz2_u)^2)</f>
        <v>2065.14818687218</v>
      </c>
      <c r="R183" s="0" t="n">
        <f aca="false">ATAN2(Fz2_u,A183)</f>
        <v>1.57031210002345</v>
      </c>
      <c r="S183" s="0" t="n">
        <f aca="false">1/SQRT(1+(A183/Fp1_u)^2)</f>
        <v>0.178264080599127</v>
      </c>
      <c r="T183" s="0" t="n">
        <f aca="false">-ATAN2(Fp1_u,A183)</f>
        <v>-1.39157433525954</v>
      </c>
      <c r="U183" s="0" t="n">
        <f aca="false">1/SQRT(1+(A183/Fp2_u)^2)</f>
        <v>0.980160364680669</v>
      </c>
      <c r="V183" s="0" t="n">
        <f aca="false">-ATAN2(Fp2_u,A183)</f>
        <v>-0.199527373933728</v>
      </c>
      <c r="X183" s="0" t="n">
        <f aca="false">20*LOG(C183*J183*O183*Q183*F183*M183*S183*U183)</f>
        <v>47.4982092151367</v>
      </c>
      <c r="Y183" s="0" t="n">
        <f aca="false">(180/Pi)*(D183+H183+N183+P183+R183+T183+V183)</f>
        <v>-181.182350095527</v>
      </c>
      <c r="Z183" s="0" t="n">
        <f aca="false">Y183+180</f>
        <v>-1.18235009552711</v>
      </c>
      <c r="AC183" s="0" t="n">
        <v>1</v>
      </c>
      <c r="AD183" s="0" t="n">
        <f aca="false">Rcea1_u*Cc1ea_u*A183*2*Pi</f>
        <v>1.8199623212568</v>
      </c>
      <c r="AE183" s="0" t="n">
        <f aca="false">-Rcea1_u*Cc1ea_u*Cc2ea_u*(A183*2*Pi)^2</f>
        <v>-0.000127787918626329</v>
      </c>
      <c r="AF183" s="0" t="n">
        <f aca="false">(Cc2ea_u+Cc1ea_u)*A183*2*Pi</f>
        <v>0.0006319313615475</v>
      </c>
      <c r="AG183" s="0" t="n">
        <f aca="false">AC183*AE183/(AE183^2+AF183^2)+AD183*AF183/(AE183^2+AF183^2)</f>
        <v>2459.42871165681</v>
      </c>
      <c r="AH183" s="0" t="n">
        <f aca="false">AD183*AE183/(AE183^2+AF183^2)-AC183*AF183/(AE183^2+AF183^2)</f>
        <v>-2079.79118626741</v>
      </c>
      <c r="AJ183" s="0" t="n">
        <f aca="false">_Rfb1</f>
        <v>20000</v>
      </c>
      <c r="AK183" s="0" t="n">
        <f aca="false">_Rfb1*Rcea2_u*Cc3ea_u*A183*2*Pi</f>
        <v>110396.068375824</v>
      </c>
      <c r="AL183" s="0" t="n">
        <v>1</v>
      </c>
      <c r="AM183" s="0" t="n">
        <f aca="false">(_Rfb1+Rcea2_u)*Cc3ea_u*A183*2*Pi</f>
        <v>2065.14794475879</v>
      </c>
      <c r="AN183" s="0" t="n">
        <f aca="false">AJ183*AL183/(AL183^2+AM183^2)+AK183*AM183/(AL183^2+AM183^2)</f>
        <v>53.4614129243199</v>
      </c>
      <c r="AO183" s="0" t="n">
        <f aca="false">AK183*AL183/(AL183^2+AM183^2)-AJ183*AM183/(AL183^2+AM183^2)</f>
        <v>-9.65864873637682</v>
      </c>
      <c r="AQ183" s="0" t="n">
        <f aca="false">Eadcg/(1+(Eadcg*A183/GBP)^2)</f>
        <v>2.04996496931917</v>
      </c>
      <c r="AR183" s="0" t="n">
        <f aca="false">-(A183*Eadcg*Eadcg/GBP)/(1+(Eadcg*A183/GBP)^2)</f>
        <v>-80.4846996429245</v>
      </c>
      <c r="AT183" s="0" t="n">
        <f aca="false">-AR183*AH183+AG183*AQ183</f>
        <v>-162349.6262433</v>
      </c>
      <c r="AU183" s="0" t="n">
        <f aca="false">AQ183*AH183+AG183*AR183</f>
        <v>-202209.88022623</v>
      </c>
      <c r="AV183" s="0" t="n">
        <f aca="false">ATAN2(AT183,AU183)</f>
        <v>-2.2472889694638</v>
      </c>
      <c r="AW183" s="0" t="n">
        <f aca="false">AG183-AH183*AO183/_Rfb2+AG183*AN183/_Rfb2+AN183-AO183*AR183+AQ183*AN183</f>
        <v>1895.23915841189</v>
      </c>
      <c r="AX183" s="0" t="n">
        <f aca="false">AH183+AH183*AN183/_Rfb2+AG183*AO183/_Rfb2+AO183+AO183*AQ183+AN183*AR183</f>
        <v>-6472.79998830513</v>
      </c>
      <c r="AY183" s="0" t="n">
        <f aca="false">ATAN2(AW183,AX183)</f>
        <v>-1.28595758338371</v>
      </c>
      <c r="BA183" s="0" t="n">
        <f aca="false">SQRT(AT183^2+AU183^2)/SQRT(AW183^2+AX183^2)</f>
        <v>38.4485935810738</v>
      </c>
      <c r="BB183" s="0" t="n">
        <f aca="false">20*LOG(BA183)</f>
        <v>31.6976091656358</v>
      </c>
      <c r="BC183" s="0" t="n">
        <f aca="false">AV183-AY183</f>
        <v>-0.961331386080089</v>
      </c>
      <c r="BD183" s="0" t="n">
        <f aca="false">BC183*180/Pi-180</f>
        <v>-235.080231198789</v>
      </c>
      <c r="BF183" s="0" t="n">
        <f aca="false">20*LOG(BA183*J183*F183*C183)</f>
        <v>43.7365202111831</v>
      </c>
      <c r="BG183" s="0" t="n">
        <f aca="false">(180/Pi)*(D183+H183+BC183)</f>
        <v>-206.284305571213</v>
      </c>
      <c r="BH183" s="0" t="n">
        <f aca="false">IF(BG183&gt;180,BG183-180,BG183+180)</f>
        <v>-26.2843055712132</v>
      </c>
      <c r="BI183" s="0" t="n">
        <f aca="false">IF(BH183&gt;180,BH183-360,BH183)</f>
        <v>-26.2843055712132</v>
      </c>
      <c r="BJ183" s="0" t="n">
        <f aca="false">SUM((BF184&lt;0)*(BF183&gt;0))*A183</f>
        <v>0</v>
      </c>
      <c r="BK183" s="0" t="n">
        <f aca="false">IF(BJ183&gt;0,BI183,0)</f>
        <v>0</v>
      </c>
      <c r="BM183" s="0" t="n">
        <f aca="false">20*LOG(J183*F183*C183)</f>
        <v>12.0389110455473</v>
      </c>
      <c r="BN183" s="0" t="n">
        <f aca="false">(H183+D183)*180/Pi</f>
        <v>-151.204074372424</v>
      </c>
      <c r="BQ183" s="347" t="n">
        <f aca="false">20*LOG(BA183*7)</f>
        <v>48.599569965921</v>
      </c>
      <c r="BR183" s="353"/>
      <c r="BS183" s="353"/>
      <c r="BT183" s="353" t="n">
        <v>5370.318</v>
      </c>
      <c r="BU183" s="353" t="n">
        <v>1.48515</v>
      </c>
      <c r="BV183" s="353" t="n">
        <v>-237.347</v>
      </c>
      <c r="BW183" s="349"/>
      <c r="BY183" s="353"/>
      <c r="BZ183" s="353"/>
      <c r="CA183" s="353"/>
      <c r="CC183" s="353"/>
    </row>
    <row r="184" customFormat="false" ht="12.75" hidden="false" customHeight="false" outlineLevel="0" collapsed="false">
      <c r="A184" s="0" t="n">
        <f aca="false">A183+500</f>
        <v>75000</v>
      </c>
      <c r="B184" s="0" t="n">
        <f aca="false">A184/1000</f>
        <v>75</v>
      </c>
      <c r="C184" s="0" t="n">
        <f aca="false">SQRT((A184/Fesr)^2+1)</f>
        <v>1.00000011103304</v>
      </c>
      <c r="D184" s="0" t="n">
        <f aca="false">ATAN(A184/Fesr)</f>
        <v>0.000471238862617944</v>
      </c>
      <c r="F184" s="0" t="n">
        <f aca="false">(Ro/(Ro+Rdcr))/SQRT((A184/(Q*Fo))^2+(1-(A184^2/Fo^2))^2)</f>
        <v>0.43681201846434</v>
      </c>
      <c r="G184" s="0" t="n">
        <f aca="false">-ATAN(A184*Fo/(Q*(Fo^2-A184^2)))</f>
        <v>0.49646036929925</v>
      </c>
      <c r="H184" s="0" t="n">
        <f aca="false">IF(G184&gt;0,G184-Pi,G184)</f>
        <v>-2.64513228070075</v>
      </c>
      <c r="J184" s="0" t="n">
        <f aca="false">Vin/Vramp</f>
        <v>9</v>
      </c>
      <c r="M184" s="0" t="n">
        <f aca="false">1/(2*Pi*_Rfb1*(Cc1ea_u+Cc2ea_u)*A184)</f>
        <v>0.0785950337154353</v>
      </c>
      <c r="N184" s="0" t="n">
        <f aca="false">-Pi/2</f>
        <v>-1.570796325</v>
      </c>
      <c r="O184" s="0" t="n">
        <f aca="false">SQRT(1+(A184/Fz1_u)^2)</f>
        <v>2.08731213505331</v>
      </c>
      <c r="P184" s="0" t="n">
        <f aca="false">ATAN2(Fz1_u,A184)</f>
        <v>1.07118429145319</v>
      </c>
      <c r="Q184" s="0" t="n">
        <f aca="false">SQRT(1+(A184/Fz2_u)^2)</f>
        <v>2079.00823857862</v>
      </c>
      <c r="R184" s="0" t="n">
        <f aca="false">ATAN2(Fz2_u,A184)</f>
        <v>1.57031532820143</v>
      </c>
      <c r="S184" s="0" t="n">
        <f aca="false">1/SQRT(1+(A184/Fp1_u)^2)</f>
        <v>0.17711305435876</v>
      </c>
      <c r="T184" s="0" t="n">
        <f aca="false">-ATAN2(Fp1_u,A184)</f>
        <v>-1.39274397430585</v>
      </c>
      <c r="U184" s="0" t="n">
        <f aca="false">1/SQRT(1+(A184/Fp2_u)^2)</f>
        <v>0.979901169127911</v>
      </c>
      <c r="V184" s="0" t="n">
        <f aca="false">-ATAN2(Fp2_u,A184)</f>
        <v>-0.200830880293857</v>
      </c>
      <c r="X184" s="0" t="n">
        <f aca="false">20*LOG(C184*J184*O184*Q184*F184*M184*S184*U184)</f>
        <v>47.3361739617552</v>
      </c>
      <c r="Y184" s="0" t="n">
        <f aca="false">(180/Pi)*(D184+H184+N184+P184+R184+T184+V184)</f>
        <v>-181.486249759649</v>
      </c>
      <c r="Z184" s="0" t="n">
        <f aca="false">Y184+180</f>
        <v>-1.48624975964913</v>
      </c>
      <c r="AC184" s="0" t="n">
        <v>1</v>
      </c>
      <c r="AD184" s="0" t="n">
        <f aca="false">Rcea1_u*Cc1ea_u*A184*2*Pi</f>
        <v>1.83217683348</v>
      </c>
      <c r="AE184" s="0" t="n">
        <f aca="false">-Rcea1_u*Cc1ea_u*Cc2ea_u*(A184*2*Pi)^2</f>
        <v>-0.000129508948655123</v>
      </c>
      <c r="AF184" s="0" t="n">
        <f aca="false">(Cc2ea_u+Cc1ea_u)*A184*2*Pi</f>
        <v>0.000636172511625</v>
      </c>
      <c r="AG184" s="0" t="n">
        <f aca="false">AC184*AE184/(AE184^2+AF184^2)+AD184*AF184/(AE184^2+AF184^2)</f>
        <v>2458.12813122111</v>
      </c>
      <c r="AH184" s="0" t="n">
        <f aca="false">AD184*AE184/(AE184^2+AF184^2)-AC184*AF184/(AE184^2+AF184^2)</f>
        <v>-2072.3146093919</v>
      </c>
      <c r="AJ184" s="0" t="n">
        <f aca="false">_Rfb1</f>
        <v>20000</v>
      </c>
      <c r="AK184" s="0" t="n">
        <f aca="false">_Rfb1*Rcea2_u*Cc3ea_u*A184*2*Pi</f>
        <v>111136.9815864</v>
      </c>
      <c r="AL184" s="0" t="n">
        <v>1</v>
      </c>
      <c r="AM184" s="0" t="n">
        <f aca="false">(_Rfb1+Rcea2_u)*Cc3ea_u*A184*2*Pi</f>
        <v>2079.00799807932</v>
      </c>
      <c r="AN184" s="0" t="n">
        <f aca="false">AJ184*AL184/(AL184^2+AM184^2)+AK184*AM184/(AL184^2+AM184^2)</f>
        <v>53.4613507725112</v>
      </c>
      <c r="AO184" s="0" t="n">
        <f aca="false">AK184*AL184/(AL184^2+AM184^2)-AJ184*AM184/(AL184^2+AM184^2)</f>
        <v>-9.59425777469591</v>
      </c>
      <c r="AQ184" s="0" t="n">
        <f aca="false">Eadcg/(1+(Eadcg*A184/GBP)^2)</f>
        <v>2.02274063924713</v>
      </c>
      <c r="AR184" s="0" t="n">
        <f aca="false">-(A184*Eadcg*Eadcg/GBP)/(1+(Eadcg*A184/GBP)^2)</f>
        <v>-79.948823766243</v>
      </c>
      <c r="AT184" s="0" t="n">
        <f aca="false">-AR184*AH184+AG184*AQ184</f>
        <v>-160706.959826987</v>
      </c>
      <c r="AU184" s="0" t="n">
        <f aca="false">AQ184*AH184+AG184*AR184</f>
        <v>-200716.207735563</v>
      </c>
      <c r="AV184" s="0" t="n">
        <f aca="false">ATAN2(AT184,AU184)</f>
        <v>-2.24594419597606</v>
      </c>
      <c r="AW184" s="0" t="n">
        <f aca="false">AG184-AH184*AO184/_Rfb2+AG184*AN184/_Rfb2+AN184-AO184*AR184+AQ184*AN184</f>
        <v>1902.86794320455</v>
      </c>
      <c r="AX184" s="0" t="n">
        <f aca="false">AH184+AH184*AN184/_Rfb2+AG184*AO184/_Rfb2+AO184+AO184*AQ184+AN184*AR184</f>
        <v>-6435.95536741772</v>
      </c>
      <c r="AY184" s="0" t="n">
        <f aca="false">ATAN2(AW184,AX184)</f>
        <v>-1.28332401261006</v>
      </c>
      <c r="BA184" s="0" t="n">
        <f aca="false">SQRT(AT184^2+AU184^2)/SQRT(AW184^2+AX184^2)</f>
        <v>38.3120076595169</v>
      </c>
      <c r="BB184" s="0" t="n">
        <f aca="false">20*LOG(BA184)</f>
        <v>31.6666982172151</v>
      </c>
      <c r="BC184" s="0" t="n">
        <f aca="false">AV184-AY184</f>
        <v>-0.962620183366004</v>
      </c>
      <c r="BD184" s="0" t="n">
        <f aca="false">BC184*180/Pi-180</f>
        <v>-235.154073844004</v>
      </c>
      <c r="BF184" s="0" t="n">
        <f aca="false">20*LOG(BA184*J184*F184*C184)</f>
        <v>43.5574409515784</v>
      </c>
      <c r="BG184" s="0" t="n">
        <f aca="false">(180/Pi)*(D184+H184+BC184)</f>
        <v>-206.681989957146</v>
      </c>
      <c r="BH184" s="0" t="n">
        <f aca="false">IF(BG184&gt;180,BG184-180,BG184+180)</f>
        <v>-26.6819899571462</v>
      </c>
      <c r="BI184" s="0" t="n">
        <f aca="false">IF(BH184&gt;180,BH184-360,BH184)</f>
        <v>-26.6819899571462</v>
      </c>
      <c r="BJ184" s="0" t="n">
        <f aca="false">SUM((BF185&lt;0)*(BF184&gt;0))*A184</f>
        <v>0</v>
      </c>
      <c r="BK184" s="0" t="n">
        <f aca="false">IF(BJ184&gt;0,BI184,0)</f>
        <v>0</v>
      </c>
      <c r="BM184" s="0" t="n">
        <f aca="false">20*LOG(J184*F184*C184)</f>
        <v>11.8907427343632</v>
      </c>
      <c r="BN184" s="0" t="n">
        <f aca="false">(H184+D184)*180/Pi</f>
        <v>-151.527916113142</v>
      </c>
      <c r="BQ184" s="347" t="n">
        <f aca="false">20*LOG(BA184*7)</f>
        <v>48.5686590175003</v>
      </c>
      <c r="BR184" s="353"/>
      <c r="BS184" s="353"/>
      <c r="BT184" s="353" t="n">
        <v>5495.409</v>
      </c>
      <c r="BU184" s="353" t="n">
        <v>1.35836</v>
      </c>
      <c r="BV184" s="353" t="n">
        <v>-235.612</v>
      </c>
      <c r="BW184" s="349"/>
      <c r="BY184" s="353"/>
      <c r="BZ184" s="353"/>
      <c r="CA184" s="353"/>
      <c r="CC184" s="353"/>
    </row>
    <row r="185" customFormat="false" ht="12.75" hidden="false" customHeight="false" outlineLevel="0" collapsed="false">
      <c r="A185" s="0" t="n">
        <f aca="false">A184+500</f>
        <v>75500</v>
      </c>
      <c r="B185" s="0" t="n">
        <f aca="false">A185/1000</f>
        <v>75.5</v>
      </c>
      <c r="C185" s="0" t="n">
        <f aca="false">SQRT((A185/Fesr)^2+1)</f>
        <v>1.00000011251842</v>
      </c>
      <c r="D185" s="0" t="n">
        <f aca="false">ATAN(A185/Fesr)</f>
        <v>0.000474380454565641</v>
      </c>
      <c r="F185" s="0" t="n">
        <f aca="false">(Ro/(Ro+Rdcr))/SQRT((A185/(Q*Fo))^2+(1-(A185^2/Fo^2))^2)</f>
        <v>0.429489994475405</v>
      </c>
      <c r="G185" s="0" t="n">
        <f aca="false">-ATAN(A185*Fo/(Q*(Fo^2-A185^2)))</f>
        <v>0.490939040845159</v>
      </c>
      <c r="H185" s="0" t="n">
        <f aca="false">IF(G185&gt;0,G185-Pi,G185)</f>
        <v>-2.65065360915484</v>
      </c>
      <c r="J185" s="0" t="n">
        <f aca="false">Vin/Vramp</f>
        <v>9</v>
      </c>
      <c r="M185" s="0" t="n">
        <f aca="false">1/(2*Pi*_Rfb1*(Cc1ea_u+Cc2ea_u)*A185)</f>
        <v>0.0780745368034125</v>
      </c>
      <c r="N185" s="0" t="n">
        <f aca="false">-Pi/2</f>
        <v>-1.570796325</v>
      </c>
      <c r="O185" s="0" t="n">
        <f aca="false">SQRT(1+(A185/Fz1_u)^2)</f>
        <v>2.09804180990391</v>
      </c>
      <c r="P185" s="0" t="n">
        <f aca="false">ATAN2(Fz1_u,A185)</f>
        <v>1.07397346254267</v>
      </c>
      <c r="Q185" s="0" t="n">
        <f aca="false">SQRT(1+(A185/Fz2_u)^2)</f>
        <v>2092.86829030644</v>
      </c>
      <c r="R185" s="0" t="n">
        <f aca="false">ATAN2(Fz2_u,A185)</f>
        <v>1.57031851362209</v>
      </c>
      <c r="S185" s="0" t="n">
        <f aca="false">1/SQRT(1+(A185/Fp1_u)^2)</f>
        <v>0.175976560658233</v>
      </c>
      <c r="T185" s="0" t="n">
        <f aca="false">-ATAN2(Fp1_u,A185)</f>
        <v>-1.39389860430586</v>
      </c>
      <c r="U185" s="0" t="n">
        <f aca="false">1/SQRT(1+(A185/Fp2_u)^2)</f>
        <v>0.97964044740954</v>
      </c>
      <c r="V185" s="0" t="n">
        <f aca="false">-ATAN2(Fp2_u,A185)</f>
        <v>-0.202133695220341</v>
      </c>
      <c r="X185" s="0" t="n">
        <f aca="false">20*LOG(C185*J185*O185*Q185*F185*M185*S185*U185)</f>
        <v>47.1756519084952</v>
      </c>
      <c r="Y185" s="0" t="n">
        <f aca="false">(180/Pi)*(D185+H185+N185+P185+R185+T185+V185)</f>
        <v>-181.783229557501</v>
      </c>
      <c r="Z185" s="0" t="n">
        <f aca="false">Y185+180</f>
        <v>-1.78322955750127</v>
      </c>
      <c r="AC185" s="0" t="n">
        <v>1</v>
      </c>
      <c r="AD185" s="0" t="n">
        <f aca="false">Rcea1_u*Cc1ea_u*A185*2*Pi</f>
        <v>1.8443913457032</v>
      </c>
      <c r="AE185" s="0" t="n">
        <f aca="false">-Rcea1_u*Cc1ea_u*Cc2ea_u*(A185*2*Pi)^2</f>
        <v>-0.000131241490590465</v>
      </c>
      <c r="AF185" s="0" t="n">
        <f aca="false">(Cc2ea_u+Cc1ea_u)*A185*2*Pi</f>
        <v>0.0006404136617025</v>
      </c>
      <c r="AG185" s="0" t="n">
        <f aca="false">AC185*AE185/(AE185^2+AF185^2)+AD185*AF185/(AE185^2+AF185^2)</f>
        <v>2456.82023987396</v>
      </c>
      <c r="AH185" s="0" t="n">
        <f aca="false">AD185*AE185/(AE185^2+AF185^2)-AC185*AF185/(AE185^2+AF185^2)</f>
        <v>-2064.97273477625</v>
      </c>
      <c r="AJ185" s="0" t="n">
        <f aca="false">_Rfb1</f>
        <v>20000</v>
      </c>
      <c r="AK185" s="0" t="n">
        <f aca="false">_Rfb1*Rcea2_u*Cc3ea_u*A185*2*Pi</f>
        <v>111877.894796976</v>
      </c>
      <c r="AL185" s="0" t="n">
        <v>1</v>
      </c>
      <c r="AM185" s="0" t="n">
        <f aca="false">(_Rfb1+Rcea2_u)*Cc3ea_u*A185*2*Pi</f>
        <v>2092.86805139985</v>
      </c>
      <c r="AN185" s="0" t="n">
        <f aca="false">AJ185*AL185/(AL185^2+AM185^2)+AK185*AM185/(AL185^2+AM185^2)</f>
        <v>53.4612898514128</v>
      </c>
      <c r="AO185" s="0" t="n">
        <f aca="false">AK185*AL185/(AL185^2+AM185^2)-AJ185*AM185/(AL185^2+AM185^2)</f>
        <v>-9.53071967284656</v>
      </c>
      <c r="AQ185" s="0" t="n">
        <f aca="false">Eadcg/(1+(Eadcg*A185/GBP)^2)</f>
        <v>1.99605494165152</v>
      </c>
      <c r="AR185" s="0" t="n">
        <f aca="false">-(A185*Eadcg*Eadcg/GBP)/(1+(Eadcg*A185/GBP)^2)</f>
        <v>-79.4200320459014</v>
      </c>
      <c r="AT185" s="0" t="n">
        <f aca="false">-AR185*AH185+AG185*AQ185</f>
        <v>-159096.252589292</v>
      </c>
      <c r="AU185" s="0" t="n">
        <f aca="false">AQ185*AH185+AG185*AR185</f>
        <v>-199242.541213435</v>
      </c>
      <c r="AV185" s="0" t="n">
        <f aca="false">ATAN2(AT185,AU185)</f>
        <v>-2.24462528593804</v>
      </c>
      <c r="AW185" s="0" t="n">
        <f aca="false">AG185-AH185*AO185/_Rfb2+AG185*AN185/_Rfb2+AN185-AO185*AR185+AQ185*AN185</f>
        <v>1910.31198589264</v>
      </c>
      <c r="AX185" s="0" t="n">
        <f aca="false">AH185+AH185*AN185/_Rfb2+AG185*AO185/_Rfb2+AO185+AO185*AQ185+AN185*AR185</f>
        <v>-6399.63976466988</v>
      </c>
      <c r="AY185" s="0" t="n">
        <f aca="false">ATAN2(AW185,AX185)</f>
        <v>-1.28071344653191</v>
      </c>
      <c r="BA185" s="0" t="n">
        <f aca="false">SQRT(AT185^2+AU185^2)/SQRT(AW185^2+AX185^2)</f>
        <v>38.1765974026053</v>
      </c>
      <c r="BB185" s="0" t="n">
        <f aca="false">20*LOG(BA185)</f>
        <v>31.6359443611299</v>
      </c>
      <c r="BC185" s="0" t="n">
        <f aca="false">AV185-AY185</f>
        <v>-0.963911839406126</v>
      </c>
      <c r="BD185" s="0" t="n">
        <f aca="false">BC185*180/Pi-180</f>
        <v>-235.22808028377</v>
      </c>
      <c r="BF185" s="0" t="n">
        <f aca="false">20*LOG(BA185*J185*F185*C185)</f>
        <v>43.3798565439142</v>
      </c>
      <c r="BG185" s="0" t="n">
        <f aca="false">(180/Pi)*(D185+H185+BC185)</f>
        <v>-207.072165215039</v>
      </c>
      <c r="BH185" s="0" t="n">
        <f aca="false">IF(BG185&gt;180,BG185-180,BG185+180)</f>
        <v>-27.072165215039</v>
      </c>
      <c r="BI185" s="0" t="n">
        <f aca="false">IF(BH185&gt;180,BH185-360,BH185)</f>
        <v>-27.072165215039</v>
      </c>
      <c r="BJ185" s="0" t="n">
        <f aca="false">SUM((BF186&lt;0)*(BF185&gt;0))*A185</f>
        <v>0</v>
      </c>
      <c r="BK185" s="0" t="n">
        <f aca="false">IF(BJ185&gt;0,BI185,0)</f>
        <v>0</v>
      </c>
      <c r="BM185" s="0" t="n">
        <f aca="false">20*LOG(J185*F185*C185)</f>
        <v>11.7439121827844</v>
      </c>
      <c r="BN185" s="0" t="n">
        <f aca="false">(H185+D185)*180/Pi</f>
        <v>-151.844084931269</v>
      </c>
      <c r="BQ185" s="347" t="n">
        <f aca="false">20*LOG(BA185*7)</f>
        <v>48.537905161415</v>
      </c>
      <c r="BR185" s="353"/>
      <c r="BS185" s="353"/>
      <c r="BT185" s="353" t="n">
        <v>5623.413</v>
      </c>
      <c r="BU185" s="353" t="n">
        <v>1.07298</v>
      </c>
      <c r="BV185" s="353" t="n">
        <v>-235.138</v>
      </c>
      <c r="BW185" s="349"/>
      <c r="BY185" s="353"/>
      <c r="BZ185" s="353"/>
      <c r="CA185" s="353"/>
      <c r="CC185" s="353"/>
    </row>
    <row r="186" customFormat="false" ht="12.75" hidden="false" customHeight="false" outlineLevel="0" collapsed="false">
      <c r="A186" s="0" t="n">
        <f aca="false">A185+500</f>
        <v>76000</v>
      </c>
      <c r="B186" s="0" t="n">
        <f aca="false">A186/1000</f>
        <v>76</v>
      </c>
      <c r="C186" s="0" t="n">
        <f aca="false">SQRT((A186/Fesr)^2+1)</f>
        <v>1.00000011401366</v>
      </c>
      <c r="D186" s="0" t="n">
        <f aca="false">ATAN(A186/Fesr)</f>
        <v>0.000477522046503975</v>
      </c>
      <c r="F186" s="0" t="n">
        <f aca="false">(Ro/(Ro+Rdcr))/SQRT((A186/(Q*Fo))^2+(1-(A186^2/Fo^2))^2)</f>
        <v>0.422354783024256</v>
      </c>
      <c r="G186" s="0" t="n">
        <f aca="false">-ATAN(A186*Fo/(Q*(Fo^2-A186^2)))</f>
        <v>0.485546990081796</v>
      </c>
      <c r="H186" s="0" t="n">
        <f aca="false">IF(G186&gt;0,G186-Pi,G186)</f>
        <v>-2.6560456599182</v>
      </c>
      <c r="J186" s="0" t="n">
        <f aca="false">Vin/Vramp</f>
        <v>9</v>
      </c>
      <c r="M186" s="0" t="n">
        <f aca="false">1/(2*Pi*_Rfb1*(Cc1ea_u+Cc2ea_u)*A186)</f>
        <v>0.077560888534969</v>
      </c>
      <c r="N186" s="0" t="n">
        <f aca="false">-Pi/2</f>
        <v>-1.570796325</v>
      </c>
      <c r="O186" s="0" t="n">
        <f aca="false">SQRT(1+(A186/Fz1_u)^2)</f>
        <v>2.10878764025367</v>
      </c>
      <c r="P186" s="0" t="n">
        <f aca="false">ATAN2(Fz1_u,A186)</f>
        <v>1.07673422915458</v>
      </c>
      <c r="Q186" s="0" t="n">
        <f aca="false">SQRT(1+(A186/Fz2_u)^2)</f>
        <v>2106.72834205521</v>
      </c>
      <c r="R186" s="0" t="n">
        <f aca="false">ATAN2(Fz2_u,A186)</f>
        <v>1.57032165712934</v>
      </c>
      <c r="S186" s="0" t="n">
        <f aca="false">1/SQRT(1+(A186/Fp1_u)^2)</f>
        <v>0.174854330530691</v>
      </c>
      <c r="T186" s="0" t="n">
        <f aca="false">-ATAN2(Fp1_u,A186)</f>
        <v>-1.39503850929624</v>
      </c>
      <c r="U186" s="0" t="n">
        <f aca="false">1/SQRT(1+(A186/Fp2_u)^2)</f>
        <v>0.97937820339754</v>
      </c>
      <c r="V186" s="0" t="n">
        <f aca="false">-ATAN2(Fp2_u,A186)</f>
        <v>-0.203435814844109</v>
      </c>
      <c r="X186" s="0" t="n">
        <f aca="false">20*LOG(C186*J186*O186*Q186*F186*M186*S186*U186)</f>
        <v>47.0166192779845</v>
      </c>
      <c r="Y186" s="0" t="n">
        <f aca="false">(180/Pi)*(D186+H186+N186+P186+R186+T186+V186)</f>
        <v>-182.073548628612</v>
      </c>
      <c r="Z186" s="0" t="n">
        <f aca="false">Y186+180</f>
        <v>-2.07354862861186</v>
      </c>
      <c r="AC186" s="0" t="n">
        <v>1</v>
      </c>
      <c r="AD186" s="0" t="n">
        <f aca="false">Rcea1_u*Cc1ea_u*A186*2*Pi</f>
        <v>1.8566058579264</v>
      </c>
      <c r="AE186" s="0" t="n">
        <f aca="false">-Rcea1_u*Cc1ea_u*Cc2ea_u*(A186*2*Pi)^2</f>
        <v>-0.000132985544432354</v>
      </c>
      <c r="AF186" s="0" t="n">
        <f aca="false">(Cc2ea_u+Cc1ea_u)*A186*2*Pi</f>
        <v>0.00064465481178</v>
      </c>
      <c r="AG186" s="0" t="n">
        <f aca="false">AC186*AE186/(AE186^2+AF186^2)+AD186*AF186/(AE186^2+AF186^2)</f>
        <v>2455.50506314289</v>
      </c>
      <c r="AH186" s="0" t="n">
        <f aca="false">AD186*AE186/(AE186^2+AF186^2)-AC186*AF186/(AE186^2+AF186^2)</f>
        <v>-2057.76278007705</v>
      </c>
      <c r="AJ186" s="0" t="n">
        <f aca="false">_Rfb1</f>
        <v>20000</v>
      </c>
      <c r="AK186" s="0" t="n">
        <f aca="false">_Rfb1*Rcea2_u*Cc3ea_u*A186*2*Pi</f>
        <v>112618.808007552</v>
      </c>
      <c r="AL186" s="0" t="n">
        <v>1</v>
      </c>
      <c r="AM186" s="0" t="n">
        <f aca="false">(_Rfb1+Rcea2_u)*Cc3ea_u*A186*2*Pi</f>
        <v>2106.72810472038</v>
      </c>
      <c r="AN186" s="0" t="n">
        <f aca="false">AJ186*AL186/(AL186^2+AM186^2)+AK186*AM186/(AL186^2+AM186^2)</f>
        <v>53.4612301287446</v>
      </c>
      <c r="AO186" s="0" t="n">
        <f aca="false">AK186*AL186/(AL186^2+AM186^2)-AJ186*AM186/(AL186^2+AM186^2)</f>
        <v>-9.46801759808427</v>
      </c>
      <c r="AQ186" s="0" t="n">
        <f aca="false">Eadcg/(1+(Eadcg*A186/GBP)^2)</f>
        <v>1.96989376349228</v>
      </c>
      <c r="AR186" s="0" t="n">
        <f aca="false">-(A186*Eadcg*Eadcg/GBP)/(1+(Eadcg*A186/GBP)^2)</f>
        <v>-78.8981850153927</v>
      </c>
      <c r="AT186" s="0" t="n">
        <f aca="false">-AR186*AH186+AG186*AQ186</f>
        <v>-157516.664430199</v>
      </c>
      <c r="AU186" s="0" t="n">
        <f aca="false">AQ186*AH186+AG186*AR186</f>
        <v>-197788.466845302</v>
      </c>
      <c r="AV186" s="0" t="n">
        <f aca="false">ATAN2(AT186,AU186)</f>
        <v>-2.24333188321809</v>
      </c>
      <c r="AW186" s="0" t="n">
        <f aca="false">AG186-AH186*AO186/_Rfb2+AG186*AN186/_Rfb2+AN186-AO186*AR186+AQ186*AN186</f>
        <v>1917.57595708007</v>
      </c>
      <c r="AX186" s="0" t="n">
        <f aca="false">AH186+AH186*AN186/_Rfb2+AG186*AO186/_Rfb2+AO186+AO186*AQ186+AN186*AR186</f>
        <v>-6363.84249495115</v>
      </c>
      <c r="AY186" s="0" t="n">
        <f aca="false">ATAN2(AW186,AX186)</f>
        <v>-1.27812565934978</v>
      </c>
      <c r="BA186" s="0" t="n">
        <f aca="false">SQRT(AT186^2+AU186^2)/SQRT(AW186^2+AX186^2)</f>
        <v>38.0423393213561</v>
      </c>
      <c r="BB186" s="0" t="n">
        <f aca="false">20*LOG(BA186)</f>
        <v>31.6053442994394</v>
      </c>
      <c r="BC186" s="0" t="n">
        <f aca="false">AV186-AY186</f>
        <v>-0.965206223868314</v>
      </c>
      <c r="BD186" s="0" t="n">
        <f aca="false">BC186*180/Pi-180</f>
        <v>-235.302243050606</v>
      </c>
      <c r="BF186" s="0" t="n">
        <f aca="false">20*LOG(BA186*J186*F186*C186)</f>
        <v>43.2037438142119</v>
      </c>
      <c r="BG186" s="0" t="n">
        <f aca="false">(180/Pi)*(D186+H186+BC186)</f>
        <v>-207.455089733929</v>
      </c>
      <c r="BH186" s="0" t="n">
        <f aca="false">IF(BG186&gt;180,BG186-180,BG186+180)</f>
        <v>-27.4550897339292</v>
      </c>
      <c r="BI186" s="0" t="n">
        <f aca="false">IF(BH186&gt;180,BH186-360,BH186)</f>
        <v>-27.4550897339292</v>
      </c>
      <c r="BJ186" s="0" t="n">
        <f aca="false">SUM((BF187&lt;0)*(BF186&gt;0))*A186</f>
        <v>0</v>
      </c>
      <c r="BK186" s="0" t="n">
        <f aca="false">IF(BJ186&gt;0,BI186,0)</f>
        <v>0</v>
      </c>
      <c r="BM186" s="0" t="n">
        <f aca="false">20*LOG(J186*F186*C186)</f>
        <v>11.5983995147725</v>
      </c>
      <c r="BN186" s="0" t="n">
        <f aca="false">(H186+D186)*180/Pi</f>
        <v>-152.152846683324</v>
      </c>
      <c r="BQ186" s="347" t="n">
        <f aca="false">20*LOG(BA186*7)</f>
        <v>48.5073050997246</v>
      </c>
      <c r="BR186" s="353"/>
      <c r="BS186" s="353"/>
      <c r="BT186" s="353" t="n">
        <v>5754.399</v>
      </c>
      <c r="BU186" s="353" t="n">
        <v>0.869153</v>
      </c>
      <c r="BV186" s="353" t="n">
        <v>-234.689</v>
      </c>
      <c r="BW186" s="349"/>
      <c r="BY186" s="353"/>
      <c r="BZ186" s="353"/>
      <c r="CA186" s="353"/>
      <c r="CC186" s="353"/>
    </row>
    <row r="187" customFormat="false" ht="12.75" hidden="false" customHeight="false" outlineLevel="0" collapsed="false">
      <c r="A187" s="0" t="n">
        <f aca="false">A186+500</f>
        <v>76500</v>
      </c>
      <c r="B187" s="0" t="n">
        <f aca="false">A187/1000</f>
        <v>76.5</v>
      </c>
      <c r="C187" s="0" t="n">
        <f aca="false">SQRT((A187/Fesr)^2+1)</f>
        <v>1.00000011551878</v>
      </c>
      <c r="D187" s="0" t="n">
        <f aca="false">ATAN(A187/Fesr)</f>
        <v>0.000480663638432883</v>
      </c>
      <c r="F187" s="0" t="n">
        <f aca="false">(Ro/(Ro+Rdcr))/SQRT((A187/(Q*Fo))^2+(1-(A187^2/Fo^2))^2)</f>
        <v>0.415400189096693</v>
      </c>
      <c r="G187" s="0" t="n">
        <f aca="false">-ATAN(A187*Fo/(Q*(Fo^2-A187^2)))</f>
        <v>0.480279779205953</v>
      </c>
      <c r="H187" s="0" t="n">
        <f aca="false">IF(G187&gt;0,G187-Pi,G187)</f>
        <v>-2.66131287079405</v>
      </c>
      <c r="J187" s="0" t="n">
        <f aca="false">Vin/Vramp</f>
        <v>9</v>
      </c>
      <c r="M187" s="0" t="n">
        <f aca="false">1/(2*Pi*_Rfb1*(Cc1ea_u+Cc2ea_u)*A187)</f>
        <v>0.0770539546229757</v>
      </c>
      <c r="N187" s="0" t="n">
        <f aca="false">-Pi/2</f>
        <v>-1.570796325</v>
      </c>
      <c r="O187" s="0" t="n">
        <f aca="false">SQRT(1+(A187/Fz1_u)^2)</f>
        <v>2.11954938038397</v>
      </c>
      <c r="P187" s="0" t="n">
        <f aca="false">ATAN2(Fz1_u,A187)</f>
        <v>1.07946698154253</v>
      </c>
      <c r="Q187" s="0" t="n">
        <f aca="false">SQRT(1+(A187/Fz2_u)^2)</f>
        <v>2120.58839382454</v>
      </c>
      <c r="R187" s="0" t="n">
        <f aca="false">ATAN2(Fz2_u,A187)</f>
        <v>1.57032475954499</v>
      </c>
      <c r="S187" s="0" t="n">
        <f aca="false">1/SQRT(1+(A187/Fp1_u)^2)</f>
        <v>0.173746101489665</v>
      </c>
      <c r="T187" s="0" t="n">
        <f aca="false">-ATAN2(Fp1_u,A187)</f>
        <v>-1.39616396626805</v>
      </c>
      <c r="U187" s="0" t="n">
        <f aca="false">1/SQRT(1+(A187/Fp2_u)^2)</f>
        <v>0.979114440980857</v>
      </c>
      <c r="V187" s="0" t="n">
        <f aca="false">-ATAN2(Fp2_u,A187)</f>
        <v>-0.204737235309648</v>
      </c>
      <c r="X187" s="0" t="n">
        <f aca="false">20*LOG(C187*J187*O187*Q187*F187*M187*S187*U187)</f>
        <v>46.8590525245482</v>
      </c>
      <c r="Y187" s="0" t="n">
        <f aca="false">(180/Pi)*(D187+H187+N187+P187+R187+T187+V187)</f>
        <v>-182.357454482918</v>
      </c>
      <c r="Z187" s="0" t="n">
        <f aca="false">Y187+180</f>
        <v>-2.35745448291757</v>
      </c>
      <c r="AC187" s="0" t="n">
        <v>1</v>
      </c>
      <c r="AD187" s="0" t="n">
        <f aca="false">Rcea1_u*Cc1ea_u*A187*2*Pi</f>
        <v>1.8688203701496</v>
      </c>
      <c r="AE187" s="0" t="n">
        <f aca="false">-Rcea1_u*Cc1ea_u*Cc2ea_u*(A187*2*Pi)^2</f>
        <v>-0.00013474111018079</v>
      </c>
      <c r="AF187" s="0" t="n">
        <f aca="false">(Cc2ea_u+Cc1ea_u)*A187*2*Pi</f>
        <v>0.0006488959618575</v>
      </c>
      <c r="AG187" s="0" t="n">
        <f aca="false">AC187*AE187/(AE187^2+AF187^2)+AD187*AF187/(AE187^2+AF187^2)</f>
        <v>2454.18262665537</v>
      </c>
      <c r="AH187" s="0" t="n">
        <f aca="false">AD187*AE187/(AE187^2+AF187^2)-AC187*AF187/(AE187^2+AF187^2)</f>
        <v>-2050.68203521072</v>
      </c>
      <c r="AJ187" s="0" t="n">
        <f aca="false">_Rfb1</f>
        <v>20000</v>
      </c>
      <c r="AK187" s="0" t="n">
        <f aca="false">_Rfb1*Rcea2_u*Cc3ea_u*A187*2*Pi</f>
        <v>113359.721218128</v>
      </c>
      <c r="AL187" s="0" t="n">
        <v>1</v>
      </c>
      <c r="AM187" s="0" t="n">
        <f aca="false">(_Rfb1+Rcea2_u)*Cc3ea_u*A187*2*Pi</f>
        <v>2120.58815804091</v>
      </c>
      <c r="AN187" s="0" t="n">
        <f aca="false">AJ187*AL187/(AL187^2+AM187^2)+AK187*AM187/(AL187^2+AM187^2)</f>
        <v>53.4611715732777</v>
      </c>
      <c r="AO187" s="0" t="n">
        <f aca="false">AK187*AL187/(AL187^2+AM187^2)-AJ187*AM187/(AL187^2+AM187^2)</f>
        <v>-9.40613515773578</v>
      </c>
      <c r="AQ187" s="0" t="n">
        <f aca="false">Eadcg/(1+(Eadcg*A187/GBP)^2)</f>
        <v>1.94424345085648</v>
      </c>
      <c r="AR187" s="0" t="n">
        <f aca="false">-(A187*Eadcg*Eadcg/GBP)/(1+(Eadcg*A187/GBP)^2)</f>
        <v>-78.3831468430044</v>
      </c>
      <c r="AT187" s="0" t="n">
        <f aca="false">-AR187*AH187+AG187*AQ187</f>
        <v>-155967.382595152</v>
      </c>
      <c r="AU187" s="0" t="n">
        <f aca="false">AQ187*AH187+AG187*AR187</f>
        <v>-196353.582321426</v>
      </c>
      <c r="AV187" s="0" t="n">
        <f aca="false">ATAN2(AT187,AU187)</f>
        <v>-2.24206363684503</v>
      </c>
      <c r="AW187" s="0" t="n">
        <f aca="false">AG187-AH187*AO187/_Rfb2+AG187*AN187/_Rfb2+AN187-AO187*AR187+AQ187*AN187</f>
        <v>1924.66437638033</v>
      </c>
      <c r="AX187" s="0" t="n">
        <f aca="false">AH187+AH187*AN187/_Rfb2+AG187*AO187/_Rfb2+AO187+AO187*AQ187+AN187*AR187</f>
        <v>-6328.55315580065</v>
      </c>
      <c r="AY187" s="0" t="n">
        <f aca="false">ATAN2(AW187,AX187)</f>
        <v>-1.27556042935974</v>
      </c>
      <c r="BA187" s="0" t="n">
        <f aca="false">SQRT(AT187^2+AU187^2)/SQRT(AW187^2+AX187^2)</f>
        <v>37.909210645549</v>
      </c>
      <c r="BB187" s="0" t="n">
        <f aca="false">20*LOG(BA187)</f>
        <v>31.5748948307859</v>
      </c>
      <c r="BC187" s="0" t="n">
        <f aca="false">AV187-AY187</f>
        <v>-0.96650320748529</v>
      </c>
      <c r="BD187" s="0" t="n">
        <f aca="false">BC187*180/Pi-180</f>
        <v>-235.376554738041</v>
      </c>
      <c r="BF187" s="0" t="n">
        <f aca="false">20*LOG(BA187*J187*F187*C187)</f>
        <v>43.0290798208917</v>
      </c>
      <c r="BG187" s="0" t="n">
        <f aca="false">(180/Pi)*(D187+H187+BC187)</f>
        <v>-207.831010374742</v>
      </c>
      <c r="BH187" s="0" t="n">
        <f aca="false">IF(BG187&gt;180,BG187-180,BG187+180)</f>
        <v>-27.8310103747418</v>
      </c>
      <c r="BI187" s="0" t="n">
        <f aca="false">IF(BH187&gt;180,BH187-360,BH187)</f>
        <v>-27.8310103747418</v>
      </c>
      <c r="BJ187" s="0" t="n">
        <f aca="false">SUM((BF188&lt;0)*(BF187&gt;0))*A187</f>
        <v>0</v>
      </c>
      <c r="BK187" s="0" t="n">
        <f aca="false">IF(BJ187&gt;0,BI187,0)</f>
        <v>0</v>
      </c>
      <c r="BM187" s="0" t="n">
        <f aca="false">20*LOG(J187*F187*C187)</f>
        <v>11.4541849901057</v>
      </c>
      <c r="BN187" s="0" t="n">
        <f aca="false">(H187+D187)*180/Pi</f>
        <v>-152.454455636701</v>
      </c>
      <c r="BQ187" s="347" t="n">
        <f aca="false">20*LOG(BA187*7)</f>
        <v>48.4768556310711</v>
      </c>
      <c r="BR187" s="353"/>
      <c r="BS187" s="353"/>
      <c r="BT187" s="353" t="n">
        <v>5888.437</v>
      </c>
      <c r="BU187" s="353" t="n">
        <v>0.803236</v>
      </c>
      <c r="BV187" s="353" t="n">
        <v>-233.954</v>
      </c>
      <c r="BW187" s="349"/>
      <c r="BY187" s="353"/>
      <c r="BZ187" s="353"/>
      <c r="CA187" s="353"/>
      <c r="CC187" s="353"/>
    </row>
    <row r="188" customFormat="false" ht="12.75" hidden="false" customHeight="false" outlineLevel="0" collapsed="false">
      <c r="A188" s="0" t="n">
        <f aca="false">A187+500</f>
        <v>77000</v>
      </c>
      <c r="B188" s="0" t="n">
        <f aca="false">A188/1000</f>
        <v>77</v>
      </c>
      <c r="C188" s="0" t="n">
        <f aca="false">SQRT((A188/Fesr)^2+1)</f>
        <v>1.00000011703376</v>
      </c>
      <c r="D188" s="0" t="n">
        <f aca="false">ATAN(A188/Fesr)</f>
        <v>0.000483805230352303</v>
      </c>
      <c r="F188" s="0" t="n">
        <f aca="false">(Ro/(Ro+Rdcr))/SQRT((A188/(Q*Fo))^2+(1-(A188^2/Fo^2))^2)</f>
        <v>0.408620255748137</v>
      </c>
      <c r="G188" s="0" t="n">
        <f aca="false">-ATAN(A188*Fo/(Q*(Fo^2-A188^2)))</f>
        <v>0.475133162521005</v>
      </c>
      <c r="H188" s="0" t="n">
        <f aca="false">IF(G188&gt;0,G188-Pi,G188)</f>
        <v>-2.666459487479</v>
      </c>
      <c r="J188" s="0" t="n">
        <f aca="false">Vin/Vramp</f>
        <v>9</v>
      </c>
      <c r="M188" s="0" t="n">
        <f aca="false">1/(2*Pi*_Rfb1*(Cc1ea_u+Cc2ea_u)*A188)</f>
        <v>0.0765536042682811</v>
      </c>
      <c r="N188" s="0" t="n">
        <f aca="false">-Pi/2</f>
        <v>-1.570796325</v>
      </c>
      <c r="O188" s="0" t="n">
        <f aca="false">SQRT(1+(A188/Fz1_u)^2)</f>
        <v>2.13032678918124</v>
      </c>
      <c r="P188" s="0" t="n">
        <f aca="false">ATAN2(Fz1_u,A188)</f>
        <v>1.08217210375407</v>
      </c>
      <c r="Q188" s="0" t="n">
        <f aca="false">SQRT(1+(A188/Fz2_u)^2)</f>
        <v>2134.448445614</v>
      </c>
      <c r="R188" s="0" t="n">
        <f aca="false">ATAN2(Fz2_u,A188)</f>
        <v>1.57032782166954</v>
      </c>
      <c r="S188" s="0" t="n">
        <f aca="false">1/SQRT(1+(A188/Fp1_u)^2)</f>
        <v>0.172651617338807</v>
      </c>
      <c r="T188" s="0" t="n">
        <f aca="false">-ATAN2(Fp1_u,A188)</f>
        <v>-1.39727524538142</v>
      </c>
      <c r="U188" s="0" t="n">
        <f aca="false">1/SQRT(1+(A188/Fp2_u)^2)</f>
        <v>0.978849164065258</v>
      </c>
      <c r="V188" s="0" t="n">
        <f aca="false">-ATAN2(Fp2_u,A188)</f>
        <v>-0.206037952775059</v>
      </c>
      <c r="X188" s="0" t="n">
        <f aca="false">20*LOG(C188*J188*O188*Q188*F188*M188*S188*U188)</f>
        <v>46.7029283580833</v>
      </c>
      <c r="Y188" s="0" t="n">
        <f aca="false">(180/Pi)*(D188+H188+N188+P188+R188+T188+V188)</f>
        <v>-182.635183589659</v>
      </c>
      <c r="Z188" s="0" t="n">
        <f aca="false">Y188+180</f>
        <v>-2.63518358965851</v>
      </c>
      <c r="AC188" s="0" t="n">
        <v>1</v>
      </c>
      <c r="AD188" s="0" t="n">
        <f aca="false">Rcea1_u*Cc1ea_u*A188*2*Pi</f>
        <v>1.8810348823728</v>
      </c>
      <c r="AE188" s="0" t="n">
        <f aca="false">-Rcea1_u*Cc1ea_u*Cc2ea_u*(A188*2*Pi)^2</f>
        <v>-0.000136508187835774</v>
      </c>
      <c r="AF188" s="0" t="n">
        <f aca="false">(Cc2ea_u+Cc1ea_u)*A188*2*Pi</f>
        <v>0.000653137111935</v>
      </c>
      <c r="AG188" s="0" t="n">
        <f aca="false">AC188*AE188/(AE188^2+AF188^2)+AD188*AF188/(AE188^2+AF188^2)</f>
        <v>2452.85295613761</v>
      </c>
      <c r="AH188" s="0" t="n">
        <f aca="false">AD188*AE188/(AE188^2+AF188^2)-AC188*AF188/(AE188^2+AF188^2)</f>
        <v>-2043.72786001296</v>
      </c>
      <c r="AJ188" s="0" t="n">
        <f aca="false">_Rfb1</f>
        <v>20000</v>
      </c>
      <c r="AK188" s="0" t="n">
        <f aca="false">_Rfb1*Rcea2_u*Cc3ea_u*A188*2*Pi</f>
        <v>114100.634428704</v>
      </c>
      <c r="AL188" s="0" t="n">
        <v>1</v>
      </c>
      <c r="AM188" s="0" t="n">
        <f aca="false">(_Rfb1+Rcea2_u)*Cc3ea_u*A188*2*Pi</f>
        <v>2134.44821136143</v>
      </c>
      <c r="AN188" s="0" t="n">
        <f aca="false">AJ188*AL188/(AL188^2+AM188^2)+AK188*AM188/(AL188^2+AM188^2)</f>
        <v>53.4611141547937</v>
      </c>
      <c r="AO188" s="0" t="n">
        <f aca="false">AK188*AL188/(AL188^2+AM188^2)-AJ188*AM188/(AL188^2+AM188^2)</f>
        <v>-9.34505638491108</v>
      </c>
      <c r="AQ188" s="0" t="n">
        <f aca="false">Eadcg/(1+(Eadcg*A188/GBP)^2)</f>
        <v>1.91909079115417</v>
      </c>
      <c r="AR188" s="0" t="n">
        <f aca="false">-(A188*Eadcg*Eadcg/GBP)/(1+(Eadcg*A188/GBP)^2)</f>
        <v>-77.8747852142449</v>
      </c>
      <c r="AT188" s="0" t="n">
        <f aca="false">-AR188*AH188+AG188*AQ188</f>
        <v>-154447.620614699</v>
      </c>
      <c r="AU188" s="0" t="n">
        <f aca="false">AQ188*AH188+AG188*AR188</f>
        <v>-194937.496437118</v>
      </c>
      <c r="AV188" s="0" t="n">
        <f aca="false">ATAN2(AT188,AU188)</f>
        <v>-2.24082020094799</v>
      </c>
      <c r="AW188" s="0" t="n">
        <f aca="false">AG188-AH188*AO188/_Rfb2+AG188*AN188/_Rfb2+AN188-AO188*AR188+AQ188*AN188</f>
        <v>1931.58161827435</v>
      </c>
      <c r="AX188" s="0" t="n">
        <f aca="false">AH188+AH188*AN188/_Rfb2+AG188*AO188/_Rfb2+AO188+AO188*AQ188+AN188*AR188</f>
        <v>-6293.76161808978</v>
      </c>
      <c r="AY188" s="0" t="n">
        <f aca="false">ATAN2(AW188,AX188)</f>
        <v>-1.2730175388215</v>
      </c>
      <c r="BA188" s="0" t="n">
        <f aca="false">SQRT(AT188^2+AU188^2)/SQRT(AW188^2+AX188^2)</f>
        <v>37.777189298243</v>
      </c>
      <c r="BB188" s="0" t="n">
        <f aca="false">20*LOG(BA188)</f>
        <v>31.5445928474323</v>
      </c>
      <c r="BC188" s="0" t="n">
        <f aca="false">AV188-AY188</f>
        <v>-0.967802662126491</v>
      </c>
      <c r="BD188" s="0" t="n">
        <f aca="false">BC188*180/Pi-180</f>
        <v>-235.451008004736</v>
      </c>
      <c r="BF188" s="0" t="n">
        <f aca="false">20*LOG(BA188*J188*F188*C188)</f>
        <v>42.8558418783079</v>
      </c>
      <c r="BG188" s="0" t="n">
        <f aca="false">(180/Pi)*(D188+H188+BC188)</f>
        <v>-208.200163056634</v>
      </c>
      <c r="BH188" s="0" t="n">
        <f aca="false">IF(BG188&gt;180,BG188-180,BG188+180)</f>
        <v>-28.2001630566344</v>
      </c>
      <c r="BI188" s="0" t="n">
        <f aca="false">IF(BH188&gt;180,BH188-360,BH188)</f>
        <v>-28.2001630566344</v>
      </c>
      <c r="BJ188" s="0" t="n">
        <f aca="false">SUM((BF189&lt;0)*(BF188&gt;0))*A188</f>
        <v>0</v>
      </c>
      <c r="BK188" s="0" t="n">
        <f aca="false">IF(BJ188&gt;0,BI188,0)</f>
        <v>0</v>
      </c>
      <c r="BM188" s="0" t="n">
        <f aca="false">20*LOG(J188*F188*C188)</f>
        <v>11.3112490308757</v>
      </c>
      <c r="BN188" s="0" t="n">
        <f aca="false">(H188+D188)*180/Pi</f>
        <v>-152.749155051899</v>
      </c>
      <c r="BQ188" s="347" t="n">
        <f aca="false">20*LOG(BA188*7)</f>
        <v>48.4465536477174</v>
      </c>
      <c r="BR188" s="353"/>
      <c r="BS188" s="353"/>
      <c r="BT188" s="353" t="n">
        <v>6025.596</v>
      </c>
      <c r="BU188" s="353" t="n">
        <v>0.769928</v>
      </c>
      <c r="BV188" s="353" t="n">
        <v>-234.147</v>
      </c>
      <c r="BW188" s="349"/>
      <c r="BY188" s="353"/>
      <c r="BZ188" s="353"/>
      <c r="CA188" s="353"/>
      <c r="CC188" s="353"/>
    </row>
    <row r="189" customFormat="false" ht="12.75" hidden="false" customHeight="false" outlineLevel="0" collapsed="false">
      <c r="A189" s="0" t="n">
        <f aca="false">A188+500</f>
        <v>77500</v>
      </c>
      <c r="B189" s="0" t="n">
        <f aca="false">A189/1000</f>
        <v>77.5</v>
      </c>
      <c r="C189" s="0" t="n">
        <f aca="false">SQRT((A189/Fesr)^2+1)</f>
        <v>1.00000011855862</v>
      </c>
      <c r="D189" s="0" t="n">
        <f aca="false">ATAN(A189/Fesr)</f>
        <v>0.000486946822262173</v>
      </c>
      <c r="F189" s="0" t="n">
        <f aca="false">(Ro/(Ro+Rdcr))/SQRT((A189/(Q*Fo))^2+(1-(A189^2/Fo^2))^2)</f>
        <v>0.402009254836901</v>
      </c>
      <c r="G189" s="0" t="n">
        <f aca="false">-ATAN(A189*Fo/(Q*(Fo^2-A189^2)))</f>
        <v>0.470103076821324</v>
      </c>
      <c r="H189" s="0" t="n">
        <f aca="false">IF(G189&gt;0,G189-Pi,G189)</f>
        <v>-2.67148957317868</v>
      </c>
      <c r="J189" s="0" t="n">
        <f aca="false">Vin/Vramp</f>
        <v>9</v>
      </c>
      <c r="M189" s="0" t="n">
        <f aca="false">1/(2*Pi*_Rfb1*(Cc1ea_u+Cc2ea_u)*A189)</f>
        <v>0.0760597100471954</v>
      </c>
      <c r="N189" s="0" t="n">
        <f aca="false">-Pi/2</f>
        <v>-1.570796325</v>
      </c>
      <c r="O189" s="0" t="n">
        <f aca="false">SQRT(1+(A189/Fz1_u)^2)</f>
        <v>2.14111963003895</v>
      </c>
      <c r="P189" s="0" t="n">
        <f aca="false">ATAN2(Fz1_u,A189)</f>
        <v>1.08484997372767</v>
      </c>
      <c r="Q189" s="0" t="n">
        <f aca="false">SQRT(1+(A189/Fz2_u)^2)</f>
        <v>2148.30849742322</v>
      </c>
      <c r="R189" s="0" t="n">
        <f aca="false">ATAN2(Fz2_u,A189)</f>
        <v>1.57033084428281</v>
      </c>
      <c r="S189" s="0" t="n">
        <f aca="false">1/SQRT(1+(A189/Fp1_u)^2)</f>
        <v>0.171570627988149</v>
      </c>
      <c r="T189" s="0" t="n">
        <f aca="false">-ATAN2(Fp1_u,A189)</f>
        <v>-1.39837261017257</v>
      </c>
      <c r="U189" s="0" t="n">
        <f aca="false">1/SQRT(1+(A189/Fp2_u)^2)</f>
        <v>0.978582376573175</v>
      </c>
      <c r="V189" s="0" t="n">
        <f aca="false">-ATAN2(Fp2_u,A189)</f>
        <v>-0.207337963412107</v>
      </c>
      <c r="X189" s="0" t="n">
        <f aca="false">20*LOG(C189*J189*O189*Q189*F189*M189*S189*U189)</f>
        <v>46.5482237643872</v>
      </c>
      <c r="Y189" s="0" t="n">
        <f aca="false">(180/Pi)*(D189+H189+N189+P189+R189+T189+V189)</f>
        <v>-182.906961934581</v>
      </c>
      <c r="Z189" s="0" t="n">
        <f aca="false">Y189+180</f>
        <v>-2.90696193458086</v>
      </c>
      <c r="AC189" s="0" t="n">
        <v>1</v>
      </c>
      <c r="AD189" s="0" t="n">
        <f aca="false">Rcea1_u*Cc1ea_u*A189*2*Pi</f>
        <v>1.893249394596</v>
      </c>
      <c r="AE189" s="0" t="n">
        <f aca="false">-Rcea1_u*Cc1ea_u*Cc2ea_u*(A189*2*Pi)^2</f>
        <v>-0.000138286777397304</v>
      </c>
      <c r="AF189" s="0" t="n">
        <f aca="false">(Cc2ea_u+Cc1ea_u)*A189*2*Pi</f>
        <v>0.0006573782620125</v>
      </c>
      <c r="AG189" s="0" t="n">
        <f aca="false">AC189*AE189/(AE189^2+AF189^2)+AD189*AF189/(AE189^2+AF189^2)</f>
        <v>2451.51607741338</v>
      </c>
      <c r="AH189" s="0" t="n">
        <f aca="false">AD189*AE189/(AE189^2+AF189^2)-AC189*AF189/(AE189^2+AF189^2)</f>
        <v>-2036.89768198894</v>
      </c>
      <c r="AJ189" s="0" t="n">
        <f aca="false">_Rfb1</f>
        <v>20000</v>
      </c>
      <c r="AK189" s="0" t="n">
        <f aca="false">_Rfb1*Rcea2_u*Cc3ea_u*A189*2*Pi</f>
        <v>114841.54763928</v>
      </c>
      <c r="AL189" s="0" t="n">
        <v>1</v>
      </c>
      <c r="AM189" s="0" t="n">
        <f aca="false">(_Rfb1+Rcea2_u)*Cc3ea_u*A189*2*Pi</f>
        <v>2148.30826468196</v>
      </c>
      <c r="AN189" s="0" t="n">
        <f aca="false">AJ189*AL189/(AL189^2+AM189^2)+AK189*AM189/(AL189^2+AM189^2)</f>
        <v>53.4610578440461</v>
      </c>
      <c r="AO189" s="0" t="n">
        <f aca="false">AK189*AL189/(AL189^2+AM189^2)-AJ189*AM189/(AL189^2+AM189^2)</f>
        <v>-9.28476572476848</v>
      </c>
      <c r="AQ189" s="0" t="n">
        <f aca="false">Eadcg/(1+(Eadcg*A189/GBP)^2)</f>
        <v>1.89442299611437</v>
      </c>
      <c r="AR189" s="0" t="n">
        <f aca="false">-(A189*Eadcg*Eadcg/GBP)/(1+(Eadcg*A189/GBP)^2)</f>
        <v>-77.3729712188011</v>
      </c>
      <c r="AT189" s="0" t="n">
        <f aca="false">-AR189*AH189+AG189*AQ189</f>
        <v>-152956.617291777</v>
      </c>
      <c r="AU189" s="0" t="n">
        <f aca="false">AQ189*AH189+AG189*AR189</f>
        <v>-193539.828709626</v>
      </c>
      <c r="AV189" s="0" t="n">
        <f aca="false">ATAN2(AT189,AU189)</f>
        <v>-2.23960123469562</v>
      </c>
      <c r="AW189" s="0" t="n">
        <f aca="false">AG189-AH189*AO189/_Rfb2+AG189*AN189/_Rfb2+AN189-AO189*AR189+AQ189*AN189</f>
        <v>1938.33191770489</v>
      </c>
      <c r="AX189" s="0" t="n">
        <f aca="false">AH189+AH189*AN189/_Rfb2+AG189*AO189/_Rfb2+AO189+AO189*AQ189+AN189*AR189</f>
        <v>-6259.45801707211</v>
      </c>
      <c r="AY189" s="0" t="n">
        <f aca="false">ATAN2(AW189,AX189)</f>
        <v>-1.27049677383166</v>
      </c>
      <c r="BA189" s="0" t="n">
        <f aca="false">SQRT(AT189^2+AU189^2)/SQRT(AW189^2+AX189^2)</f>
        <v>37.6462538712764</v>
      </c>
      <c r="BB189" s="0" t="n">
        <f aca="false">20*LOG(BA189)</f>
        <v>31.5144353323934</v>
      </c>
      <c r="BC189" s="0" t="n">
        <f aca="false">AV189-AY189</f>
        <v>-0.969104460863966</v>
      </c>
      <c r="BD189" s="0" t="n">
        <f aca="false">BC189*180/Pi-180</f>
        <v>-235.525595578254</v>
      </c>
      <c r="BF189" s="0" t="n">
        <f aca="false">20*LOG(BA189*J189*F189*C189)</f>
        <v>42.6840075767524</v>
      </c>
      <c r="BG189" s="0" t="n">
        <f aca="false">(180/Pi)*(D189+H189+BC189)</f>
        <v>-208.562773311705</v>
      </c>
      <c r="BH189" s="0" t="n">
        <f aca="false">IF(BG189&gt;180,BG189-180,BG189+180)</f>
        <v>-28.5627733117049</v>
      </c>
      <c r="BI189" s="0" t="n">
        <f aca="false">IF(BH189&gt;180,BH189-360,BH189)</f>
        <v>-28.5627733117049</v>
      </c>
      <c r="BJ189" s="0" t="n">
        <f aca="false">SUM((BF190&lt;0)*(BF189&gt;0))*A189</f>
        <v>0</v>
      </c>
      <c r="BK189" s="0" t="n">
        <f aca="false">IF(BJ189&gt;0,BI189,0)</f>
        <v>0</v>
      </c>
      <c r="BM189" s="0" t="n">
        <f aca="false">20*LOG(J189*F189*C189)</f>
        <v>11.169572244359</v>
      </c>
      <c r="BN189" s="0" t="n">
        <f aca="false">(H189+D189)*180/Pi</f>
        <v>-153.037177733451</v>
      </c>
      <c r="BQ189" s="347" t="n">
        <f aca="false">20*LOG(BA189*7)</f>
        <v>48.4163961326785</v>
      </c>
      <c r="BR189" s="353"/>
      <c r="BS189" s="353"/>
      <c r="BT189" s="353" t="n">
        <v>6165.95</v>
      </c>
      <c r="BU189" s="353" t="n">
        <v>0.469478</v>
      </c>
      <c r="BV189" s="353" t="n">
        <v>-232.056</v>
      </c>
      <c r="BW189" s="349"/>
      <c r="BY189" s="353"/>
      <c r="BZ189" s="353"/>
      <c r="CA189" s="353"/>
      <c r="CC189" s="353"/>
    </row>
    <row r="190" customFormat="false" ht="12.75" hidden="false" customHeight="false" outlineLevel="0" collapsed="false">
      <c r="A190" s="0" t="n">
        <f aca="false">A189+500</f>
        <v>78000</v>
      </c>
      <c r="B190" s="0" t="n">
        <f aca="false">A190/1000</f>
        <v>78</v>
      </c>
      <c r="C190" s="0" t="n">
        <f aca="false">SQRT((A190/Fesr)^2+1)</f>
        <v>1.00000012009334</v>
      </c>
      <c r="D190" s="0" t="n">
        <f aca="false">ATAN(A190/Fesr)</f>
        <v>0.000490088414162431</v>
      </c>
      <c r="F190" s="0" t="n">
        <f aca="false">(Ro/(Ro+Rdcr))/SQRT((A190/(Q*Fo))^2+(1-(A190^2/Fo^2))^2)</f>
        <v>0.395561678006255</v>
      </c>
      <c r="G190" s="0" t="n">
        <f aca="false">-ATAN(A190*Fo/(Q*(Fo^2-A190^2)))</f>
        <v>0.465185632294702</v>
      </c>
      <c r="H190" s="0" t="n">
        <f aca="false">IF(G190&gt;0,G190-Pi,G190)</f>
        <v>-2.6764070177053</v>
      </c>
      <c r="J190" s="0" t="n">
        <f aca="false">Vin/Vramp</f>
        <v>9</v>
      </c>
      <c r="M190" s="0" t="n">
        <f aca="false">1/(2*Pi*_Rfb1*(Cc1ea_u+Cc2ea_u)*A190)</f>
        <v>0.0755721478033031</v>
      </c>
      <c r="N190" s="0" t="n">
        <f aca="false">-Pi/2</f>
        <v>-1.570796325</v>
      </c>
      <c r="O190" s="0" t="n">
        <f aca="false">SQRT(1+(A190/Fz1_u)^2)</f>
        <v>2.15192767076189</v>
      </c>
      <c r="P190" s="0" t="n">
        <f aca="false">ATAN2(Fz1_u,A190)</f>
        <v>1.08750096338872</v>
      </c>
      <c r="Q190" s="0" t="n">
        <f aca="false">SQRT(1+(A190/Fz2_u)^2)</f>
        <v>2162.16854925182</v>
      </c>
      <c r="R190" s="0" t="n">
        <f aca="false">ATAN2(Fz2_u,A190)</f>
        <v>1.57033382814464</v>
      </c>
      <c r="S190" s="0" t="n">
        <f aca="false">1/SQRT(1+(A190/Fp1_u)^2)</f>
        <v>0.170502889276632</v>
      </c>
      <c r="T190" s="0" t="n">
        <f aca="false">-ATAN2(Fp1_u,A190)</f>
        <v>-1.3994563177534</v>
      </c>
      <c r="U190" s="0" t="n">
        <f aca="false">1/SQRT(1+(A190/Fp2_u)^2)</f>
        <v>0.978314082443554</v>
      </c>
      <c r="V190" s="0" t="n">
        <f aca="false">-ATAN2(Fp2_u,A190)</f>
        <v>-0.208637263406272</v>
      </c>
      <c r="X190" s="0" t="n">
        <f aca="false">20*LOG(C190*J190*O190*Q190*F190*M190*S190*U190)</f>
        <v>46.3949160223225</v>
      </c>
      <c r="Y190" s="0" t="n">
        <f aca="false">(180/Pi)*(D190+H190+N190+P190+R190+T190+V190)</f>
        <v>-183.173005547088</v>
      </c>
      <c r="Z190" s="0" t="n">
        <f aca="false">Y190+180</f>
        <v>-3.17300554708791</v>
      </c>
      <c r="AC190" s="0" t="n">
        <v>1</v>
      </c>
      <c r="AD190" s="0" t="n">
        <f aca="false">Rcea1_u*Cc1ea_u*A190*2*Pi</f>
        <v>1.9054639068192</v>
      </c>
      <c r="AE190" s="0" t="n">
        <f aca="false">-Rcea1_u*Cc1ea_u*Cc2ea_u*(A190*2*Pi)^2</f>
        <v>-0.000140076878865382</v>
      </c>
      <c r="AF190" s="0" t="n">
        <f aca="false">(Cc2ea_u+Cc1ea_u)*A190*2*Pi</f>
        <v>0.00066161941209</v>
      </c>
      <c r="AG190" s="0" t="n">
        <f aca="false">AC190*AE190/(AE190^2+AF190^2)+AD190*AF190/(AE190^2+AF190^2)</f>
        <v>2450.17201640288</v>
      </c>
      <c r="AH190" s="0" t="n">
        <f aca="false">AD190*AE190/(AE190^2+AF190^2)-AC190*AF190/(AE190^2+AF190^2)</f>
        <v>-2030.18899414985</v>
      </c>
      <c r="AJ190" s="0" t="n">
        <f aca="false">_Rfb1</f>
        <v>20000</v>
      </c>
      <c r="AK190" s="0" t="n">
        <f aca="false">_Rfb1*Rcea2_u*Cc3ea_u*A190*2*Pi</f>
        <v>115582.460849856</v>
      </c>
      <c r="AL190" s="0" t="n">
        <v>1</v>
      </c>
      <c r="AM190" s="0" t="n">
        <f aca="false">(_Rfb1+Rcea2_u)*Cc3ea_u*A190*2*Pi</f>
        <v>2162.16831800249</v>
      </c>
      <c r="AN190" s="0" t="n">
        <f aca="false">AJ190*AL190/(AL190^2+AM190^2)+AK190*AM190/(AL190^2+AM190^2)</f>
        <v>53.4610026127226</v>
      </c>
      <c r="AO190" s="0" t="n">
        <f aca="false">AK190*AL190/(AL190^2+AM190^2)-AJ190*AM190/(AL190^2+AM190^2)</f>
        <v>-9.22524802130797</v>
      </c>
      <c r="AQ190" s="0" t="n">
        <f aca="false">Eadcg/(1+(Eadcg*A190/GBP)^2)</f>
        <v>1.87022768554043</v>
      </c>
      <c r="AR190" s="0" t="n">
        <f aca="false">-(A190*Eadcg*Eadcg/GBP)/(1+(Eadcg*A190/GBP)^2)</f>
        <v>-76.877579241825</v>
      </c>
      <c r="AT190" s="0" t="n">
        <f aca="false">-AR190*AH190+AG190*AQ190</f>
        <v>-151493.635734223</v>
      </c>
      <c r="AU190" s="0" t="n">
        <f aca="false">AQ190*AH190+AG190*AR190</f>
        <v>-192160.209010853</v>
      </c>
      <c r="AV190" s="0" t="n">
        <f aca="false">ATAN2(AT190,AU190)</f>
        <v>-2.23840640223478</v>
      </c>
      <c r="AW190" s="0" t="n">
        <f aca="false">AG190-AH190*AO190/_Rfb2+AG190*AN190/_Rfb2+AN190-AO190*AR190+AQ190*AN190</f>
        <v>1944.91937542129</v>
      </c>
      <c r="AX190" s="0" t="n">
        <f aca="false">AH190+AH190*AN190/_Rfb2+AG190*AO190/_Rfb2+AO190+AO190*AQ190+AN190*AR190</f>
        <v>-6225.63274378362</v>
      </c>
      <c r="AY190" s="0" t="n">
        <f aca="false">ATAN2(AW190,AX190)</f>
        <v>-1.26799792420213</v>
      </c>
      <c r="BA190" s="0" t="n">
        <f aca="false">SQRT(AT190^2+AU190^2)/SQRT(AW190^2+AX190^2)</f>
        <v>37.5163836017086</v>
      </c>
      <c r="BB190" s="0" t="n">
        <f aca="false">20*LOG(BA190)</f>
        <v>31.4844193566575</v>
      </c>
      <c r="BC190" s="0" t="n">
        <f aca="false">AV190-AY190</f>
        <v>-0.970408478032656</v>
      </c>
      <c r="BD190" s="0" t="n">
        <f aca="false">BC190*180/Pi-180</f>
        <v>-235.600310258517</v>
      </c>
      <c r="BF190" s="0" t="n">
        <f aca="false">20*LOG(BA190*J190*F190*C190)</f>
        <v>42.5135547993099</v>
      </c>
      <c r="BG190" s="0" t="n">
        <f aca="false">(180/Pi)*(D190+H190+BC190)</f>
        <v>-208.919056809699</v>
      </c>
      <c r="BH190" s="0" t="n">
        <f aca="false">IF(BG190&gt;180,BG190-180,BG190+180)</f>
        <v>-28.9190568096989</v>
      </c>
      <c r="BI190" s="0" t="n">
        <f aca="false">IF(BH190&gt;180,BH190-360,BH190)</f>
        <v>-28.9190568096989</v>
      </c>
      <c r="BJ190" s="0" t="n">
        <f aca="false">SUM((BF191&lt;0)*(BF190&gt;0))*A190</f>
        <v>0</v>
      </c>
      <c r="BK190" s="0" t="n">
        <f aca="false">IF(BJ190&gt;0,BI190,0)</f>
        <v>0</v>
      </c>
      <c r="BM190" s="0" t="n">
        <f aca="false">20*LOG(J190*F190*C190)</f>
        <v>11.0291354426524</v>
      </c>
      <c r="BN190" s="0" t="n">
        <f aca="false">(H190+D190)*180/Pi</f>
        <v>-153.318746551181</v>
      </c>
      <c r="BQ190" s="347" t="n">
        <f aca="false">20*LOG(BA190*7)</f>
        <v>48.3863801569427</v>
      </c>
      <c r="BR190" s="353"/>
      <c r="BS190" s="353"/>
      <c r="BT190" s="353" t="n">
        <v>6309.573</v>
      </c>
      <c r="BU190" s="353" t="n">
        <v>0.369853</v>
      </c>
      <c r="BV190" s="353" t="n">
        <v>-231.369</v>
      </c>
      <c r="BW190" s="349"/>
      <c r="BY190" s="353"/>
      <c r="BZ190" s="353"/>
      <c r="CA190" s="353"/>
      <c r="CC190" s="353"/>
    </row>
    <row r="191" customFormat="false" ht="12.75" hidden="false" customHeight="false" outlineLevel="0" collapsed="false">
      <c r="A191" s="0" t="n">
        <f aca="false">A190+500</f>
        <v>78500</v>
      </c>
      <c r="B191" s="0" t="n">
        <f aca="false">A191/1000</f>
        <v>78.5</v>
      </c>
      <c r="C191" s="0" t="n">
        <f aca="false">SQRT((A191/Fesr)^2+1)</f>
        <v>1.00000012163793</v>
      </c>
      <c r="D191" s="0" t="n">
        <f aca="false">ATAN(A191/Fesr)</f>
        <v>0.000493230006053015</v>
      </c>
      <c r="F191" s="0" t="n">
        <f aca="false">(Ro/(Ro+Rdcr))/SQRT((A191/(Q*Fo))^2+(1-(A191^2/Fo^2))^2)</f>
        <v>0.389272227929857</v>
      </c>
      <c r="G191" s="0" t="n">
        <f aca="false">-ATAN(A191*Fo/(Q*(Fo^2-A191^2)))</f>
        <v>0.46037710391554</v>
      </c>
      <c r="H191" s="0" t="n">
        <f aca="false">IF(G191&gt;0,G191-Pi,G191)</f>
        <v>-2.68121554608446</v>
      </c>
      <c r="J191" s="0" t="n">
        <f aca="false">Vin/Vramp</f>
        <v>9</v>
      </c>
      <c r="M191" s="0" t="n">
        <f aca="false">1/(2*Pi*_Rfb1*(Cc1ea_u+Cc2ea_u)*A191)</f>
        <v>0.0750907965434095</v>
      </c>
      <c r="N191" s="0" t="n">
        <f aca="false">-Pi/2</f>
        <v>-1.570796325</v>
      </c>
      <c r="O191" s="0" t="n">
        <f aca="false">SQRT(1+(A191/Fz1_u)^2)</f>
        <v>2.16275068347254</v>
      </c>
      <c r="P191" s="0" t="n">
        <f aca="false">ATAN2(Fz1_u,A191)</f>
        <v>1.09012543874473</v>
      </c>
      <c r="Q191" s="0" t="n">
        <f aca="false">SQRT(1+(A191/Fz2_u)^2)</f>
        <v>2176.02860109942</v>
      </c>
      <c r="R191" s="0" t="n">
        <f aca="false">ATAN2(Fz2_u,A191)</f>
        <v>1.5703367739955</v>
      </c>
      <c r="S191" s="0" t="n">
        <f aca="false">1/SQRT(1+(A191/Fp1_u)^2)</f>
        <v>0.169448162800648</v>
      </c>
      <c r="T191" s="0" t="n">
        <f aca="false">-ATAN2(Fp1_u,A191)</f>
        <v>-1.40052661900399</v>
      </c>
      <c r="U191" s="0" t="n">
        <f aca="false">1/SQRT(1+(A191/Fp2_u)^2)</f>
        <v>0.978044285631706</v>
      </c>
      <c r="V191" s="0" t="n">
        <f aca="false">-ATAN2(Fp2_u,A191)</f>
        <v>-0.209935848956803</v>
      </c>
      <c r="X191" s="0" t="n">
        <f aca="false">20*LOG(C191*J191*O191*Q191*F191*M191*S191*U191)</f>
        <v>46.2429827181652</v>
      </c>
      <c r="Y191" s="0" t="n">
        <f aca="false">(180/Pi)*(D191+H191+N191+P191+R191+T191+V191)</f>
        <v>-183.433520998916</v>
      </c>
      <c r="Z191" s="0" t="n">
        <f aca="false">Y191+180</f>
        <v>-3.43352099891598</v>
      </c>
      <c r="AC191" s="0" t="n">
        <v>1</v>
      </c>
      <c r="AD191" s="0" t="n">
        <f aca="false">Rcea1_u*Cc1ea_u*A191*2*Pi</f>
        <v>1.9176784190424</v>
      </c>
      <c r="AE191" s="0" t="n">
        <f aca="false">-Rcea1_u*Cc1ea_u*Cc2ea_u*(A191*2*Pi)^2</f>
        <v>-0.000141878492240006</v>
      </c>
      <c r="AF191" s="0" t="n">
        <f aca="false">(Cc2ea_u+Cc1ea_u)*A191*2*Pi</f>
        <v>0.0006658605621675</v>
      </c>
      <c r="AG191" s="0" t="n">
        <f aca="false">AC191*AE191/(AE191^2+AF191^2)+AD191*AF191/(AE191^2+AF191^2)</f>
        <v>2448.8207991215</v>
      </c>
      <c r="AH191" s="0" t="n">
        <f aca="false">AD191*AE191/(AE191^2+AF191^2)-AC191*AF191/(AE191^2+AF191^2)</f>
        <v>-2023.59935293235</v>
      </c>
      <c r="AJ191" s="0" t="n">
        <f aca="false">_Rfb1</f>
        <v>20000</v>
      </c>
      <c r="AK191" s="0" t="n">
        <f aca="false">_Rfb1*Rcea2_u*Cc3ea_u*A191*2*Pi</f>
        <v>116323.374060432</v>
      </c>
      <c r="AL191" s="0" t="n">
        <v>1</v>
      </c>
      <c r="AM191" s="0" t="n">
        <f aca="false">(_Rfb1+Rcea2_u)*Cc3ea_u*A191*2*Pi</f>
        <v>2176.02837132302</v>
      </c>
      <c r="AN191" s="0" t="n">
        <f aca="false">AJ191*AL191/(AL191^2+AM191^2)+AK191*AM191/(AL191^2+AM191^2)</f>
        <v>53.4609484334098</v>
      </c>
      <c r="AO191" s="0" t="n">
        <f aca="false">AK191*AL191/(AL191^2+AM191^2)-AJ191*AM191/(AL191^2+AM191^2)</f>
        <v>-9.16648850466923</v>
      </c>
      <c r="AQ191" s="0" t="n">
        <f aca="false">Eadcg/(1+(Eadcg*A191/GBP)^2)</f>
        <v>1.84649287178617</v>
      </c>
      <c r="AR191" s="0" t="n">
        <f aca="false">-(A191*Eadcg*Eadcg/GBP)/(1+(Eadcg*A191/GBP)^2)</f>
        <v>-76.3884868593581</v>
      </c>
      <c r="AT191" s="0" t="n">
        <f aca="false">-AR191*AH191+AG191*AQ191</f>
        <v>-150057.962430219</v>
      </c>
      <c r="AU191" s="0" t="n">
        <f aca="false">AQ191*AH191+AG191*AR191</f>
        <v>-190798.277215156</v>
      </c>
      <c r="AV191" s="0" t="n">
        <f aca="false">ATAN2(AT191,AU191)</f>
        <v>-2.23723537262875</v>
      </c>
      <c r="AW191" s="0" t="n">
        <f aca="false">AG191-AH191*AO191/_Rfb2+AG191*AN191/_Rfb2+AN191-AO191*AR191+AQ191*AN191</f>
        <v>1951.34796308675</v>
      </c>
      <c r="AX191" s="0" t="n">
        <f aca="false">AH191+AH191*AN191/_Rfb2+AG191*AO191/_Rfb2+AO191+AO191*AQ191+AN191*AR191</f>
        <v>-6192.27643677751</v>
      </c>
      <c r="AY191" s="0" t="n">
        <f aca="false">ATAN2(AW191,AX191)</f>
        <v>-1.26552078334336</v>
      </c>
      <c r="BA191" s="0" t="n">
        <f aca="false">SQRT(AT191^2+AU191^2)/SQRT(AW191^2+AX191^2)</f>
        <v>37.3875583491648</v>
      </c>
      <c r="BB191" s="0" t="n">
        <f aca="false">20*LOG(BA191)</f>
        <v>31.4545420764949</v>
      </c>
      <c r="BC191" s="0" t="n">
        <f aca="false">AV191-AY191</f>
        <v>-0.971714589285388</v>
      </c>
      <c r="BD191" s="0" t="n">
        <f aca="false">BC191*180/Pi-180</f>
        <v>-235.675144920959</v>
      </c>
      <c r="BF191" s="0" t="n">
        <f aca="false">20*LOG(BA191*J191*F191*C191)</f>
        <v>42.3444617359136</v>
      </c>
      <c r="BG191" s="0" t="n">
        <f aca="false">(180/Pi)*(D191+H191+BC191)</f>
        <v>-209.269219854294</v>
      </c>
      <c r="BH191" s="0" t="n">
        <f aca="false">IF(BG191&gt;180,BG191-180,BG191+180)</f>
        <v>-29.2692198542937</v>
      </c>
      <c r="BI191" s="0" t="n">
        <f aca="false">IF(BH191&gt;180,BH191-360,BH191)</f>
        <v>-29.2692198542937</v>
      </c>
      <c r="BJ191" s="0" t="n">
        <f aca="false">SUM((BF192&lt;0)*(BF191&gt;0))*A191</f>
        <v>0</v>
      </c>
      <c r="BK191" s="0" t="n">
        <f aca="false">IF(BJ191&gt;0,BI191,0)</f>
        <v>0</v>
      </c>
      <c r="BM191" s="0" t="n">
        <f aca="false">20*LOG(J191*F191*C191)</f>
        <v>10.8899196594187</v>
      </c>
      <c r="BN191" s="0" t="n">
        <f aca="false">(H191+D191)*180/Pi</f>
        <v>-153.594074933335</v>
      </c>
      <c r="BQ191" s="347" t="n">
        <f aca="false">20*LOG(BA191*7)</f>
        <v>48.35650287678</v>
      </c>
      <c r="BR191" s="353"/>
      <c r="BS191" s="353"/>
      <c r="BT191" s="353" t="n">
        <v>6456.542</v>
      </c>
      <c r="BU191" s="353" t="n">
        <v>0.127676</v>
      </c>
      <c r="BV191" s="353" t="n">
        <v>-230.779</v>
      </c>
      <c r="BW191" s="349"/>
      <c r="BY191" s="353"/>
      <c r="BZ191" s="353"/>
      <c r="CA191" s="353"/>
      <c r="CC191" s="353"/>
    </row>
    <row r="192" customFormat="false" ht="12.75" hidden="false" customHeight="false" outlineLevel="0" collapsed="false">
      <c r="A192" s="0" t="n">
        <f aca="false">A191+500</f>
        <v>79000</v>
      </c>
      <c r="B192" s="0" t="n">
        <f aca="false">A192/1000</f>
        <v>79</v>
      </c>
      <c r="C192" s="0" t="n">
        <f aca="false">SQRT((A192/Fesr)^2+1)</f>
        <v>1.00000012319239</v>
      </c>
      <c r="D192" s="0" t="n">
        <f aca="false">ATAN(A192/Fesr)</f>
        <v>0.000496371597933863</v>
      </c>
      <c r="F192" s="0" t="n">
        <f aca="false">(Ro/(Ro+Rdcr))/SQRT((A192/(Q*Fo))^2+(1-(A192^2/Fo^2))^2)</f>
        <v>0.383135809830672</v>
      </c>
      <c r="G192" s="0" t="n">
        <f aca="false">-ATAN(A192*Fo/(Q*(Fo^2-A192^2)))</f>
        <v>0.455673923302639</v>
      </c>
      <c r="H192" s="0" t="n">
        <f aca="false">IF(G192&gt;0,G192-Pi,G192)</f>
        <v>-2.68591872669736</v>
      </c>
      <c r="J192" s="0" t="n">
        <f aca="false">Vin/Vramp</f>
        <v>9</v>
      </c>
      <c r="M192" s="0" t="n">
        <f aca="false">1/(2*Pi*_Rfb1*(Cc1ea_u+Cc2ea_u)*A192)</f>
        <v>0.0746155383374385</v>
      </c>
      <c r="N192" s="0" t="n">
        <f aca="false">-Pi/2</f>
        <v>-1.570796325</v>
      </c>
      <c r="O192" s="0" t="n">
        <f aca="false">SQRT(1+(A192/Fz1_u)^2)</f>
        <v>2.17358844451955</v>
      </c>
      <c r="P192" s="0" t="n">
        <f aca="false">ATAN2(Fz1_u,A192)</f>
        <v>1.0927237599796</v>
      </c>
      <c r="Q192" s="0" t="n">
        <f aca="false">SQRT(1+(A192/Fz2_u)^2)</f>
        <v>2189.88865296567</v>
      </c>
      <c r="R192" s="0" t="n">
        <f aca="false">ATAN2(Fz2_u,A192)</f>
        <v>1.57033968255712</v>
      </c>
      <c r="S192" s="0" t="n">
        <f aca="false">1/SQRT(1+(A192/Fp1_u)^2)</f>
        <v>0.168406215748389</v>
      </c>
      <c r="T192" s="0" t="n">
        <f aca="false">-ATAN2(Fp1_u,A192)</f>
        <v>-1.40158375875832</v>
      </c>
      <c r="U192" s="0" t="n">
        <f aca="false">1/SQRT(1+(A192/Fp2_u)^2)</f>
        <v>0.977772990109152</v>
      </c>
      <c r="V192" s="0" t="n">
        <f aca="false">-ATAN2(Fp2_u,A192)</f>
        <v>-0.211233716276763</v>
      </c>
      <c r="X192" s="0" t="n">
        <f aca="false">20*LOG(C192*J192*O192*Q192*F192*M192*S192*U192)</f>
        <v>46.0924017574477</v>
      </c>
      <c r="Y192" s="0" t="n">
        <f aca="false">(180/Pi)*(D192+H192+N192+P192+R192+T192+V192)</f>
        <v>-183.688705875857</v>
      </c>
      <c r="Z192" s="0" t="n">
        <f aca="false">Y192+180</f>
        <v>-3.6887058758569</v>
      </c>
      <c r="AC192" s="0" t="n">
        <v>1</v>
      </c>
      <c r="AD192" s="0" t="n">
        <f aca="false">Rcea1_u*Cc1ea_u*A192*2*Pi</f>
        <v>1.9298929312656</v>
      </c>
      <c r="AE192" s="0" t="n">
        <f aca="false">-Rcea1_u*Cc1ea_u*Cc2ea_u*(A192*2*Pi)^2</f>
        <v>-0.000143691617521178</v>
      </c>
      <c r="AF192" s="0" t="n">
        <f aca="false">(Cc2ea_u+Cc1ea_u)*A192*2*Pi</f>
        <v>0.000670101712245</v>
      </c>
      <c r="AG192" s="0" t="n">
        <f aca="false">AC192*AE192/(AE192^2+AF192^2)+AD192*AF192/(AE192^2+AF192^2)</f>
        <v>2447.4624516787</v>
      </c>
      <c r="AH192" s="0" t="n">
        <f aca="false">AD192*AE192/(AE192^2+AF192^2)-AC192*AF192/(AE192^2+AF192^2)</f>
        <v>-2017.12637619685</v>
      </c>
      <c r="AJ192" s="0" t="n">
        <f aca="false">_Rfb1</f>
        <v>20000</v>
      </c>
      <c r="AK192" s="0" t="n">
        <f aca="false">_Rfb1*Rcea2_u*Cc3ea_u*A192*2*Pi</f>
        <v>117064.287271008</v>
      </c>
      <c r="AL192" s="0" t="n">
        <v>1</v>
      </c>
      <c r="AM192" s="0" t="n">
        <f aca="false">(_Rfb1+Rcea2_u)*Cc3ea_u*A192*2*Pi</f>
        <v>2189.88842464355</v>
      </c>
      <c r="AN192" s="0" t="n">
        <f aca="false">AJ192*AL192/(AL192^2+AM192^2)+AK192*AM192/(AL192^2+AM192^2)</f>
        <v>53.4608952795589</v>
      </c>
      <c r="AO192" s="0" t="n">
        <f aca="false">AK192*AL192/(AL192^2+AM192^2)-AJ192*AM192/(AL192^2+AM192^2)</f>
        <v>-9.10847277891208</v>
      </c>
      <c r="AQ192" s="0" t="n">
        <f aca="false">Eadcg/(1+(Eadcg*A192/GBP)^2)</f>
        <v>1.82320694491653</v>
      </c>
      <c r="AR192" s="0" t="n">
        <f aca="false">-(A192*Eadcg*Eadcg/GBP)/(1+(Eadcg*A192/GBP)^2)</f>
        <v>-75.9055747377101</v>
      </c>
      <c r="AT192" s="0" t="n">
        <f aca="false">-AR192*AH192+AG192*AQ192</f>
        <v>-148648.906364493</v>
      </c>
      <c r="AU192" s="0" t="n">
        <f aca="false">AQ192*AH192+AG192*AR192</f>
        <v>-189453.682861493</v>
      </c>
      <c r="AV192" s="0" t="n">
        <f aca="false">ATAN2(AT192,AU192)</f>
        <v>-2.2360878197951</v>
      </c>
      <c r="AW192" s="0" t="n">
        <f aca="false">AG192-AH192*AO192/_Rfb2+AG192*AN192/_Rfb2+AN192-AO192*AR192+AQ192*AN192</f>
        <v>1957.62152816058</v>
      </c>
      <c r="AX192" s="0" t="n">
        <f aca="false">AH192+AH192*AN192/_Rfb2+AG192*AO192/_Rfb2+AO192+AO192*AQ192+AN192*AR192</f>
        <v>-6159.37997417821</v>
      </c>
      <c r="AY192" s="0" t="n">
        <f aca="false">ATAN2(AW192,AX192)</f>
        <v>-1.26306514815222</v>
      </c>
      <c r="BA192" s="0" t="n">
        <f aca="false">SQRT(AT192^2+AU192^2)/SQRT(AW192^2+AX192^2)</f>
        <v>37.2597585740462</v>
      </c>
      <c r="BB192" s="0" t="n">
        <f aca="false">20*LOG(BA192)</f>
        <v>31.4248007308506</v>
      </c>
      <c r="BC192" s="0" t="n">
        <f aca="false">AV192-AY192</f>
        <v>-0.973022671642888</v>
      </c>
      <c r="BD192" s="0" t="n">
        <f aca="false">BC192*180/Pi-180</f>
        <v>-235.750092519385</v>
      </c>
      <c r="BF192" s="0" t="n">
        <f aca="false">20*LOG(BA192*J192*F192*C192)</f>
        <v>42.1767068949072</v>
      </c>
      <c r="BG192" s="0" t="n">
        <f aca="false">(180/Pi)*(D192+H192+BC192)</f>
        <v>-209.613459852479</v>
      </c>
      <c r="BH192" s="0" t="n">
        <f aca="false">IF(BG192&gt;180,BG192-180,BG192+180)</f>
        <v>-29.6134598524785</v>
      </c>
      <c r="BI192" s="0" t="n">
        <f aca="false">IF(BH192&gt;180,BH192-360,BH192)</f>
        <v>-29.6134598524785</v>
      </c>
      <c r="BJ192" s="0" t="n">
        <f aca="false">SUM((BF193&lt;0)*(BF192&gt;0))*A192</f>
        <v>0</v>
      </c>
      <c r="BK192" s="0" t="n">
        <f aca="false">IF(BJ192&gt;0,BI192,0)</f>
        <v>0</v>
      </c>
      <c r="BM192" s="0" t="n">
        <f aca="false">20*LOG(J192*F192*C192)</f>
        <v>10.7519061640565</v>
      </c>
      <c r="BN192" s="0" t="n">
        <f aca="false">(H192+D192)*180/Pi</f>
        <v>-153.863367333094</v>
      </c>
      <c r="BQ192" s="347" t="n">
        <f aca="false">20*LOG(BA192*7)</f>
        <v>48.3267615311358</v>
      </c>
      <c r="BR192" s="353"/>
      <c r="BS192" s="353"/>
      <c r="BT192" s="353" t="n">
        <v>6606.934</v>
      </c>
      <c r="BU192" s="353" t="n">
        <v>0.0369381</v>
      </c>
      <c r="BV192" s="353" t="n">
        <v>-229.609</v>
      </c>
      <c r="BW192" s="349"/>
      <c r="BY192" s="353"/>
      <c r="BZ192" s="353"/>
      <c r="CA192" s="353"/>
      <c r="CC192" s="353"/>
    </row>
    <row r="193" customFormat="false" ht="12.75" hidden="false" customHeight="false" outlineLevel="0" collapsed="false">
      <c r="A193" s="0" t="n">
        <f aca="false">A192+500</f>
        <v>79500</v>
      </c>
      <c r="B193" s="0" t="n">
        <f aca="false">A193/1000</f>
        <v>79.5</v>
      </c>
      <c r="C193" s="0" t="n">
        <f aca="false">SQRT((A193/Fesr)^2+1)</f>
        <v>1.00000012475673</v>
      </c>
      <c r="D193" s="0" t="n">
        <f aca="false">ATAN(A193/Fesr)</f>
        <v>0.000499513189804913</v>
      </c>
      <c r="F193" s="0" t="n">
        <f aca="false">(Ro/(Ro+Rdcr))/SQRT((A193/(Q*Fo))^2+(1-(A193^2/Fo^2))^2)</f>
        <v>0.377147523279847</v>
      </c>
      <c r="G193" s="0" t="n">
        <f aca="false">-ATAN(A193*Fo/(Q*(Fo^2-A193^2)))</f>
        <v>0.451072671016506</v>
      </c>
      <c r="H193" s="0" t="n">
        <f aca="false">IF(G193&gt;0,G193-Pi,G193)</f>
        <v>-2.69051997898349</v>
      </c>
      <c r="J193" s="0" t="n">
        <f aca="false">Vin/Vramp</f>
        <v>9</v>
      </c>
      <c r="M193" s="0" t="n">
        <f aca="false">1/(2*Pi*_Rfb1*(Cc1ea_u+Cc2ea_u)*A193)</f>
        <v>0.0741462582221087</v>
      </c>
      <c r="N193" s="0" t="n">
        <f aca="false">-Pi/2</f>
        <v>-1.570796325</v>
      </c>
      <c r="O193" s="0" t="n">
        <f aca="false">SQRT(1+(A193/Fz1_u)^2)</f>
        <v>2.18444073438823</v>
      </c>
      <c r="P193" s="0" t="n">
        <f aca="false">ATAN2(Fz1_u,A193)</f>
        <v>1.09529628154687</v>
      </c>
      <c r="Q193" s="0" t="n">
        <f aca="false">SQRT(1+(A193/Fz2_u)^2)</f>
        <v>2203.74870485021</v>
      </c>
      <c r="R193" s="0" t="n">
        <f aca="false">ATAN2(Fz2_u,A193)</f>
        <v>1.57034255453306</v>
      </c>
      <c r="S193" s="0" t="n">
        <f aca="false">1/SQRT(1+(A193/Fp1_u)^2)</f>
        <v>0.167376820739758</v>
      </c>
      <c r="T193" s="0" t="n">
        <f aca="false">-ATAN2(Fp1_u,A193)</f>
        <v>-1.40262797598341</v>
      </c>
      <c r="U193" s="0" t="n">
        <f aca="false">1/SQRT(1+(A193/Fp2_u)^2)</f>
        <v>0.977500199863474</v>
      </c>
      <c r="V193" s="0" t="n">
        <f aca="false">-ATAN2(Fp2_u,A193)</f>
        <v>-0.212530861593083</v>
      </c>
      <c r="X193" s="0" t="n">
        <f aca="false">20*LOG(C193*J193*O193*Q193*F193*M193*S193*U193)</f>
        <v>45.9431513745734</v>
      </c>
      <c r="Y193" s="0" t="n">
        <f aca="false">(180/Pi)*(D193+H193+N193+P193+R193+T193+V193)</f>
        <v>-183.938749223979</v>
      </c>
      <c r="Z193" s="0" t="n">
        <f aca="false">Y193+180</f>
        <v>-3.93874922397907</v>
      </c>
      <c r="AC193" s="0" t="n">
        <v>1</v>
      </c>
      <c r="AD193" s="0" t="n">
        <f aca="false">Rcea1_u*Cc1ea_u*A193*2*Pi</f>
        <v>1.9421074434888</v>
      </c>
      <c r="AE193" s="0" t="n">
        <f aca="false">-Rcea1_u*Cc1ea_u*Cc2ea_u*(A193*2*Pi)^2</f>
        <v>-0.000145516254708897</v>
      </c>
      <c r="AF193" s="0" t="n">
        <f aca="false">(Cc2ea_u+Cc1ea_u)*A193*2*Pi</f>
        <v>0.0006743428623225</v>
      </c>
      <c r="AG193" s="0" t="n">
        <f aca="false">AC193*AE193/(AE193^2+AF193^2)+AD193*AF193/(AE193^2+AF193^2)</f>
        <v>2446.09700027682</v>
      </c>
      <c r="AH193" s="0" t="n">
        <f aca="false">AD193*AE193/(AE193^2+AF193^2)-AC193*AF193/(AE193^2+AF193^2)</f>
        <v>-2010.76774130142</v>
      </c>
      <c r="AJ193" s="0" t="n">
        <f aca="false">_Rfb1</f>
        <v>20000</v>
      </c>
      <c r="AK193" s="0" t="n">
        <f aca="false">_Rfb1*Rcea2_u*Cc3ea_u*A193*2*Pi</f>
        <v>117805.200481584</v>
      </c>
      <c r="AL193" s="0" t="n">
        <v>1</v>
      </c>
      <c r="AM193" s="0" t="n">
        <f aca="false">(_Rfb1+Rcea2_u)*Cc3ea_u*A193*2*Pi</f>
        <v>2203.74847796408</v>
      </c>
      <c r="AN193" s="0" t="n">
        <f aca="false">AJ193*AL193/(AL193^2+AM193^2)+AK193*AM193/(AL193^2+AM193^2)</f>
        <v>53.4608431254534</v>
      </c>
      <c r="AO193" s="0" t="n">
        <f aca="false">AK193*AL193/(AL193^2+AM193^2)-AJ193*AM193/(AL193^2+AM193^2)</f>
        <v>-9.05118681025797</v>
      </c>
      <c r="AQ193" s="0" t="n">
        <f aca="false">Eadcg/(1+(Eadcg*A193/GBP)^2)</f>
        <v>1.80035865851848</v>
      </c>
      <c r="AR193" s="0" t="n">
        <f aca="false">-(A193*Eadcg*Eadcg/GBP)/(1+(Eadcg*A193/GBP)^2)</f>
        <v>-75.4287265366196</v>
      </c>
      <c r="AT193" s="0" t="n">
        <f aca="false">-AR193*AH193+AG193*AQ193</f>
        <v>-147265.798173257</v>
      </c>
      <c r="AU193" s="0" t="n">
        <f aca="false">AQ193*AH193+AG193*AR193</f>
        <v>-188126.084829247</v>
      </c>
      <c r="AV193" s="0" t="n">
        <f aca="false">ATAN2(AT193,AU193)</f>
        <v>-2.2349634224434</v>
      </c>
      <c r="AW193" s="0" t="n">
        <f aca="false">AG193-AH193*AO193/_Rfb2+AG193*AN193/_Rfb2+AN193-AO193*AR193+AQ193*AN193</f>
        <v>1963.74379856637</v>
      </c>
      <c r="AX193" s="0" t="n">
        <f aca="false">AH193+AH193*AN193/_Rfb2+AG193*AO193/_Rfb2+AO193+AO193*AQ193+AN193*AR193</f>
        <v>-6126.93446604057</v>
      </c>
      <c r="AY193" s="0" t="n">
        <f aca="false">ATAN2(AW193,AX193)</f>
        <v>-1.26063081890429</v>
      </c>
      <c r="BA193" s="0" t="n">
        <f aca="false">SQRT(AT193^2+AU193^2)/SQRT(AW193^2+AX193^2)</f>
        <v>37.1329653165689</v>
      </c>
      <c r="BB193" s="0" t="n">
        <f aca="false">20*LOG(BA193)</f>
        <v>31.3951926388195</v>
      </c>
      <c r="BC193" s="0" t="n">
        <f aca="false">AV193-AY193</f>
        <v>-0.974332603539104</v>
      </c>
      <c r="BD193" s="0" t="n">
        <f aca="false">BC193*180/Pi-180</f>
        <v>-235.825146088573</v>
      </c>
      <c r="BF193" s="0" t="n">
        <f aca="false">20*LOG(BA193*J193*F193*C193)</f>
        <v>42.0102691123941</v>
      </c>
      <c r="BG193" s="0" t="n">
        <f aca="false">(180/Pi)*(D193+H193+BC193)</f>
        <v>-209.951965758483</v>
      </c>
      <c r="BH193" s="0" t="n">
        <f aca="false">IF(BG193&gt;180,BG193-180,BG193+180)</f>
        <v>-29.9519657584833</v>
      </c>
      <c r="BI193" s="0" t="n">
        <f aca="false">IF(BH193&gt;180,BH193-360,BH193)</f>
        <v>-29.9519657584833</v>
      </c>
      <c r="BJ193" s="0" t="n">
        <f aca="false">SUM((BF194&lt;0)*(BF193&gt;0))*A193</f>
        <v>0</v>
      </c>
      <c r="BK193" s="0" t="n">
        <f aca="false">IF(BJ193&gt;0,BI193,0)</f>
        <v>0</v>
      </c>
      <c r="BM193" s="0" t="n">
        <f aca="false">20*LOG(J193*F193*C193)</f>
        <v>10.6150764735747</v>
      </c>
      <c r="BN193" s="0" t="n">
        <f aca="false">(H193+D193)*180/Pi</f>
        <v>-154.12681966991</v>
      </c>
      <c r="BQ193" s="347" t="n">
        <f aca="false">20*LOG(BA193*7)</f>
        <v>48.2971534391046</v>
      </c>
      <c r="BR193" s="353"/>
      <c r="BS193" s="353"/>
      <c r="BT193" s="353" t="n">
        <v>6760.83</v>
      </c>
      <c r="BU193" s="353" t="n">
        <v>-0.0490191</v>
      </c>
      <c r="BV193" s="353" t="n">
        <v>-229.1</v>
      </c>
      <c r="BW193" s="349"/>
      <c r="BY193" s="353"/>
      <c r="BZ193" s="353"/>
      <c r="CA193" s="353"/>
      <c r="CC193" s="353"/>
    </row>
    <row r="194" customFormat="false" ht="12.75" hidden="false" customHeight="false" outlineLevel="0" collapsed="false">
      <c r="A194" s="0" t="n">
        <f aca="false">A193+500</f>
        <v>80000</v>
      </c>
      <c r="B194" s="0" t="n">
        <f aca="false">A194/1000</f>
        <v>80</v>
      </c>
      <c r="C194" s="0" t="n">
        <f aca="false">SQRT((A194/Fesr)^2+1)</f>
        <v>1.00000012633093</v>
      </c>
      <c r="D194" s="0" t="n">
        <f aca="false">ATAN(A194/Fesr)</f>
        <v>0.000502654781666104</v>
      </c>
      <c r="F194" s="0" t="n">
        <f aca="false">(Ro/(Ro+Rdcr))/SQRT((A194/(Q*Fo))^2+(1-(A194^2/Fo^2))^2)</f>
        <v>0.371302654278921</v>
      </c>
      <c r="G194" s="0" t="n">
        <f aca="false">-ATAN(A194*Fo/(Q*(Fo^2-A194^2)))</f>
        <v>0.446570069272201</v>
      </c>
      <c r="H194" s="0" t="n">
        <f aca="false">IF(G194&gt;0,G194-Pi,G194)</f>
        <v>-2.6950225807278</v>
      </c>
      <c r="J194" s="0" t="n">
        <f aca="false">Vin/Vramp</f>
        <v>9</v>
      </c>
      <c r="M194" s="0" t="n">
        <f aca="false">1/(2*Pi*_Rfb1*(Cc1ea_u+Cc2ea_u)*A194)</f>
        <v>0.0736828441082205</v>
      </c>
      <c r="N194" s="0" t="n">
        <f aca="false">-Pi/2</f>
        <v>-1.570796325</v>
      </c>
      <c r="O194" s="0" t="n">
        <f aca="false">SQRT(1+(A194/Fz1_u)^2)</f>
        <v>2.19530733761311</v>
      </c>
      <c r="P194" s="0" t="n">
        <f aca="false">ATAN2(Fz1_u,A194)</f>
        <v>1.09784335226206</v>
      </c>
      <c r="Q194" s="0" t="n">
        <f aca="false">SQRT(1+(A194/Fz2_u)^2)</f>
        <v>2217.6087567527</v>
      </c>
      <c r="R194" s="0" t="n">
        <f aca="false">ATAN2(Fz2_u,A194)</f>
        <v>1.57034539060931</v>
      </c>
      <c r="S194" s="0" t="n">
        <f aca="false">1/SQRT(1+(A194/Fp1_u)^2)</f>
        <v>0.166359755671643</v>
      </c>
      <c r="T194" s="0" t="n">
        <f aca="false">-ATAN2(Fp1_u,A194)</f>
        <v>-1.40365950395225</v>
      </c>
      <c r="U194" s="0" t="n">
        <f aca="false">1/SQRT(1+(A194/Fp2_u)^2)</f>
        <v>0.977225918898159</v>
      </c>
      <c r="V194" s="0" t="n">
        <f aca="false">-ATAN2(Fp2_u,A194)</f>
        <v>-0.21382728114661</v>
      </c>
      <c r="X194" s="0" t="n">
        <f aca="false">20*LOG(C194*J194*O194*Q194*F194*M194*S194*U194)</f>
        <v>45.7952101404541</v>
      </c>
      <c r="Y194" s="0" t="n">
        <f aca="false">(180/Pi)*(D194+H194+N194+P194+R194+T194+V194)</f>
        <v>-184.18383197174</v>
      </c>
      <c r="Z194" s="0" t="n">
        <f aca="false">Y194+180</f>
        <v>-4.18383197174001</v>
      </c>
      <c r="AC194" s="0" t="n">
        <v>1</v>
      </c>
      <c r="AD194" s="0" t="n">
        <f aca="false">Rcea1_u*Cc1ea_u*A194*2*Pi</f>
        <v>1.954321955712</v>
      </c>
      <c r="AE194" s="0" t="n">
        <f aca="false">-Rcea1_u*Cc1ea_u*Cc2ea_u*(A194*2*Pi)^2</f>
        <v>-0.000147352403803163</v>
      </c>
      <c r="AF194" s="0" t="n">
        <f aca="false">(Cc2ea_u+Cc1ea_u)*A194*2*Pi</f>
        <v>0.0006785840124</v>
      </c>
      <c r="AG194" s="0" t="n">
        <f aca="false">AC194*AE194/(AE194^2+AF194^2)+AD194*AF194/(AE194^2+AF194^2)</f>
        <v>2444.72447120986</v>
      </c>
      <c r="AH194" s="0" t="n">
        <f aca="false">AD194*AE194/(AE194^2+AF194^2)-AC194*AF194/(AE194^2+AF194^2)</f>
        <v>-2004.52118324795</v>
      </c>
      <c r="AJ194" s="0" t="n">
        <f aca="false">_Rfb1</f>
        <v>20000</v>
      </c>
      <c r="AK194" s="0" t="n">
        <f aca="false">_Rfb1*Rcea2_u*Cc3ea_u*A194*2*Pi</f>
        <v>118546.11369216</v>
      </c>
      <c r="AL194" s="0" t="n">
        <v>1</v>
      </c>
      <c r="AM194" s="0" t="n">
        <f aca="false">(_Rfb1+Rcea2_u)*Cc3ea_u*A194*2*Pi</f>
        <v>2217.60853128461</v>
      </c>
      <c r="AN194" s="0" t="n">
        <f aca="false">AJ194*AL194/(AL194^2+AM194^2)+AK194*AM194/(AL194^2+AM194^2)</f>
        <v>53.460791946178</v>
      </c>
      <c r="AO194" s="0" t="n">
        <f aca="false">AK194*AL194/(AL194^2+AM194^2)-AJ194*AM194/(AL194^2+AM194^2)</f>
        <v>-8.99461691577245</v>
      </c>
      <c r="AQ194" s="0" t="n">
        <f aca="false">Eadcg/(1+(Eadcg*A194/GBP)^2)</f>
        <v>1.77793711612977</v>
      </c>
      <c r="AR194" s="0" t="n">
        <f aca="false">-(A194*Eadcg*Eadcg/GBP)/(1+(Eadcg*A194/GBP)^2)</f>
        <v>-74.9578288160311</v>
      </c>
      <c r="AT194" s="0" t="n">
        <f aca="false">-AR194*AH194+AG194*AQ194</f>
        <v>-145907.989335933</v>
      </c>
      <c r="AU194" s="0" t="n">
        <f aca="false">AQ194*AH194+AG194*AR194</f>
        <v>-186815.151027076</v>
      </c>
      <c r="AV194" s="0" t="n">
        <f aca="false">ATAN2(AT194,AU194)</f>
        <v>-2.2338618640126</v>
      </c>
      <c r="AW194" s="0" t="n">
        <f aca="false">AG194-AH194*AO194/_Rfb2+AG194*AN194/_Rfb2+AN194-AO194*AR194+AQ194*AN194</f>
        <v>1969.71838715679</v>
      </c>
      <c r="AX194" s="0" t="n">
        <f aca="false">AH194+AH194*AN194/_Rfb2+AG194*AO194/_Rfb2+AO194+AO194*AQ194+AN194*AR194</f>
        <v>-6094.93124700032</v>
      </c>
      <c r="AY194" s="0" t="n">
        <f aca="false">ATAN2(AW194,AX194)</f>
        <v>-1.25821759915048</v>
      </c>
      <c r="BA194" s="0" t="n">
        <f aca="false">SQRT(AT194^2+AU194^2)/SQRT(AW194^2+AX194^2)</f>
        <v>37.0071601765986</v>
      </c>
      <c r="BB194" s="0" t="n">
        <f aca="false">20*LOG(BA194)</f>
        <v>31.3657151971995</v>
      </c>
      <c r="BC194" s="0" t="n">
        <f aca="false">AV194-AY194</f>
        <v>-0.975644264862119</v>
      </c>
      <c r="BD194" s="0" t="n">
        <f aca="false">BC194*180/Pi-180</f>
        <v>-235.900298746619</v>
      </c>
      <c r="BF194" s="0" t="n">
        <f aca="false">20*LOG(BA194*J194*F194*C194)</f>
        <v>41.8451275596219</v>
      </c>
      <c r="BG194" s="0" t="n">
        <f aca="false">(180/Pi)*(D194+H194+BC194)</f>
        <v>-210.284918493645</v>
      </c>
      <c r="BH194" s="0" t="n">
        <f aca="false">IF(BG194&gt;180,BG194-180,BG194+180)</f>
        <v>-30.2849184936454</v>
      </c>
      <c r="BI194" s="0" t="n">
        <f aca="false">IF(BH194&gt;180,BH194-360,BH194)</f>
        <v>-30.2849184936454</v>
      </c>
      <c r="BJ194" s="0" t="n">
        <f aca="false">SUM((BF195&lt;0)*(BF194&gt;0))*A194</f>
        <v>0</v>
      </c>
      <c r="BK194" s="0" t="n">
        <f aca="false">IF(BJ194&gt;0,BI194,0)</f>
        <v>0</v>
      </c>
      <c r="BM194" s="0" t="n">
        <f aca="false">20*LOG(J194*F194*C194)</f>
        <v>10.4794123624224</v>
      </c>
      <c r="BN194" s="0" t="n">
        <f aca="false">(H194+D194)*180/Pi</f>
        <v>-154.384619747027</v>
      </c>
      <c r="BQ194" s="347" t="n">
        <f aca="false">20*LOG(BA194*7)</f>
        <v>48.2676759974847</v>
      </c>
      <c r="BR194" s="353"/>
      <c r="BS194" s="353"/>
      <c r="BT194" s="353" t="n">
        <v>6918.31</v>
      </c>
      <c r="BU194" s="353" t="n">
        <v>-0.217983</v>
      </c>
      <c r="BV194" s="353" t="n">
        <v>-228.376</v>
      </c>
      <c r="BW194" s="349"/>
      <c r="BY194" s="353"/>
      <c r="BZ194" s="353"/>
      <c r="CA194" s="353"/>
      <c r="CC194" s="353"/>
    </row>
    <row r="195" customFormat="false" ht="12.75" hidden="false" customHeight="false" outlineLevel="0" collapsed="false">
      <c r="A195" s="0" t="n">
        <f aca="false">A194+500</f>
        <v>80500</v>
      </c>
      <c r="B195" s="0" t="n">
        <f aca="false">A195/1000</f>
        <v>80.5</v>
      </c>
      <c r="C195" s="0" t="n">
        <f aca="false">SQRT((A195/Fesr)^2+1)</f>
        <v>1.000000127915</v>
      </c>
      <c r="D195" s="0" t="n">
        <f aca="false">ATAN(A195/Fesr)</f>
        <v>0.000505796373517372</v>
      </c>
      <c r="F195" s="0" t="n">
        <f aca="false">(Ro/(Ro+Rdcr))/SQRT((A195/(Q*Fo))^2+(1-(A195^2/Fo^2))^2)</f>
        <v>0.365596667626221</v>
      </c>
      <c r="G195" s="0" t="n">
        <f aca="false">-ATAN(A195*Fo/(Q*(Fo^2-A195^2)))</f>
        <v>0.442162975044862</v>
      </c>
      <c r="H195" s="0" t="n">
        <f aca="false">IF(G195&gt;0,G195-Pi,G195)</f>
        <v>-2.69942967495514</v>
      </c>
      <c r="J195" s="0" t="n">
        <f aca="false">Vin/Vramp</f>
        <v>9</v>
      </c>
      <c r="M195" s="0" t="n">
        <f aca="false">1/(2*Pi*_Rfb1*(Cc1ea_u+Cc2ea_u)*A195)</f>
        <v>0.0732251866913993</v>
      </c>
      <c r="N195" s="0" t="n">
        <f aca="false">-Pi/2</f>
        <v>-1.570796325</v>
      </c>
      <c r="O195" s="0" t="n">
        <f aca="false">SQRT(1+(A195/Fz1_u)^2)</f>
        <v>2.20618804269243</v>
      </c>
      <c r="P195" s="0" t="n">
        <f aca="false">ATAN2(Fz1_u,A195)</f>
        <v>1.10036531539391</v>
      </c>
      <c r="Q195" s="0" t="n">
        <f aca="false">SQRT(1+(A195/Fz2_u)^2)</f>
        <v>2231.46880867281</v>
      </c>
      <c r="R195" s="0" t="n">
        <f aca="false">ATAN2(Fz2_u,A195)</f>
        <v>1.57034819145481</v>
      </c>
      <c r="S195" s="0" t="n">
        <f aca="false">1/SQRT(1+(A195/Fp1_u)^2)</f>
        <v>0.165354803568347</v>
      </c>
      <c r="T195" s="0" t="n">
        <f aca="false">-ATAN2(Fp1_u,A195)</f>
        <v>-1.4046785704107</v>
      </c>
      <c r="U195" s="0" t="n">
        <f aca="false">1/SQRT(1+(A195/Fp2_u)^2)</f>
        <v>0.976950151232451</v>
      </c>
      <c r="V195" s="0" t="n">
        <f aca="false">-ATAN2(Fp2_u,A195)</f>
        <v>-0.215122971192153</v>
      </c>
      <c r="X195" s="0" t="n">
        <f aca="false">20*LOG(C195*J195*O195*Q195*F195*M195*S195*U195)</f>
        <v>45.6485569683921</v>
      </c>
      <c r="Y195" s="0" t="n">
        <f aca="false">(180/Pi)*(D195+H195+N195+P195+R195+T195+V195)</f>
        <v>-184.424127329314</v>
      </c>
      <c r="Z195" s="0" t="n">
        <f aca="false">Y195+180</f>
        <v>-4.42412732931362</v>
      </c>
      <c r="AC195" s="0" t="n">
        <v>1</v>
      </c>
      <c r="AD195" s="0" t="n">
        <f aca="false">Rcea1_u*Cc1ea_u*A195*2*Pi</f>
        <v>1.9665364679352</v>
      </c>
      <c r="AE195" s="0" t="n">
        <f aca="false">-Rcea1_u*Cc1ea_u*Cc2ea_u*(A195*2*Pi)^2</f>
        <v>-0.000149200064803976</v>
      </c>
      <c r="AF195" s="0" t="n">
        <f aca="false">(Cc2ea_u+Cc1ea_u)*A195*2*Pi</f>
        <v>0.0006828251624775</v>
      </c>
      <c r="AG195" s="0" t="n">
        <f aca="false">AC195*AE195/(AE195^2+AF195^2)+AD195*AF195/(AE195^2+AF195^2)</f>
        <v>2443.34489086236</v>
      </c>
      <c r="AH195" s="0" t="n">
        <f aca="false">AD195*AE195/(AE195^2+AF195^2)-AC195*AF195/(AE195^2+AF195^2)</f>
        <v>-1998.38449289732</v>
      </c>
      <c r="AJ195" s="0" t="n">
        <f aca="false">_Rfb1</f>
        <v>20000</v>
      </c>
      <c r="AK195" s="0" t="n">
        <f aca="false">_Rfb1*Rcea2_u*Cc3ea_u*A195*2*Pi</f>
        <v>119287.026902736</v>
      </c>
      <c r="AL195" s="0" t="n">
        <v>1</v>
      </c>
      <c r="AM195" s="0" t="n">
        <f aca="false">(_Rfb1+Rcea2_u)*Cc3ea_u*A195*2*Pi</f>
        <v>2231.46858460514</v>
      </c>
      <c r="AN195" s="0" t="n">
        <f aca="false">AJ195*AL195/(AL195^2+AM195^2)+AK195*AM195/(AL195^2+AM195^2)</f>
        <v>53.4607417175887</v>
      </c>
      <c r="AO195" s="0" t="n">
        <f aca="false">AK195*AL195/(AL195^2+AM195^2)-AJ195*AM195/(AL195^2+AM195^2)</f>
        <v>-8.9387497524694</v>
      </c>
      <c r="AQ195" s="0" t="n">
        <f aca="false">Eadcg/(1+(Eadcg*A195/GBP)^2)</f>
        <v>1.75593175825504</v>
      </c>
      <c r="AR195" s="0" t="n">
        <f aca="false">-(A195*Eadcg*Eadcg/GBP)/(1+(Eadcg*A195/GBP)^2)</f>
        <v>-74.4927709463327</v>
      </c>
      <c r="AT195" s="0" t="n">
        <f aca="false">-AR195*AH195+AG195*AQ195</f>
        <v>-144574.851401868</v>
      </c>
      <c r="AU195" s="0" t="n">
        <f aca="false">AQ195*AH195+AG195*AR195</f>
        <v>-185520.558094185</v>
      </c>
      <c r="AV195" s="0" t="n">
        <f aca="false">ATAN2(AT195,AU195)</f>
        <v>-2.2327828326085</v>
      </c>
      <c r="AW195" s="0" t="n">
        <f aca="false">AG195-AH195*AO195/_Rfb2+AG195*AN195/_Rfb2+AN195-AO195*AR195+AQ195*AN195</f>
        <v>1975.54879598521</v>
      </c>
      <c r="AX195" s="0" t="n">
        <f aca="false">AH195+AH195*AN195/_Rfb2+AG195*AO195/_Rfb2+AO195+AO195*AQ195+AN195*AR195</f>
        <v>-6063.36186920316</v>
      </c>
      <c r="AY195" s="0" t="n">
        <f aca="false">ATAN2(AW195,AX195)</f>
        <v>-1.25582529561759</v>
      </c>
      <c r="BA195" s="0" t="n">
        <f aca="false">SQRT(AT195^2+AU195^2)/SQRT(AW195^2+AX195^2)</f>
        <v>36.8823252942472</v>
      </c>
      <c r="BB195" s="0" t="n">
        <f aca="false">20*LOG(BA195)</f>
        <v>31.336365878123</v>
      </c>
      <c r="BC195" s="0" t="n">
        <f aca="false">AV195-AY195</f>
        <v>-0.976957536990909</v>
      </c>
      <c r="BD195" s="0" t="n">
        <f aca="false">BC195*180/Pi-180</f>
        <v>-235.975543697036</v>
      </c>
      <c r="BF195" s="0" t="n">
        <f aca="false">20*LOG(BA195*J195*F195*C195)</f>
        <v>41.6812617486243</v>
      </c>
      <c r="BG195" s="0" t="n">
        <f aca="false">(180/Pi)*(D195+H195+BC195)</f>
        <v>-210.61249134354</v>
      </c>
      <c r="BH195" s="0" t="n">
        <f aca="false">IF(BG195&gt;180,BG195-180,BG195+180)</f>
        <v>-30.6124913435404</v>
      </c>
      <c r="BI195" s="0" t="n">
        <f aca="false">IF(BH195&gt;180,BH195-360,BH195)</f>
        <v>-30.6124913435404</v>
      </c>
      <c r="BJ195" s="0" t="n">
        <f aca="false">SUM((BF196&lt;0)*(BF195&gt;0))*A195</f>
        <v>0</v>
      </c>
      <c r="BK195" s="0" t="n">
        <f aca="false">IF(BJ195&gt;0,BI195,0)</f>
        <v>0</v>
      </c>
      <c r="BM195" s="0" t="n">
        <f aca="false">20*LOG(J195*F195*C195)</f>
        <v>10.3448958705013</v>
      </c>
      <c r="BN195" s="0" t="n">
        <f aca="false">(H195+D195)*180/Pi</f>
        <v>-154.636947646504</v>
      </c>
      <c r="BQ195" s="347" t="n">
        <f aca="false">20*LOG(BA195*7)</f>
        <v>48.2383266784081</v>
      </c>
      <c r="BR195" s="353"/>
      <c r="BS195" s="353"/>
      <c r="BT195" s="353" t="n">
        <v>7079.458</v>
      </c>
      <c r="BU195" s="353" t="n">
        <v>-0.384014</v>
      </c>
      <c r="BV195" s="353" t="n">
        <v>-227.044</v>
      </c>
      <c r="BW195" s="349"/>
      <c r="BY195" s="353"/>
      <c r="BZ195" s="353"/>
      <c r="CA195" s="353"/>
      <c r="CC195" s="353"/>
    </row>
    <row r="196" customFormat="false" ht="12.75" hidden="false" customHeight="false" outlineLevel="0" collapsed="false">
      <c r="A196" s="0" t="n">
        <f aca="false">A195+500</f>
        <v>81000</v>
      </c>
      <c r="B196" s="0" t="n">
        <f aca="false">A196/1000</f>
        <v>81</v>
      </c>
      <c r="C196" s="0" t="n">
        <f aca="false">SQRT((A196/Fesr)^2+1)</f>
        <v>1.00000012950894</v>
      </c>
      <c r="D196" s="0" t="n">
        <f aca="false">ATAN(A196/Fesr)</f>
        <v>0.000508937965358656</v>
      </c>
      <c r="F196" s="0" t="n">
        <f aca="false">(Ro/(Ro+Rdcr))/SQRT((A196/(Q*Fo))^2+(1-(A196^2/Fo^2))^2)</f>
        <v>0.360025199566206</v>
      </c>
      <c r="G196" s="0" t="n">
        <f aca="false">-ATAN(A196*Fo/(Q*(Fo^2-A196^2)))</f>
        <v>0.43784837354616</v>
      </c>
      <c r="H196" s="0" t="n">
        <f aca="false">IF(G196&gt;0,G196-Pi,G196)</f>
        <v>-2.70374427645384</v>
      </c>
      <c r="J196" s="0" t="n">
        <f aca="false">Vin/Vramp</f>
        <v>9</v>
      </c>
      <c r="M196" s="0" t="n">
        <f aca="false">1/(2*Pi*_Rfb1*(Cc1ea_u+Cc2ea_u)*A196)</f>
        <v>0.0727731793661437</v>
      </c>
      <c r="N196" s="0" t="n">
        <f aca="false">-Pi/2</f>
        <v>-1.570796325</v>
      </c>
      <c r="O196" s="0" t="n">
        <f aca="false">SQRT(1+(A196/Fz1_u)^2)</f>
        <v>2.21708264200454</v>
      </c>
      <c r="P196" s="0" t="n">
        <f aca="false">ATAN2(Fz1_u,A196)</f>
        <v>1.10286250875465</v>
      </c>
      <c r="Q196" s="0" t="n">
        <f aca="false">SQRT(1+(A196/Fz2_u)^2)</f>
        <v>2245.32886061021</v>
      </c>
      <c r="R196" s="0" t="n">
        <f aca="false">ATAN2(Fz2_u,A196)</f>
        <v>1.57035095772197</v>
      </c>
      <c r="S196" s="0" t="n">
        <f aca="false">1/SQRT(1+(A196/Fp1_u)^2)</f>
        <v>0.16436175243698</v>
      </c>
      <c r="T196" s="0" t="n">
        <f aca="false">-ATAN2(Fp1_u,A196)</f>
        <v>-1.40568539773856</v>
      </c>
      <c r="U196" s="0" t="n">
        <f aca="false">1/SQRT(1+(A196/Fp2_u)^2)</f>
        <v>0.976672900901195</v>
      </c>
      <c r="V196" s="0" t="n">
        <f aca="false">-ATAN2(Fp2_u,A196)</f>
        <v>-0.216417927998533</v>
      </c>
      <c r="X196" s="0" t="n">
        <f aca="false">20*LOG(C196*J196*O196*Q196*F196*M196*S196*U196)</f>
        <v>45.5031711184102</v>
      </c>
      <c r="Y196" s="0" t="n">
        <f aca="false">(180/Pi)*(D196+H196+N196+P196+R196+T196+V196)</f>
        <v>-184.659801166396</v>
      </c>
      <c r="Z196" s="0" t="n">
        <f aca="false">Y196+180</f>
        <v>-4.65980116639648</v>
      </c>
      <c r="AC196" s="0" t="n">
        <v>1</v>
      </c>
      <c r="AD196" s="0" t="n">
        <f aca="false">Rcea1_u*Cc1ea_u*A196*2*Pi</f>
        <v>1.9787509801584</v>
      </c>
      <c r="AE196" s="0" t="n">
        <f aca="false">-Rcea1_u*Cc1ea_u*Cc2ea_u*(A196*2*Pi)^2</f>
        <v>-0.000151059237711336</v>
      </c>
      <c r="AF196" s="0" t="n">
        <f aca="false">(Cc2ea_u+Cc1ea_u)*A196*2*Pi</f>
        <v>0.000687066312555</v>
      </c>
      <c r="AG196" s="0" t="n">
        <f aca="false">AC196*AE196/(AE196^2+AF196^2)+AD196*AF196/(AE196^2+AF196^2)</f>
        <v>2441.95828570817</v>
      </c>
      <c r="AH196" s="0" t="n">
        <f aca="false">AD196*AE196/(AE196^2+AF196^2)-AC196*AF196/(AE196^2+AF196^2)</f>
        <v>-1992.35551525076</v>
      </c>
      <c r="AJ196" s="0" t="n">
        <f aca="false">_Rfb1</f>
        <v>20000</v>
      </c>
      <c r="AK196" s="0" t="n">
        <f aca="false">_Rfb1*Rcea2_u*Cc3ea_u*A196*2*Pi</f>
        <v>120027.940113312</v>
      </c>
      <c r="AL196" s="0" t="n">
        <v>1</v>
      </c>
      <c r="AM196" s="0" t="n">
        <f aca="false">(_Rfb1+Rcea2_u)*Cc3ea_u*A196*2*Pi</f>
        <v>2245.32863792567</v>
      </c>
      <c r="AN196" s="0" t="n">
        <f aca="false">AJ196*AL196/(AL196^2+AM196^2)+AK196*AM196/(AL196^2+AM196^2)</f>
        <v>53.4606924162844</v>
      </c>
      <c r="AO196" s="0" t="n">
        <f aca="false">AK196*AL196/(AL196^2+AM196^2)-AJ196*AM196/(AL196^2+AM196^2)</f>
        <v>-8.88357230681884</v>
      </c>
      <c r="AQ196" s="0" t="n">
        <f aca="false">Eadcg/(1+(Eadcg*A196/GBP)^2)</f>
        <v>1.73433234994038</v>
      </c>
      <c r="AR196" s="0" t="n">
        <f aca="false">-(A196*Eadcg*Eadcg/GBP)/(1+(Eadcg*A196/GBP)^2)</f>
        <v>-74.033445021905</v>
      </c>
      <c r="AT196" s="0" t="n">
        <f aca="false">-AR196*AH196+AG196*AQ196</f>
        <v>-143265.775250298</v>
      </c>
      <c r="AU196" s="0" t="n">
        <f aca="false">AQ196*AH196+AG196*AR196</f>
        <v>-184241.991113443</v>
      </c>
      <c r="AV196" s="0" t="n">
        <f aca="false">ATAN2(AT196,AU196)</f>
        <v>-2.23172602094106</v>
      </c>
      <c r="AW196" s="0" t="n">
        <f aca="false">AG196-AH196*AO196/_Rfb2+AG196*AN196/_Rfb2+AN196-AO196*AR196+AQ196*AN196</f>
        <v>1981.2384203935</v>
      </c>
      <c r="AX196" s="0" t="n">
        <f aca="false">AH196+AH196*AN196/_Rfb2+AG196*AO196/_Rfb2+AO196+AO196*AQ196+AN196*AR196</f>
        <v>-6032.21809550001</v>
      </c>
      <c r="AY196" s="0" t="n">
        <f aca="false">ATAN2(AW196,AX196)</f>
        <v>-1.25345371811287</v>
      </c>
      <c r="BA196" s="0" t="n">
        <f aca="false">SQRT(AT196^2+AU196^2)/SQRT(AW196^2+AX196^2)</f>
        <v>36.7584433312014</v>
      </c>
      <c r="BB196" s="0" t="n">
        <f aca="false">20*LOG(BA196)</f>
        <v>31.3071422267602</v>
      </c>
      <c r="BC196" s="0" t="n">
        <f aca="false">AV196-AY196</f>
        <v>-0.978272302828192</v>
      </c>
      <c r="BD196" s="0" t="n">
        <f aca="false">BC196*180/Pi-180</f>
        <v>-236.050874230647</v>
      </c>
      <c r="BF196" s="0" t="n">
        <f aca="false">20*LOG(BA196*J196*F196*C196)</f>
        <v>41.5186515363223</v>
      </c>
      <c r="BG196" s="0" t="n">
        <f aca="false">(180/Pi)*(D196+H196+BC196)</f>
        <v>-210.934850333636</v>
      </c>
      <c r="BH196" s="0" t="n">
        <f aca="false">IF(BG196&gt;180,BG196-180,BG196+180)</f>
        <v>-30.9348503336361</v>
      </c>
      <c r="BI196" s="0" t="n">
        <f aca="false">IF(BH196&gt;180,BH196-360,BH196)</f>
        <v>-30.9348503336361</v>
      </c>
      <c r="BJ196" s="0" t="n">
        <f aca="false">SUM((BF197&lt;0)*(BF196&gt;0))*A196</f>
        <v>0</v>
      </c>
      <c r="BK196" s="0" t="n">
        <f aca="false">IF(BJ196&gt;0,BI196,0)</f>
        <v>0</v>
      </c>
      <c r="BM196" s="0" t="n">
        <f aca="false">20*LOG(J196*F196*C196)</f>
        <v>10.2115093095621</v>
      </c>
      <c r="BN196" s="0" t="n">
        <f aca="false">(H196+D196)*180/Pi</f>
        <v>-154.883976102989</v>
      </c>
      <c r="BQ196" s="347" t="n">
        <f aca="false">20*LOG(BA196*7)</f>
        <v>48.2091030270453</v>
      </c>
      <c r="BR196" s="353"/>
      <c r="BS196" s="353"/>
      <c r="BT196" s="353" t="n">
        <v>7244.36</v>
      </c>
      <c r="BU196" s="353" t="n">
        <v>-0.57486</v>
      </c>
      <c r="BV196" s="353" t="n">
        <v>-226.239</v>
      </c>
      <c r="BW196" s="349"/>
      <c r="BY196" s="353"/>
      <c r="BZ196" s="353"/>
      <c r="CA196" s="353"/>
      <c r="CC196" s="353"/>
    </row>
    <row r="197" customFormat="false" ht="12.75" hidden="false" customHeight="false" outlineLevel="0" collapsed="false">
      <c r="A197" s="0" t="n">
        <f aca="false">A196+500</f>
        <v>81500</v>
      </c>
      <c r="B197" s="0" t="n">
        <f aca="false">A197/1000</f>
        <v>81.5</v>
      </c>
      <c r="C197" s="0" t="n">
        <f aca="false">SQRT((A197/Fesr)^2+1)</f>
        <v>1.00000013111275</v>
      </c>
      <c r="D197" s="0" t="n">
        <f aca="false">ATAN(A197/Fesr)</f>
        <v>0.000512079557189894</v>
      </c>
      <c r="F197" s="0" t="n">
        <f aca="false">(Ro/(Ro+Rdcr))/SQRT((A197/(Q*Fo))^2+(1-(A197^2/Fo^2))^2)</f>
        <v>0.35458405071881</v>
      </c>
      <c r="G197" s="0" t="n">
        <f aca="false">-ATAN(A197*Fo/(Q*(Fo^2-A197^2)))</f>
        <v>0.433623372051001</v>
      </c>
      <c r="H197" s="0" t="n">
        <f aca="false">IF(G197&gt;0,G197-Pi,G197)</f>
        <v>-2.707969277949</v>
      </c>
      <c r="J197" s="0" t="n">
        <f aca="false">Vin/Vramp</f>
        <v>9</v>
      </c>
      <c r="M197" s="0" t="n">
        <f aca="false">1/(2*Pi*_Rfb1*(Cc1ea_u+Cc2ea_u)*A197)</f>
        <v>0.0723267181430386</v>
      </c>
      <c r="N197" s="0" t="n">
        <f aca="false">-Pi/2</f>
        <v>-1.570796325</v>
      </c>
      <c r="O197" s="0" t="n">
        <f aca="false">SQRT(1+(A197/Fz1_u)^2)</f>
        <v>2.22799093172623</v>
      </c>
      <c r="P197" s="0" t="n">
        <f aca="false">ATAN2(Fz1_u,A197)</f>
        <v>1.10533526478915</v>
      </c>
      <c r="Q197" s="0" t="n">
        <f aca="false">SQRT(1+(A197/Fz2_u)^2)</f>
        <v>2259.18891256457</v>
      </c>
      <c r="R197" s="0" t="n">
        <f aca="false">ATAN2(Fz2_u,A197)</f>
        <v>1.57035369004722</v>
      </c>
      <c r="S197" s="0" t="n">
        <f aca="false">1/SQRT(1+(A197/Fp1_u)^2)</f>
        <v>0.163380395127621</v>
      </c>
      <c r="T197" s="0" t="n">
        <f aca="false">-ATAN2(Fp1_u,A197)</f>
        <v>-1.40668020310522</v>
      </c>
      <c r="U197" s="0" t="n">
        <f aca="false">1/SQRT(1+(A197/Fp2_u)^2)</f>
        <v>0.976394171954684</v>
      </c>
      <c r="V197" s="0" t="n">
        <f aca="false">-ATAN2(Fp2_u,A197)</f>
        <v>-0.217712147848631</v>
      </c>
      <c r="X197" s="0" t="n">
        <f aca="false">20*LOG(C197*J197*O197*Q197*F197*M197*S197*U197)</f>
        <v>45.3590322002066</v>
      </c>
      <c r="Y197" s="0" t="n">
        <f aca="false">(180/Pi)*(D197+H197+N197+P197+R197+T197+V197)</f>
        <v>-184.891012369689</v>
      </c>
      <c r="Z197" s="0" t="n">
        <f aca="false">Y197+180</f>
        <v>-4.89101236968892</v>
      </c>
      <c r="AC197" s="0" t="n">
        <v>1</v>
      </c>
      <c r="AD197" s="0" t="n">
        <f aca="false">Rcea1_u*Cc1ea_u*A197*2*Pi</f>
        <v>1.9909654923816</v>
      </c>
      <c r="AE197" s="0" t="n">
        <f aca="false">-Rcea1_u*Cc1ea_u*Cc2ea_u*(A197*2*Pi)^2</f>
        <v>-0.000152929922525243</v>
      </c>
      <c r="AF197" s="0" t="n">
        <f aca="false">(Cc2ea_u+Cc1ea_u)*A197*2*Pi</f>
        <v>0.0006913074626325</v>
      </c>
      <c r="AG197" s="0" t="n">
        <f aca="false">AC197*AE197/(AE197^2+AF197^2)+AD197*AF197/(AE197^2+AF197^2)</f>
        <v>2440.56468230931</v>
      </c>
      <c r="AH197" s="0" t="n">
        <f aca="false">AD197*AE197/(AE197^2+AF197^2)-AC197*AF197/(AE197^2+AF197^2)</f>
        <v>-1986.43214779445</v>
      </c>
      <c r="AJ197" s="0" t="n">
        <f aca="false">_Rfb1</f>
        <v>20000</v>
      </c>
      <c r="AK197" s="0" t="n">
        <f aca="false">_Rfb1*Rcea2_u*Cc3ea_u*A197*2*Pi</f>
        <v>120768.853323888</v>
      </c>
      <c r="AL197" s="0" t="n">
        <v>1</v>
      </c>
      <c r="AM197" s="0" t="n">
        <f aca="false">(_Rfb1+Rcea2_u)*Cc3ea_u*A197*2*Pi</f>
        <v>2259.18869124619</v>
      </c>
      <c r="AN197" s="0" t="n">
        <f aca="false">AJ197*AL197/(AL197^2+AM197^2)+AK197*AM197/(AL197^2+AM197^2)</f>
        <v>53.4606440195796</v>
      </c>
      <c r="AO197" s="0" t="n">
        <f aca="false">AK197*AL197/(AL197^2+AM197^2)-AJ197*AM197/(AL197^2+AM197^2)</f>
        <v>-8.82907188464089</v>
      </c>
      <c r="AQ197" s="0" t="n">
        <f aca="false">Eadcg/(1+(Eadcg*A197/GBP)^2)</f>
        <v>1.71312896887906</v>
      </c>
      <c r="AR197" s="0" t="n">
        <f aca="false">-(A197*Eadcg*Eadcg/GBP)/(1+(Eadcg*A197/GBP)^2)</f>
        <v>-73.5797457778401</v>
      </c>
      <c r="AT197" s="0" t="n">
        <f aca="false">-AR197*AH197+AG197*AQ197</f>
        <v>-141980.170381957</v>
      </c>
      <c r="AU197" s="0" t="n">
        <f aca="false">AQ197*AH197+AG197*AR197</f>
        <v>-182979.143335793</v>
      </c>
      <c r="AV197" s="0" t="n">
        <f aca="false">ATAN2(AT197,AU197)</f>
        <v>-2.23069112626187</v>
      </c>
      <c r="AW197" s="0" t="n">
        <f aca="false">AG197-AH197*AO197/_Rfb2+AG197*AN197/_Rfb2+AN197-AO197*AR197+AQ197*AN197</f>
        <v>1986.790552925</v>
      </c>
      <c r="AX197" s="0" t="n">
        <f aca="false">AH197+AH197*AN197/_Rfb2+AG197*AO197/_Rfb2+AO197+AO197*AQ197+AN197*AR197</f>
        <v>-6001.49189289694</v>
      </c>
      <c r="AY197" s="0" t="n">
        <f aca="false">ATAN2(AW197,AX197)</f>
        <v>-1.25110267943226</v>
      </c>
      <c r="BA197" s="0" t="n">
        <f aca="false">SQRT(AT197^2+AU197^2)/SQRT(AW197^2+AX197^2)</f>
        <v>36.6354974527514</v>
      </c>
      <c r="BB197" s="0" t="n">
        <f aca="false">20*LOG(BA197)</f>
        <v>31.2780418590963</v>
      </c>
      <c r="BC197" s="0" t="n">
        <f aca="false">AV197-AY197</f>
        <v>-0.979588446829608</v>
      </c>
      <c r="BD197" s="0" t="n">
        <f aca="false">BC197*180/Pi-180</f>
        <v>-236.126283727246</v>
      </c>
      <c r="BF197" s="0" t="n">
        <f aca="false">20*LOG(BA197*J197*F197*C197)</f>
        <v>41.3572771272631</v>
      </c>
      <c r="BG197" s="0" t="n">
        <f aca="false">(180/Pi)*(D197+H197+BC197)</f>
        <v>-211.252154584667</v>
      </c>
      <c r="BH197" s="0" t="n">
        <f aca="false">IF(BG197&gt;180,BG197-180,BG197+180)</f>
        <v>-31.2521545846675</v>
      </c>
      <c r="BI197" s="0" t="n">
        <f aca="false">IF(BH197&gt;180,BH197-360,BH197)</f>
        <v>-31.2521545846675</v>
      </c>
      <c r="BJ197" s="0" t="n">
        <f aca="false">SUM((BF198&lt;0)*(BF197&gt;0))*A197</f>
        <v>0</v>
      </c>
      <c r="BK197" s="0" t="n">
        <f aca="false">IF(BJ197&gt;0,BI197,0)</f>
        <v>0</v>
      </c>
      <c r="BM197" s="0" t="n">
        <f aca="false">20*LOG(J197*F197*C197)</f>
        <v>10.0792352681668</v>
      </c>
      <c r="BN197" s="0" t="n">
        <f aca="false">(H197+D197)*180/Pi</f>
        <v>-155.125870857422</v>
      </c>
      <c r="BQ197" s="347" t="n">
        <f aca="false">20*LOG(BA197*7)</f>
        <v>48.1800026593815</v>
      </c>
      <c r="BR197" s="353"/>
      <c r="BS197" s="353"/>
      <c r="BT197" s="353" t="n">
        <v>7413.102</v>
      </c>
      <c r="BU197" s="353" t="n">
        <v>-0.7333</v>
      </c>
      <c r="BV197" s="353" t="n">
        <v>-225.834</v>
      </c>
      <c r="BW197" s="349"/>
      <c r="BY197" s="353"/>
      <c r="BZ197" s="353"/>
      <c r="CA197" s="353"/>
      <c r="CC197" s="353"/>
    </row>
    <row r="198" customFormat="false" ht="12.75" hidden="false" customHeight="false" outlineLevel="0" collapsed="false">
      <c r="A198" s="0" t="n">
        <f aca="false">A197+500</f>
        <v>82000</v>
      </c>
      <c r="B198" s="0" t="n">
        <f aca="false">A198/1000</f>
        <v>82</v>
      </c>
      <c r="C198" s="0" t="n">
        <f aca="false">SQRT((A198/Fesr)^2+1)</f>
        <v>1.00000013272643</v>
      </c>
      <c r="D198" s="0" t="n">
        <f aca="false">ATAN(A198/Fesr)</f>
        <v>0.000515221149011024</v>
      </c>
      <c r="F198" s="0" t="n">
        <f aca="false">(Ro/(Ro+Rdcr))/SQRT((A198/(Q*Fo))^2+(1-(A198^2/Fo^2))^2)</f>
        <v>0.349269179284468</v>
      </c>
      <c r="G198" s="0" t="n">
        <f aca="false">-ATAN(A198*Fo/(Q*(Fo^2-A198^2)))</f>
        <v>0.429485194054881</v>
      </c>
      <c r="H198" s="0" t="n">
        <f aca="false">IF(G198&gt;0,G198-Pi,G198)</f>
        <v>-2.71210745594512</v>
      </c>
      <c r="J198" s="0" t="n">
        <f aca="false">Vin/Vramp</f>
        <v>9</v>
      </c>
      <c r="M198" s="0" t="n">
        <f aca="false">1/(2*Pi*_Rfb1*(Cc1ea_u+Cc2ea_u)*A198)</f>
        <v>0.0718857015689957</v>
      </c>
      <c r="N198" s="0" t="n">
        <f aca="false">-Pi/2</f>
        <v>-1.570796325</v>
      </c>
      <c r="O198" s="0" t="n">
        <f aca="false">SQRT(1+(A198/Fz1_u)^2)</f>
        <v>2.23891271175285</v>
      </c>
      <c r="P198" s="0" t="n">
        <f aca="false">ATAN2(Fz1_u,A198)</f>
        <v>1.10778391066302</v>
      </c>
      <c r="Q198" s="0" t="n">
        <f aca="false">SQRT(1+(A198/Fz2_u)^2)</f>
        <v>2273.0489645356</v>
      </c>
      <c r="R198" s="0" t="n">
        <f aca="false">ATAN2(Fz2_u,A198)</f>
        <v>1.57035638905143</v>
      </c>
      <c r="S198" s="0" t="n">
        <f aca="false">1/SQRT(1+(A198/Fp1_u)^2)</f>
        <v>0.162410529198081</v>
      </c>
      <c r="T198" s="0" t="n">
        <f aca="false">-ATAN2(Fp1_u,A198)</f>
        <v>-1.40766319861983</v>
      </c>
      <c r="U198" s="0" t="n">
        <f aca="false">1/SQRT(1+(A198/Fp2_u)^2)</f>
        <v>0.97611396845851</v>
      </c>
      <c r="V198" s="0" t="n">
        <f aca="false">-ATAN2(Fp2_u,A198)</f>
        <v>-0.21900562703943</v>
      </c>
      <c r="X198" s="0" t="n">
        <f aca="false">20*LOG(C198*J198*O198*Q198*F198*M198*S198*U198)</f>
        <v>45.2161201748985</v>
      </c>
      <c r="Y198" s="0" t="n">
        <f aca="false">(180/Pi)*(D198+H198+N198+P198+R198+T198+V198)</f>
        <v>-185.117913181191</v>
      </c>
      <c r="Z198" s="0" t="n">
        <f aca="false">Y198+180</f>
        <v>-5.1179131811908</v>
      </c>
      <c r="AC198" s="0" t="n">
        <v>1</v>
      </c>
      <c r="AD198" s="0" t="n">
        <f aca="false">Rcea1_u*Cc1ea_u*A198*2*Pi</f>
        <v>2.0031800046048</v>
      </c>
      <c r="AE198" s="0" t="n">
        <f aca="false">-Rcea1_u*Cc1ea_u*Cc2ea_u*(A198*2*Pi)^2</f>
        <v>-0.000154812119245698</v>
      </c>
      <c r="AF198" s="0" t="n">
        <f aca="false">(Cc2ea_u+Cc1ea_u)*A198*2*Pi</f>
        <v>0.00069554861271</v>
      </c>
      <c r="AG198" s="0" t="n">
        <f aca="false">AC198*AE198/(AE198^2+AF198^2)+AD198*AF198/(AE198^2+AF198^2)</f>
        <v>2439.16410731474</v>
      </c>
      <c r="AH198" s="0" t="n">
        <f aca="false">AD198*AE198/(AE198^2+AF198^2)-AC198*AF198/(AE198^2+AF198^2)</f>
        <v>-1980.61233890465</v>
      </c>
      <c r="AJ198" s="0" t="n">
        <f aca="false">_Rfb1</f>
        <v>20000</v>
      </c>
      <c r="AK198" s="0" t="n">
        <f aca="false">_Rfb1*Rcea2_u*Cc3ea_u*A198*2*Pi</f>
        <v>121509.766534464</v>
      </c>
      <c r="AL198" s="0" t="n">
        <v>1</v>
      </c>
      <c r="AM198" s="0" t="n">
        <f aca="false">(_Rfb1+Rcea2_u)*Cc3ea_u*A198*2*Pi</f>
        <v>2273.04874456672</v>
      </c>
      <c r="AN198" s="0" t="n">
        <f aca="false">AJ198*AL198/(AL198^2+AM198^2)+AK198*AM198/(AL198^2+AM198^2)</f>
        <v>53.4605965054782</v>
      </c>
      <c r="AO198" s="0" t="n">
        <f aca="false">AK198*AL198/(AL198^2+AM198^2)-AJ198*AM198/(AL198^2+AM198^2)</f>
        <v>-8.7752361013695</v>
      </c>
      <c r="AQ198" s="0" t="n">
        <f aca="false">Eadcg/(1+(Eadcg*A198/GBP)^2)</f>
        <v>1.69231199402266</v>
      </c>
      <c r="AR198" s="0" t="n">
        <f aca="false">-(A198*Eadcg*Eadcg/GBP)/(1+(Eadcg*A198/GBP)^2)</f>
        <v>-73.1315705096954</v>
      </c>
      <c r="AT198" s="0" t="n">
        <f aca="false">-AR198*AH198+AG198*AQ198</f>
        <v>-140717.46424078</v>
      </c>
      <c r="AU198" s="0" t="n">
        <f aca="false">AQ198*AH198+AG198*AR198</f>
        <v>-181731.715915444</v>
      </c>
      <c r="AV198" s="0" t="n">
        <f aca="false">ATAN2(AT198,AU198)</f>
        <v>-2.22967785030164</v>
      </c>
      <c r="AW198" s="0" t="n">
        <f aca="false">AG198-AH198*AO198/_Rfb2+AG198*AN198/_Rfb2+AN198-AO198*AR198+AQ198*AN198</f>
        <v>1992.2083870712</v>
      </c>
      <c r="AX198" s="0" t="n">
        <f aca="false">AH198+AH198*AN198/_Rfb2+AG198*AO198/_Rfb2+AO198+AO198*AQ198+AN198*AR198</f>
        <v>-5971.17542624853</v>
      </c>
      <c r="AY198" s="0" t="n">
        <f aca="false">ATAN2(AW198,AX198)</f>
        <v>-1.2487719952722</v>
      </c>
      <c r="BA198" s="0" t="n">
        <f aca="false">SQRT(AT198^2+AU198^2)/SQRT(AW198^2+AX198^2)</f>
        <v>36.5134713104937</v>
      </c>
      <c r="BB198" s="0" t="n">
        <f aca="false">20*LOG(BA198)</f>
        <v>31.2490624597769</v>
      </c>
      <c r="BC198" s="0" t="n">
        <f aca="false">AV198-AY198</f>
        <v>-0.980905855029445</v>
      </c>
      <c r="BD198" s="0" t="n">
        <f aca="false">BC198*180/Pi-180</f>
        <v>-236.201765657078</v>
      </c>
      <c r="BF198" s="0" t="n">
        <f aca="false">20*LOG(BA198*J198*F198*C198)</f>
        <v>41.197119075157</v>
      </c>
      <c r="BG198" s="0" t="n">
        <f aca="false">(180/Pi)*(D198+H198+BC198)</f>
        <v>-211.56455664887</v>
      </c>
      <c r="BH198" s="0" t="n">
        <f aca="false">IF(BG198&gt;180,BG198-180,BG198+180)</f>
        <v>-31.5645566488703</v>
      </c>
      <c r="BI198" s="0" t="n">
        <f aca="false">IF(BH198&gt;180,BH198-360,BH198)</f>
        <v>-31.5645566488703</v>
      </c>
      <c r="BJ198" s="0" t="n">
        <f aca="false">SUM((BF199&lt;0)*(BF198&gt;0))*A198</f>
        <v>0</v>
      </c>
      <c r="BK198" s="0" t="n">
        <f aca="false">IF(BJ198&gt;0,BI198,0)</f>
        <v>0</v>
      </c>
      <c r="BM198" s="0" t="n">
        <f aca="false">20*LOG(J198*F198*C198)</f>
        <v>9.94805661538004</v>
      </c>
      <c r="BN198" s="0" t="n">
        <f aca="false">(H198+D198)*180/Pi</f>
        <v>-155.362790991792</v>
      </c>
      <c r="BQ198" s="347" t="n">
        <f aca="false">20*LOG(BA198*7)</f>
        <v>48.1510232600621</v>
      </c>
      <c r="BR198" s="353"/>
      <c r="BS198" s="353"/>
      <c r="BT198" s="353" t="n">
        <v>7585.776</v>
      </c>
      <c r="BU198" s="353" t="n">
        <v>-0.870902</v>
      </c>
      <c r="BV198" s="353" t="n">
        <v>-224.429</v>
      </c>
      <c r="BW198" s="349"/>
      <c r="BY198" s="353"/>
      <c r="BZ198" s="353"/>
      <c r="CA198" s="353"/>
      <c r="CC198" s="353"/>
    </row>
    <row r="199" customFormat="false" ht="12.75" hidden="false" customHeight="false" outlineLevel="0" collapsed="false">
      <c r="A199" s="0" t="n">
        <f aca="false">A198+500</f>
        <v>82500</v>
      </c>
      <c r="B199" s="0" t="n">
        <f aca="false">A199/1000</f>
        <v>82.5</v>
      </c>
      <c r="C199" s="0" t="n">
        <f aca="false">SQRT((A199/Fesr)^2+1)</f>
        <v>1.00000013434998</v>
      </c>
      <c r="D199" s="0" t="n">
        <f aca="false">ATAN(A199/Fesr)</f>
        <v>0.000518362740821984</v>
      </c>
      <c r="F199" s="0" t="n">
        <f aca="false">(Ro/(Ro+Rdcr))/SQRT((A199/(Q*Fo))^2+(1-(A199^2/Fo^2))^2)</f>
        <v>0.344076694519391</v>
      </c>
      <c r="G199" s="0" t="n">
        <f aca="false">-ATAN(A199*Fo/(Q*(Fo^2-A199^2)))</f>
        <v>0.425431173743319</v>
      </c>
      <c r="H199" s="0" t="n">
        <f aca="false">IF(G199&gt;0,G199-Pi,G199)</f>
        <v>-2.71616147625668</v>
      </c>
      <c r="J199" s="0" t="n">
        <f aca="false">Vin/Vramp</f>
        <v>9</v>
      </c>
      <c r="M199" s="0" t="n">
        <f aca="false">1/(2*Pi*_Rfb1*(Cc1ea_u+Cc2ea_u)*A199)</f>
        <v>0.0714500306503957</v>
      </c>
      <c r="N199" s="0" t="n">
        <f aca="false">-Pi/2</f>
        <v>-1.570796325</v>
      </c>
      <c r="O199" s="0" t="n">
        <f aca="false">SQRT(1+(A199/Fz1_u)^2)</f>
        <v>2.24984778562026</v>
      </c>
      <c r="P199" s="0" t="n">
        <f aca="false">ATAN2(Fz1_u,A199)</f>
        <v>1.11020876834959</v>
      </c>
      <c r="Q199" s="0" t="n">
        <f aca="false">SQRT(1+(A199/Fz2_u)^2)</f>
        <v>2286.90901652298</v>
      </c>
      <c r="R199" s="0" t="n">
        <f aca="false">ATAN2(Fz2_u,A199)</f>
        <v>1.57035905534044</v>
      </c>
      <c r="S199" s="0" t="n">
        <f aca="false">1/SQRT(1+(A199/Fp1_u)^2)</f>
        <v>0.161451956783086</v>
      </c>
      <c r="T199" s="0" t="n">
        <f aca="false">-ATAN2(Fp1_u,A199)</f>
        <v>-1.40863459147648</v>
      </c>
      <c r="U199" s="0" t="n">
        <f aca="false">1/SQRT(1+(A199/Fp2_u)^2)</f>
        <v>0.975832294493403</v>
      </c>
      <c r="V199" s="0" t="n">
        <f aca="false">-ATAN2(Fp2_u,A199)</f>
        <v>-0.220298361882066</v>
      </c>
      <c r="X199" s="0" t="n">
        <f aca="false">20*LOG(C199*J199*O199*Q199*F199*M199*S199*U199)</f>
        <v>45.0744153556961</v>
      </c>
      <c r="Y199" s="0" t="n">
        <f aca="false">(180/Pi)*(D199+H199+N199+P199+R199+T199+V199)</f>
        <v>-185.340649518386</v>
      </c>
      <c r="Z199" s="0" t="n">
        <f aca="false">Y199+180</f>
        <v>-5.34064951838616</v>
      </c>
      <c r="AC199" s="0" t="n">
        <v>1</v>
      </c>
      <c r="AD199" s="0" t="n">
        <f aca="false">Rcea1_u*Cc1ea_u*A199*2*Pi</f>
        <v>2.015394516828</v>
      </c>
      <c r="AE199" s="0" t="n">
        <f aca="false">-Rcea1_u*Cc1ea_u*Cc2ea_u*(A199*2*Pi)^2</f>
        <v>-0.000156705827872699</v>
      </c>
      <c r="AF199" s="0" t="n">
        <f aca="false">(Cc2ea_u+Cc1ea_u)*A199*2*Pi</f>
        <v>0.0006997897627875</v>
      </c>
      <c r="AG199" s="0" t="n">
        <f aca="false">AC199*AE199/(AE199^2+AF199^2)+AD199*AF199/(AE199^2+AF199^2)</f>
        <v>2437.75658745922</v>
      </c>
      <c r="AH199" s="0" t="n">
        <f aca="false">AD199*AE199/(AE199^2+AF199^2)-AC199*AF199/(AE199^2+AF199^2)</f>
        <v>-1974.89408631088</v>
      </c>
      <c r="AJ199" s="0" t="n">
        <f aca="false">_Rfb1</f>
        <v>20000</v>
      </c>
      <c r="AK199" s="0" t="n">
        <f aca="false">_Rfb1*Rcea2_u*Cc3ea_u*A199*2*Pi</f>
        <v>122250.67974504</v>
      </c>
      <c r="AL199" s="0" t="n">
        <v>1</v>
      </c>
      <c r="AM199" s="0" t="n">
        <f aca="false">(_Rfb1+Rcea2_u)*Cc3ea_u*A199*2*Pi</f>
        <v>2286.90879788725</v>
      </c>
      <c r="AN199" s="0" t="n">
        <f aca="false">AJ199*AL199/(AL199^2+AM199^2)+AK199*AM199/(AL199^2+AM199^2)</f>
        <v>53.4605498526489</v>
      </c>
      <c r="AO199" s="0" t="n">
        <f aca="false">AK199*AL199/(AL199^2+AM199^2)-AJ199*AM199/(AL199^2+AM199^2)</f>
        <v>-8.72205287267024</v>
      </c>
      <c r="AQ199" s="0" t="n">
        <f aca="false">Eadcg/(1+(Eadcg*A199/GBP)^2)</f>
        <v>1.67187209467322</v>
      </c>
      <c r="AR199" s="0" t="n">
        <f aca="false">-(A199*Eadcg*Eadcg/GBP)/(1+(Eadcg*A199/GBP)^2)</f>
        <v>-72.688818996155</v>
      </c>
      <c r="AT199" s="0" t="n">
        <f aca="false">-AR199*AH199+AG199*AQ199</f>
        <v>-139477.101564249</v>
      </c>
      <c r="AU199" s="0" t="n">
        <f aca="false">AQ199*AH199+AG199*AR199</f>
        <v>-180499.417655346</v>
      </c>
      <c r="AV199" s="0" t="n">
        <f aca="false">ATAN2(AT199,AU199)</f>
        <v>-2.22868589920793</v>
      </c>
      <c r="AW199" s="0" t="n">
        <f aca="false">AG199-AH199*AO199/_Rfb2+AG199*AN199/_Rfb2+AN199-AO199*AR199+AQ199*AN199</f>
        <v>1997.49502086017</v>
      </c>
      <c r="AX199" s="0" t="n">
        <f aca="false">AH199+AH199*AN199/_Rfb2+AG199*AO199/_Rfb2+AO199+AO199*AQ199+AN199*AR199</f>
        <v>-5941.26105218439</v>
      </c>
      <c r="AY199" s="0" t="n">
        <f aca="false">ATAN2(AW199,AX199)</f>
        <v>-1.24646148414481</v>
      </c>
      <c r="BA199" s="0" t="n">
        <f aca="false">SQRT(AT199^2+AU199^2)/SQRT(AW199^2+AX199^2)</f>
        <v>36.3923490256792</v>
      </c>
      <c r="BB199" s="0" t="n">
        <f aca="false">20*LOG(BA199)</f>
        <v>31.220201780021</v>
      </c>
      <c r="BC199" s="0" t="n">
        <f aca="false">AV199-AY199</f>
        <v>-0.98222441506312</v>
      </c>
      <c r="BD199" s="0" t="n">
        <f aca="false">BC199*180/Pi-180</f>
        <v>-236.277313582129</v>
      </c>
      <c r="BF199" s="0" t="n">
        <f aca="false">20*LOG(BA199*J199*F199*C199)</f>
        <v>41.0381582833568</v>
      </c>
      <c r="BG199" s="0" t="n">
        <f aca="false">(180/Pi)*(D199+H199+BC199)</f>
        <v>-211.872202828147</v>
      </c>
      <c r="BH199" s="0" t="n">
        <f aca="false">IF(BG199&gt;180,BG199-180,BG199+180)</f>
        <v>-31.8722028281471</v>
      </c>
      <c r="BI199" s="0" t="n">
        <f aca="false">IF(BH199&gt;180,BH199-360,BH199)</f>
        <v>-31.8722028281471</v>
      </c>
      <c r="BJ199" s="0" t="n">
        <f aca="false">SUM((BF200&lt;0)*(BF199&gt;0))*A199</f>
        <v>0</v>
      </c>
      <c r="BK199" s="0" t="n">
        <f aca="false">IF(BJ199&gt;0,BI199,0)</f>
        <v>0</v>
      </c>
      <c r="BM199" s="0" t="n">
        <f aca="false">20*LOG(J199*F199*C199)</f>
        <v>9.81795650333585</v>
      </c>
      <c r="BN199" s="0" t="n">
        <f aca="false">(H199+D199)*180/Pi</f>
        <v>-155.594889246018</v>
      </c>
      <c r="BQ199" s="347" t="n">
        <f aca="false">20*LOG(BA199*7)</f>
        <v>48.1221625803061</v>
      </c>
      <c r="BR199" s="353"/>
      <c r="BS199" s="353"/>
      <c r="BT199" s="353" t="n">
        <v>7762.471</v>
      </c>
      <c r="BU199" s="353" t="n">
        <v>-1.03486</v>
      </c>
      <c r="BV199" s="353" t="n">
        <v>-223.255</v>
      </c>
      <c r="BW199" s="349"/>
      <c r="BY199" s="353"/>
      <c r="BZ199" s="353"/>
      <c r="CA199" s="353"/>
      <c r="CC199" s="353"/>
    </row>
    <row r="200" customFormat="false" ht="12.75" hidden="false" customHeight="false" outlineLevel="0" collapsed="false">
      <c r="A200" s="0" t="n">
        <f aca="false">A199+500</f>
        <v>83000</v>
      </c>
      <c r="B200" s="0" t="n">
        <f aca="false">A200/1000</f>
        <v>83</v>
      </c>
      <c r="C200" s="0" t="n">
        <f aca="false">SQRT((A200/Fesr)^2+1)</f>
        <v>1.0000001359834</v>
      </c>
      <c r="D200" s="0" t="n">
        <f aca="false">ATAN(A200/Fesr)</f>
        <v>0.000521504332622712</v>
      </c>
      <c r="F200" s="0" t="n">
        <f aca="false">(Ro/(Ro+Rdcr))/SQRT((A200/(Q*Fo))^2+(1-(A200^2/Fo^2))^2)</f>
        <v>0.339002850474832</v>
      </c>
      <c r="G200" s="0" t="n">
        <f aca="false">-ATAN(A200*Fo/(Q*(Fo^2-A200^2)))</f>
        <v>0.42145875075577</v>
      </c>
      <c r="H200" s="0" t="n">
        <f aca="false">IF(G200&gt;0,G200-Pi,G200)</f>
        <v>-2.72013389924423</v>
      </c>
      <c r="J200" s="0" t="n">
        <f aca="false">Vin/Vramp</f>
        <v>9</v>
      </c>
      <c r="M200" s="0" t="n">
        <f aca="false">1/(2*Pi*_Rfb1*(Cc1ea_u+Cc2ea_u)*A200)</f>
        <v>0.0710196087790078</v>
      </c>
      <c r="N200" s="0" t="n">
        <f aca="false">-Pi/2</f>
        <v>-1.570796325</v>
      </c>
      <c r="O200" s="0" t="n">
        <f aca="false">SQRT(1+(A200/Fz1_u)^2)</f>
        <v>2.26079596042853</v>
      </c>
      <c r="P200" s="0" t="n">
        <f aca="false">ATAN2(Fz1_u,A200)</f>
        <v>1.11261015471579</v>
      </c>
      <c r="Q200" s="0" t="n">
        <f aca="false">SQRT(1+(A200/Fz2_u)^2)</f>
        <v>2300.76906852643</v>
      </c>
      <c r="R200" s="0" t="n">
        <f aca="false">ATAN2(Fz2_u,A200)</f>
        <v>1.57036168950549</v>
      </c>
      <c r="S200" s="0" t="n">
        <f aca="false">1/SQRT(1+(A200/Fp1_u)^2)</f>
        <v>0.160504484467724</v>
      </c>
      <c r="T200" s="0" t="n">
        <f aca="false">-ATAN2(Fp1_u,A200)</f>
        <v>-1.40959458409438</v>
      </c>
      <c r="U200" s="0" t="n">
        <f aca="false">1/SQRT(1+(A200/Fp2_u)^2)</f>
        <v>0.975549154155086</v>
      </c>
      <c r="V200" s="0" t="n">
        <f aca="false">-ATAN2(Fp2_u,A200)</f>
        <v>-0.221590348701868</v>
      </c>
      <c r="X200" s="0" t="n">
        <f aca="false">20*LOG(C200*J200*O200*Q200*F200*M200*S200*U200)</f>
        <v>44.9338984076385</v>
      </c>
      <c r="Y200" s="0" t="n">
        <f aca="false">(180/Pi)*(D200+H200+N200+P200+R200+T200+V200)</f>
        <v>-185.559361277339</v>
      </c>
      <c r="Z200" s="0" t="n">
        <f aca="false">Y200+180</f>
        <v>-5.55936127733861</v>
      </c>
      <c r="AC200" s="0" t="n">
        <v>1</v>
      </c>
      <c r="AD200" s="0" t="n">
        <f aca="false">Rcea1_u*Cc1ea_u*A200*2*Pi</f>
        <v>2.0276090290512</v>
      </c>
      <c r="AE200" s="0" t="n">
        <f aca="false">-Rcea1_u*Cc1ea_u*Cc2ea_u*(A200*2*Pi)^2</f>
        <v>-0.000158611048406248</v>
      </c>
      <c r="AF200" s="0" t="n">
        <f aca="false">(Cc2ea_u+Cc1ea_u)*A200*2*Pi</f>
        <v>0.000704030912865</v>
      </c>
      <c r="AG200" s="0" t="n">
        <f aca="false">AC200*AE200/(AE200^2+AF200^2)+AD200*AF200/(AE200^2+AF200^2)</f>
        <v>2436.34214956212</v>
      </c>
      <c r="AH200" s="0" t="n">
        <f aca="false">AD200*AE200/(AE200^2+AF200^2)-AC200*AF200/(AE200^2+AF200^2)</f>
        <v>-1969.27543561462</v>
      </c>
      <c r="AJ200" s="0" t="n">
        <f aca="false">_Rfb1</f>
        <v>20000</v>
      </c>
      <c r="AK200" s="0" t="n">
        <f aca="false">_Rfb1*Rcea2_u*Cc3ea_u*A200*2*Pi</f>
        <v>122991.592955616</v>
      </c>
      <c r="AL200" s="0" t="n">
        <v>1</v>
      </c>
      <c r="AM200" s="0" t="n">
        <f aca="false">(_Rfb1+Rcea2_u)*Cc3ea_u*A200*2*Pi</f>
        <v>2300.76885120778</v>
      </c>
      <c r="AN200" s="0" t="n">
        <f aca="false">AJ200*AL200/(AL200^2+AM200^2)+AK200*AM200/(AL200^2+AM200^2)</f>
        <v>53.4605040404006</v>
      </c>
      <c r="AO200" s="0" t="n">
        <f aca="false">AK200*AL200/(AL200^2+AM200^2)-AJ200*AM200/(AL200^2+AM200^2)</f>
        <v>-8.66951040539719</v>
      </c>
      <c r="AQ200" s="0" t="n">
        <f aca="false">Eadcg/(1+(Eadcg*A200/GBP)^2)</f>
        <v>1.65180022003327</v>
      </c>
      <c r="AR200" s="0" t="n">
        <f aca="false">-(A200*Eadcg*Eadcg/GBP)/(1+(Eadcg*A200/GBP)^2)</f>
        <v>-72.2513934244751</v>
      </c>
      <c r="AT200" s="0" t="n">
        <f aca="false">-AR200*AH200+AG200*AQ200</f>
        <v>-138258.543761023</v>
      </c>
      <c r="AU200" s="0" t="n">
        <f aca="false">AQ200*AH200+AG200*AR200</f>
        <v>-179281.964762498</v>
      </c>
      <c r="AV200" s="0" t="n">
        <f aca="false">ATAN2(AT200,AU200)</f>
        <v>-2.22771498348307</v>
      </c>
      <c r="AW200" s="0" t="n">
        <f aca="false">AG200-AH200*AO200/_Rfb2+AG200*AN200/_Rfb2+AN200-AO200*AR200+AQ200*AN200</f>
        <v>2002.65346029425</v>
      </c>
      <c r="AX200" s="0" t="n">
        <f aca="false">AH200+AH200*AN200/_Rfb2+AG200*AO200/_Rfb2+AO200+AO200*AQ200+AN200*AR200</f>
        <v>-5911.74131325854</v>
      </c>
      <c r="AY200" s="0" t="n">
        <f aca="false">ATAN2(AW200,AX200)</f>
        <v>-1.24417096729646</v>
      </c>
      <c r="BA200" s="0" t="n">
        <f aca="false">SQRT(AT200^2+AU200^2)/SQRT(AW200^2+AX200^2)</f>
        <v>36.2721151731805</v>
      </c>
      <c r="BB200" s="0" t="n">
        <f aca="false">20*LOG(BA200)</f>
        <v>31.1914576355989</v>
      </c>
      <c r="BC200" s="0" t="n">
        <f aca="false">AV200-AY200</f>
        <v>-0.983544016186613</v>
      </c>
      <c r="BD200" s="0" t="n">
        <f aca="false">BC200*180/Pi-180</f>
        <v>-236.352921157232</v>
      </c>
      <c r="BF200" s="0" t="n">
        <f aca="false">20*LOG(BA200*J200*F200*C200)</f>
        <v>40.8803760044088</v>
      </c>
      <c r="BG200" s="0" t="n">
        <f aca="false">(180/Pi)*(D200+H200+BC200)</f>
        <v>-212.175233475186</v>
      </c>
      <c r="BH200" s="0" t="n">
        <f aca="false">IF(BG200&gt;180,BG200-180,BG200+180)</f>
        <v>-32.1752334751864</v>
      </c>
      <c r="BI200" s="0" t="n">
        <f aca="false">IF(BH200&gt;180,BH200-360,BH200)</f>
        <v>-32.1752334751864</v>
      </c>
      <c r="BJ200" s="0" t="n">
        <f aca="false">SUM((BF201&lt;0)*(BF200&gt;0))*A200</f>
        <v>0</v>
      </c>
      <c r="BK200" s="0" t="n">
        <f aca="false">IF(BJ200&gt;0,BI200,0)</f>
        <v>0</v>
      </c>
      <c r="BM200" s="0" t="n">
        <f aca="false">20*LOG(J200*F200*C200)</f>
        <v>9.68891836880997</v>
      </c>
      <c r="BN200" s="0" t="n">
        <f aca="false">(H200+D200)*180/Pi</f>
        <v>-155.822312317954</v>
      </c>
      <c r="BQ200" s="347" t="n">
        <f aca="false">20*LOG(BA200*7)</f>
        <v>48.093418435884</v>
      </c>
      <c r="BR200" s="353"/>
      <c r="BS200" s="353"/>
      <c r="BT200" s="353" t="n">
        <v>7943.282</v>
      </c>
      <c r="BU200" s="353" t="n">
        <v>-1.2308</v>
      </c>
      <c r="BV200" s="353" t="n">
        <v>-223.135</v>
      </c>
      <c r="BW200" s="349"/>
      <c r="BY200" s="353"/>
      <c r="BZ200" s="353"/>
      <c r="CA200" s="353"/>
      <c r="CC200" s="353"/>
    </row>
    <row r="201" customFormat="false" ht="12.75" hidden="false" customHeight="false" outlineLevel="0" collapsed="false">
      <c r="A201" s="0" t="n">
        <f aca="false">A200+500</f>
        <v>83500</v>
      </c>
      <c r="B201" s="0" t="n">
        <f aca="false">A201/1000</f>
        <v>83.5</v>
      </c>
      <c r="C201" s="0" t="n">
        <f aca="false">SQRT((A201/Fesr)^2+1)</f>
        <v>1.00000013762669</v>
      </c>
      <c r="D201" s="0" t="n">
        <f aca="false">ATAN(A201/Fesr)</f>
        <v>0.000524645924413146</v>
      </c>
      <c r="F201" s="0" t="n">
        <f aca="false">(Ro/(Ro+Rdcr))/SQRT((A201/(Q*Fo))^2+(1-(A201^2/Fo^2))^2)</f>
        <v>0.334044039993367</v>
      </c>
      <c r="G201" s="0" t="n">
        <f aca="false">-ATAN(A201*Fo/(Q*(Fo^2-A201^2)))</f>
        <v>0.417565465227418</v>
      </c>
      <c r="H201" s="0" t="n">
        <f aca="false">IF(G201&gt;0,G201-Pi,G201)</f>
        <v>-2.72402718477258</v>
      </c>
      <c r="J201" s="0" t="n">
        <f aca="false">Vin/Vramp</f>
        <v>9</v>
      </c>
      <c r="M201" s="0" t="n">
        <f aca="false">1/(2*Pi*_Rfb1*(Cc1ea_u+Cc2ea_u)*A201)</f>
        <v>0.0705943416605706</v>
      </c>
      <c r="N201" s="0" t="n">
        <f aca="false">-Pi/2</f>
        <v>-1.570796325</v>
      </c>
      <c r="O201" s="0" t="n">
        <f aca="false">SQRT(1+(A201/Fz1_u)^2)</f>
        <v>2.27175704676738</v>
      </c>
      <c r="P201" s="0" t="n">
        <f aca="false">ATAN2(Fz1_u,A201)</f>
        <v>1.11498838160693</v>
      </c>
      <c r="Q201" s="0" t="n">
        <f aca="false">SQRT(1+(A201/Fz2_u)^2)</f>
        <v>2314.62912054565</v>
      </c>
      <c r="R201" s="0" t="n">
        <f aca="false">ATAN2(Fz2_u,A201)</f>
        <v>1.57036429212367</v>
      </c>
      <c r="S201" s="0" t="n">
        <f aca="false">1/SQRT(1+(A201/Fp1_u)^2)</f>
        <v>0.159567923164989</v>
      </c>
      <c r="T201" s="0" t="n">
        <f aca="false">-ATAN2(Fp1_u,A201)</f>
        <v>-1.41054337425337</v>
      </c>
      <c r="U201" s="0" t="n">
        <f aca="false">1/SQRT(1+(A201/Fp2_u)^2)</f>
        <v>0.975264551554114</v>
      </c>
      <c r="V201" s="0" t="n">
        <f aca="false">-ATAN2(Fp2_u,A201)</f>
        <v>-0.222881583838408</v>
      </c>
      <c r="X201" s="0" t="n">
        <f aca="false">20*LOG(C201*J201*O201*Q201*F201*M201*S201*U201)</f>
        <v>44.7945503465062</v>
      </c>
      <c r="Y201" s="0" t="n">
        <f aca="false">(180/Pi)*(D201+H201+N201+P201+R201+T201+V201)</f>
        <v>-185.77418261966</v>
      </c>
      <c r="Z201" s="0" t="n">
        <f aca="false">Y201+180</f>
        <v>-5.7741826196602</v>
      </c>
      <c r="AC201" s="0" t="n">
        <v>1</v>
      </c>
      <c r="AD201" s="0" t="n">
        <f aca="false">Rcea1_u*Cc1ea_u*A201*2*Pi</f>
        <v>2.0398235412744</v>
      </c>
      <c r="AE201" s="0" t="n">
        <f aca="false">-Rcea1_u*Cc1ea_u*Cc2ea_u*(A201*2*Pi)^2</f>
        <v>-0.000160527780846344</v>
      </c>
      <c r="AF201" s="0" t="n">
        <f aca="false">(Cc2ea_u+Cc1ea_u)*A201*2*Pi</f>
        <v>0.0007082720629425</v>
      </c>
      <c r="AG201" s="0" t="n">
        <f aca="false">AC201*AE201/(AE201^2+AF201^2)+AD201*AF201/(AE201^2+AF201^2)</f>
        <v>2434.9208205262</v>
      </c>
      <c r="AH201" s="0" t="n">
        <f aca="false">AD201*AE201/(AE201^2+AF201^2)-AC201*AF201/(AE201^2+AF201^2)</f>
        <v>-1963.75447886125</v>
      </c>
      <c r="AJ201" s="0" t="n">
        <f aca="false">_Rfb1</f>
        <v>20000</v>
      </c>
      <c r="AK201" s="0" t="n">
        <f aca="false">_Rfb1*Rcea2_u*Cc3ea_u*A201*2*Pi</f>
        <v>123732.506166192</v>
      </c>
      <c r="AL201" s="0" t="n">
        <v>1</v>
      </c>
      <c r="AM201" s="0" t="n">
        <f aca="false">(_Rfb1+Rcea2_u)*Cc3ea_u*A201*2*Pi</f>
        <v>2314.62890452831</v>
      </c>
      <c r="AN201" s="0" t="n">
        <f aca="false">AJ201*AL201/(AL201^2+AM201^2)+AK201*AM201/(AL201^2+AM201^2)</f>
        <v>53.4604590486602</v>
      </c>
      <c r="AO201" s="0" t="n">
        <f aca="false">AK201*AL201/(AL201^2+AM201^2)-AJ201*AM201/(AL201^2+AM201^2)</f>
        <v>-8.61759718887473</v>
      </c>
      <c r="AQ201" s="0" t="n">
        <f aca="false">Eadcg/(1+(Eadcg*A201/GBP)^2)</f>
        <v>1.632087589192</v>
      </c>
      <c r="AR201" s="0" t="n">
        <f aca="false">-(A201*Eadcg*Eadcg/GBP)/(1+(Eadcg*A201/GBP)^2)</f>
        <v>-71.8191983185994</v>
      </c>
      <c r="AT201" s="0" t="n">
        <f aca="false">-AR201*AH201+AG201*AQ201</f>
        <v>-137061.268314528</v>
      </c>
      <c r="AU201" s="0" t="n">
        <f aca="false">AQ201*AH201+AG201*AR201</f>
        <v>-178079.080612628</v>
      </c>
      <c r="AV201" s="0" t="n">
        <f aca="false">ATAN2(AT201,AU201)</f>
        <v>-2.22676481792235</v>
      </c>
      <c r="AW201" s="0" t="n">
        <f aca="false">AG201-AH201*AO201/_Rfb2+AG201*AN201/_Rfb2+AN201-AO201*AR201+AQ201*AN201</f>
        <v>2007.68662264419</v>
      </c>
      <c r="AX201" s="0" t="n">
        <f aca="false">AH201+AH201*AN201/_Rfb2+AG201*AO201/_Rfb2+AO201+AO201*AQ201+AN201*AR201</f>
        <v>-5882.60893231243</v>
      </c>
      <c r="AY201" s="0" t="n">
        <f aca="false">ATAN2(AW201,AX201)</f>
        <v>-1.24190026862931</v>
      </c>
      <c r="BA201" s="0" t="n">
        <f aca="false">SQRT(AT201^2+AU201^2)/SQRT(AW201^2+AX201^2)</f>
        <v>36.1527547660544</v>
      </c>
      <c r="BB201" s="0" t="n">
        <f aca="false">20*LOG(BA201)</f>
        <v>31.1628279048734</v>
      </c>
      <c r="BC201" s="0" t="n">
        <f aca="false">AV201-AY201</f>
        <v>-0.984864549293044</v>
      </c>
      <c r="BD201" s="0" t="n">
        <f aca="false">BC201*180/Pi-180</f>
        <v>-236.428582131024</v>
      </c>
      <c r="BF201" s="0" t="n">
        <f aca="false">20*LOG(BA201*J201*F201*C201)</f>
        <v>40.7237538387894</v>
      </c>
      <c r="BG201" s="0" t="n">
        <f aca="false">(180/Pi)*(D201+H201+BC201)</f>
        <v>-212.473783278497</v>
      </c>
      <c r="BH201" s="0" t="n">
        <f aca="false">IF(BG201&gt;180,BG201-180,BG201+180)</f>
        <v>-32.4737832784968</v>
      </c>
      <c r="BI201" s="0" t="n">
        <f aca="false">IF(BH201&gt;180,BH201-360,BH201)</f>
        <v>-32.4737832784968</v>
      </c>
      <c r="BJ201" s="0" t="n">
        <f aca="false">SUM((BF202&lt;0)*(BF201&gt;0))*A201</f>
        <v>0</v>
      </c>
      <c r="BK201" s="0" t="n">
        <f aca="false">IF(BJ201&gt;0,BI201,0)</f>
        <v>0</v>
      </c>
      <c r="BM201" s="0" t="n">
        <f aca="false">20*LOG(J201*F201*C201)</f>
        <v>9.56092593391596</v>
      </c>
      <c r="BN201" s="0" t="n">
        <f aca="false">(H201+D201)*180/Pi</f>
        <v>-156.045201147472</v>
      </c>
      <c r="BQ201" s="347" t="n">
        <f aca="false">20*LOG(BA201*7)</f>
        <v>48.0647887051586</v>
      </c>
      <c r="BR201" s="353"/>
      <c r="BS201" s="353"/>
      <c r="BT201" s="353" t="n">
        <v>8128.305</v>
      </c>
      <c r="BU201" s="353" t="n">
        <v>-1.35261</v>
      </c>
      <c r="BV201" s="353" t="n">
        <v>-221.982</v>
      </c>
      <c r="BW201" s="349"/>
      <c r="BY201" s="353"/>
      <c r="BZ201" s="353"/>
      <c r="CA201" s="353"/>
      <c r="CC201" s="353"/>
    </row>
    <row r="202" customFormat="false" ht="12.75" hidden="false" customHeight="false" outlineLevel="0" collapsed="false">
      <c r="A202" s="0" t="n">
        <f aca="false">A201+500</f>
        <v>84000</v>
      </c>
      <c r="B202" s="0" t="n">
        <f aca="false">A202/1000</f>
        <v>84</v>
      </c>
      <c r="C202" s="0" t="n">
        <f aca="false">SQRT((A202/Fesr)^2+1)</f>
        <v>1.00000013927985</v>
      </c>
      <c r="D202" s="0" t="n">
        <f aca="false">ATAN(A202/Fesr)</f>
        <v>0.000527787516193224</v>
      </c>
      <c r="F202" s="0" t="n">
        <f aca="false">(Ro/(Ro+Rdcr))/SQRT((A202/(Q*Fo))^2+(1-(A202^2/Fo^2))^2)</f>
        <v>0.329196788954779</v>
      </c>
      <c r="G202" s="0" t="n">
        <f aca="false">-ATAN(A202*Fo/(Q*(Fo^2-A202^2)))</f>
        <v>0.413748953093133</v>
      </c>
      <c r="H202" s="0" t="n">
        <f aca="false">IF(G202&gt;0,G202-Pi,G202)</f>
        <v>-2.72784369690687</v>
      </c>
      <c r="J202" s="0" t="n">
        <f aca="false">Vin/Vramp</f>
        <v>9</v>
      </c>
      <c r="M202" s="0" t="n">
        <f aca="false">1/(2*Pi*_Rfb1*(Cc1ea_u+Cc2ea_u)*A202)</f>
        <v>0.0701741372459243</v>
      </c>
      <c r="N202" s="0" t="n">
        <f aca="false">-Pi/2</f>
        <v>-1.570796325</v>
      </c>
      <c r="O202" s="0" t="n">
        <f aca="false">SQRT(1+(A202/Fz1_u)^2)</f>
        <v>2.28273085864327</v>
      </c>
      <c r="P202" s="0" t="n">
        <f aca="false">ATAN2(Fz1_u,A202)</f>
        <v>1.11734375593027</v>
      </c>
      <c r="Q202" s="0" t="n">
        <f aca="false">SQRT(1+(A202/Fz2_u)^2)</f>
        <v>2328.48917258036</v>
      </c>
      <c r="R202" s="0" t="n">
        <f aca="false">ATAN2(Fz2_u,A202)</f>
        <v>1.5703668637583</v>
      </c>
      <c r="S202" s="0" t="n">
        <f aca="false">1/SQRT(1+(A202/Fp1_u)^2)</f>
        <v>0.158642087997277</v>
      </c>
      <c r="T202" s="0" t="n">
        <f aca="false">-ATAN2(Fp1_u,A202)</f>
        <v>-1.41148115522486</v>
      </c>
      <c r="U202" s="0" t="n">
        <f aca="false">1/SQRT(1+(A202/Fp2_u)^2)</f>
        <v>0.974978490815726</v>
      </c>
      <c r="V202" s="0" t="n">
        <f aca="false">-ATAN2(Fp2_u,A202)</f>
        <v>-0.224172063645542</v>
      </c>
      <c r="X202" s="0" t="n">
        <f aca="false">20*LOG(C202*J202*O202*Q202*F202*M202*S202*U202)</f>
        <v>44.6563525370137</v>
      </c>
      <c r="Y202" s="0" t="n">
        <f aca="false">(180/Pi)*(D202+H202+N202+P202+R202+T202+V202)</f>
        <v>-185.985242244265</v>
      </c>
      <c r="Z202" s="0" t="n">
        <f aca="false">Y202+180</f>
        <v>-5.9852422442647</v>
      </c>
      <c r="AC202" s="0" t="n">
        <v>1</v>
      </c>
      <c r="AD202" s="0" t="n">
        <f aca="false">Rcea1_u*Cc1ea_u*A202*2*Pi</f>
        <v>2.0520380534976</v>
      </c>
      <c r="AE202" s="0" t="n">
        <f aca="false">-Rcea1_u*Cc1ea_u*Cc2ea_u*(A202*2*Pi)^2</f>
        <v>-0.000162456025192987</v>
      </c>
      <c r="AF202" s="0" t="n">
        <f aca="false">(Cc2ea_u+Cc1ea_u)*A202*2*Pi</f>
        <v>0.00071251321302</v>
      </c>
      <c r="AG202" s="0" t="n">
        <f aca="false">AC202*AE202/(AE202^2+AF202^2)+AD202*AF202/(AE202^2+AF202^2)</f>
        <v>2433.49262733647</v>
      </c>
      <c r="AH202" s="0" t="n">
        <f aca="false">AD202*AE202/(AE202^2+AF202^2)-AC202*AF202/(AE202^2+AF202^2)</f>
        <v>-1958.32935316296</v>
      </c>
      <c r="AJ202" s="0" t="n">
        <f aca="false">_Rfb1</f>
        <v>20000</v>
      </c>
      <c r="AK202" s="0" t="n">
        <f aca="false">_Rfb1*Rcea2_u*Cc3ea_u*A202*2*Pi</f>
        <v>124473.419376768</v>
      </c>
      <c r="AL202" s="0" t="n">
        <v>1</v>
      </c>
      <c r="AM202" s="0" t="n">
        <f aca="false">(_Rfb1+Rcea2_u)*Cc3ea_u*A202*2*Pi</f>
        <v>2328.48895784884</v>
      </c>
      <c r="AN202" s="0" t="n">
        <f aca="false">AJ202*AL202/(AL202^2+AM202^2)+AK202*AM202/(AL202^2+AM202^2)</f>
        <v>53.46041485795</v>
      </c>
      <c r="AO202" s="0" t="n">
        <f aca="false">AK202*AL202/(AL202^2+AM202^2)-AJ202*AM202/(AL202^2+AM202^2)</f>
        <v>-8.56630198649065</v>
      </c>
      <c r="AQ202" s="0" t="n">
        <f aca="false">Eadcg/(1+(Eadcg*A202/GBP)^2)</f>
        <v>1.61272568152686</v>
      </c>
      <c r="AR202" s="0" t="n">
        <f aca="false">-(A202*Eadcg*Eadcg/GBP)/(1+(Eadcg*A202/GBP)^2)</f>
        <v>-71.3921404698309</v>
      </c>
      <c r="AT202" s="0" t="n">
        <f aca="false">-AR202*AH202+AG202*AQ202</f>
        <v>-135884.768211292</v>
      </c>
      <c r="AU202" s="0" t="n">
        <f aca="false">AQ202*AH202+AG202*AR202</f>
        <v>-176890.495523837</v>
      </c>
      <c r="AV202" s="0" t="n">
        <f aca="false">ATAN2(AT202,AU202)</f>
        <v>-2.22583512155254</v>
      </c>
      <c r="AW202" s="0" t="n">
        <f aca="false">AG202-AH202*AO202/_Rfb2+AG202*AN202/_Rfb2+AN202-AO202*AR202+AQ202*AN202</f>
        <v>2012.59733960672</v>
      </c>
      <c r="AX202" s="0" t="n">
        <f aca="false">AH202+AH202*AN202/_Rfb2+AG202*AO202/_Rfb2+AO202+AO202*AQ202+AN202*AR202</f>
        <v>-5853.8568070423</v>
      </c>
      <c r="AY202" s="0" t="n">
        <f aca="false">ATAN2(AW202,AX202)</f>
        <v>-1.23964921462598</v>
      </c>
      <c r="BA202" s="0" t="n">
        <f aca="false">SQRT(AT202^2+AU202^2)/SQRT(AW202^2+AX202^2)</f>
        <v>36.0342532406748</v>
      </c>
      <c r="BB202" s="0" t="n">
        <f aca="false">20*LOG(BA202)</f>
        <v>31.134310526902</v>
      </c>
      <c r="BC202" s="0" t="n">
        <f aca="false">AV202-AY202</f>
        <v>-0.986185906926563</v>
      </c>
      <c r="BD202" s="0" t="n">
        <f aca="false">BC202*180/Pi-180</f>
        <v>-236.504290346739</v>
      </c>
      <c r="BF202" s="0" t="n">
        <f aca="false">20*LOG(BA202*J202*F202*C202)</f>
        <v>40.5682737329318</v>
      </c>
      <c r="BG202" s="0" t="n">
        <f aca="false">(180/Pi)*(D202+H202+BC202)</f>
        <v>-212.767981532266</v>
      </c>
      <c r="BH202" s="0" t="n">
        <f aca="false">IF(BG202&gt;180,BG202-180,BG202+180)</f>
        <v>-32.767981532266</v>
      </c>
      <c r="BI202" s="0" t="n">
        <f aca="false">IF(BH202&gt;180,BH202-360,BH202)</f>
        <v>-32.767981532266</v>
      </c>
      <c r="BJ202" s="0" t="n">
        <f aca="false">SUM((BF203&lt;0)*(BF202&gt;0))*A202</f>
        <v>0</v>
      </c>
      <c r="BK202" s="0" t="n">
        <f aca="false">IF(BJ202&gt;0,BI202,0)</f>
        <v>0</v>
      </c>
      <c r="BM202" s="0" t="n">
        <f aca="false">20*LOG(J202*F202*C202)</f>
        <v>9.43396320602982</v>
      </c>
      <c r="BN202" s="0" t="n">
        <f aca="false">(H202+D202)*180/Pi</f>
        <v>-156.263691185527</v>
      </c>
      <c r="BQ202" s="347" t="n">
        <f aca="false">20*LOG(BA202*7)</f>
        <v>48.0362713271872</v>
      </c>
      <c r="BR202" s="353"/>
      <c r="BS202" s="353"/>
      <c r="BT202" s="353" t="n">
        <v>8317.638</v>
      </c>
      <c r="BU202" s="353" t="n">
        <v>-1.29555</v>
      </c>
      <c r="BV202" s="353" t="n">
        <v>-220.932</v>
      </c>
      <c r="BW202" s="349"/>
      <c r="BY202" s="353"/>
      <c r="BZ202" s="353"/>
      <c r="CA202" s="353"/>
      <c r="CC202" s="353"/>
    </row>
    <row r="203" customFormat="false" ht="12.75" hidden="false" customHeight="false" outlineLevel="0" collapsed="false">
      <c r="A203" s="0" t="n">
        <f aca="false">A202+500</f>
        <v>84500</v>
      </c>
      <c r="B203" s="0" t="n">
        <f aca="false">A203/1000</f>
        <v>84.5</v>
      </c>
      <c r="C203" s="0" t="n">
        <f aca="false">SQRT((A203/Fesr)^2+1)</f>
        <v>1.00000014094288</v>
      </c>
      <c r="D203" s="0" t="n">
        <f aca="false">ATAN(A203/Fesr)</f>
        <v>0.000530929107962884</v>
      </c>
      <c r="F203" s="0" t="n">
        <f aca="false">(Ro/(Ro+Rdcr))/SQRT((A203/(Q*Fo))^2+(1-(A203^2/Fo^2))^2)</f>
        <v>0.324457750763727</v>
      </c>
      <c r="G203" s="0" t="n">
        <f aca="false">-ATAN(A203*Fo/(Q*(Fo^2-A203^2)))</f>
        <v>0.410006941638779</v>
      </c>
      <c r="H203" s="0" t="n">
        <f aca="false">IF(G203&gt;0,G203-Pi,G203)</f>
        <v>-2.73158570836122</v>
      </c>
      <c r="J203" s="0" t="n">
        <f aca="false">Vin/Vramp</f>
        <v>9</v>
      </c>
      <c r="M203" s="0" t="n">
        <f aca="false">1/(2*Pi*_Rfb1*(Cc1ea_u+Cc2ea_u)*A203)</f>
        <v>0.0697589056645875</v>
      </c>
      <c r="N203" s="0" t="n">
        <f aca="false">-Pi/2</f>
        <v>-1.570796325</v>
      </c>
      <c r="O203" s="0" t="n">
        <f aca="false">SQRT(1+(A203/Fz1_u)^2)</f>
        <v>2.29371721340816</v>
      </c>
      <c r="P203" s="0" t="n">
        <f aca="false">ATAN2(Fz1_u,A203)</f>
        <v>1.11967657973752</v>
      </c>
      <c r="Q203" s="0" t="n">
        <f aca="false">SQRT(1+(A203/Fz2_u)^2)</f>
        <v>2342.34922463029</v>
      </c>
      <c r="R203" s="0" t="n">
        <f aca="false">ATAN2(Fz2_u,A203)</f>
        <v>1.57036940495939</v>
      </c>
      <c r="S203" s="0" t="n">
        <f aca="false">1/SQRT(1+(A203/Fp1_u)^2)</f>
        <v>0.157726798181692</v>
      </c>
      <c r="T203" s="0" t="n">
        <f aca="false">-ATAN2(Fp1_u,A203)</f>
        <v>-1.4124081158984</v>
      </c>
      <c r="U203" s="0" t="n">
        <f aca="false">1/SQRT(1+(A203/Fp2_u)^2)</f>
        <v>0.974690976079686</v>
      </c>
      <c r="V203" s="0" t="n">
        <f aca="false">-ATAN2(Fp2_u,A203)</f>
        <v>-0.225461784491451</v>
      </c>
      <c r="X203" s="0" t="n">
        <f aca="false">20*LOG(C203*J203*O203*Q203*F203*M203*S203*U203)</f>
        <v>44.5192866903756</v>
      </c>
      <c r="Y203" s="0" t="n">
        <f aca="false">(180/Pi)*(D203+H203+N203+P203+R203+T203+V203)</f>
        <v>-186.192663644765</v>
      </c>
      <c r="Z203" s="0" t="n">
        <f aca="false">Y203+180</f>
        <v>-6.19266364476511</v>
      </c>
      <c r="AC203" s="0" t="n">
        <v>1</v>
      </c>
      <c r="AD203" s="0" t="n">
        <f aca="false">Rcea1_u*Cc1ea_u*A203*2*Pi</f>
        <v>2.0642525657208</v>
      </c>
      <c r="AE203" s="0" t="n">
        <f aca="false">-Rcea1_u*Cc1ea_u*Cc2ea_u*(A203*2*Pi)^2</f>
        <v>-0.000164395781446177</v>
      </c>
      <c r="AF203" s="0" t="n">
        <f aca="false">(Cc2ea_u+Cc1ea_u)*A203*2*Pi</f>
        <v>0.0007167543630975</v>
      </c>
      <c r="AG203" s="0" t="n">
        <f aca="false">AC203*AE203/(AE203^2+AF203^2)+AD203*AF203/(AE203^2+AF203^2)</f>
        <v>2432.057597059</v>
      </c>
      <c r="AH203" s="0" t="n">
        <f aca="false">AD203*AE203/(AE203^2+AF203^2)-AC203*AF203/(AE203^2+AF203^2)</f>
        <v>-1952.99823937062</v>
      </c>
      <c r="AJ203" s="0" t="n">
        <f aca="false">_Rfb1</f>
        <v>20000</v>
      </c>
      <c r="AK203" s="0" t="n">
        <f aca="false">_Rfb1*Rcea2_u*Cc3ea_u*A203*2*Pi</f>
        <v>125214.332587344</v>
      </c>
      <c r="AL203" s="0" t="n">
        <v>1</v>
      </c>
      <c r="AM203" s="0" t="n">
        <f aca="false">(_Rfb1+Rcea2_u)*Cc3ea_u*A203*2*Pi</f>
        <v>2342.34901116937</v>
      </c>
      <c r="AN203" s="0" t="n">
        <f aca="false">AJ203*AL203/(AL203^2+AM203^2)+AK203*AM203/(AL203^2+AM203^2)</f>
        <v>53.4603714493669</v>
      </c>
      <c r="AO203" s="0" t="n">
        <f aca="false">AK203*AL203/(AL203^2+AM203^2)-AJ203*AM203/(AL203^2+AM203^2)</f>
        <v>-8.51561382758787</v>
      </c>
      <c r="AQ203" s="0" t="n">
        <f aca="false">Eadcg/(1+(Eadcg*A203/GBP)^2)</f>
        <v>1.59370622750092</v>
      </c>
      <c r="AR203" s="0" t="n">
        <f aca="false">-(A203*Eadcg*Eadcg/GBP)/(1+(Eadcg*A203/GBP)^2)</f>
        <v>-70.9701288699572</v>
      </c>
      <c r="AT203" s="0" t="n">
        <f aca="false">-AR203*AH203+AG203*AQ203</f>
        <v>-134728.551392858</v>
      </c>
      <c r="AU203" s="0" t="n">
        <f aca="false">AQ203*AH203+AG203*AR203</f>
        <v>-175715.946538819</v>
      </c>
      <c r="AV203" s="0" t="n">
        <f aca="false">ATAN2(AT203,AU203)</f>
        <v>-2.22492561757077</v>
      </c>
      <c r="AW203" s="0" t="n">
        <f aca="false">AG203-AH203*AO203/_Rfb2+AG203*AN203/_Rfb2+AN203-AO203*AR203+AQ203*AN203</f>
        <v>2017.3883603317</v>
      </c>
      <c r="AX203" s="0" t="n">
        <f aca="false">AH203+AH203*AN203/_Rfb2+AG203*AO203/_Rfb2+AO203+AO203*AQ203+AN203*AR203</f>
        <v>-5825.47800476245</v>
      </c>
      <c r="AY203" s="0" t="n">
        <f aca="false">ATAN2(AW203,AX203)</f>
        <v>-1.23741763427705</v>
      </c>
      <c r="BA203" s="0" t="n">
        <f aca="false">SQRT(AT203^2+AU203^2)/SQRT(AW203^2+AX203^2)</f>
        <v>35.9165964424143</v>
      </c>
      <c r="BB203" s="0" t="n">
        <f aca="false">20*LOG(BA203)</f>
        <v>31.1059034995976</v>
      </c>
      <c r="BC203" s="0" t="n">
        <f aca="false">AV203-AY203</f>
        <v>-0.987507983293724</v>
      </c>
      <c r="BD203" s="0" t="n">
        <f aca="false">BC203*180/Pi-180</f>
        <v>-236.580039742858</v>
      </c>
      <c r="BF203" s="0" t="n">
        <f aca="false">20*LOG(BA203*J203*F203*C203)</f>
        <v>40.4139179766353</v>
      </c>
      <c r="BG203" s="0" t="n">
        <f aca="false">(180/Pi)*(D203+H203+BC203)</f>
        <v>-213.057952391904</v>
      </c>
      <c r="BH203" s="0" t="n">
        <f aca="false">IF(BG203&gt;180,BG203-180,BG203+180)</f>
        <v>-33.0579523919044</v>
      </c>
      <c r="BI203" s="0" t="n">
        <f aca="false">IF(BH203&gt;180,BH203-360,BH203)</f>
        <v>-33.0579523919044</v>
      </c>
      <c r="BJ203" s="0" t="n">
        <f aca="false">SUM((BF204&lt;0)*(BF203&gt;0))*A203</f>
        <v>0</v>
      </c>
      <c r="BK203" s="0" t="n">
        <f aca="false">IF(BJ203&gt;0,BI203,0)</f>
        <v>0</v>
      </c>
      <c r="BM203" s="0" t="n">
        <f aca="false">20*LOG(J203*F203*C203)</f>
        <v>9.30801447703769</v>
      </c>
      <c r="BN203" s="0" t="n">
        <f aca="false">(H203+D203)*180/Pi</f>
        <v>-156.477912649047</v>
      </c>
      <c r="BQ203" s="347" t="n">
        <f aca="false">20*LOG(BA203*7)</f>
        <v>48.0078642998827</v>
      </c>
      <c r="BR203" s="353"/>
      <c r="BS203" s="353"/>
      <c r="BT203" s="353" t="n">
        <v>8511.38</v>
      </c>
      <c r="BU203" s="353" t="n">
        <v>-1.51375</v>
      </c>
      <c r="BV203" s="353" t="n">
        <v>-219.996</v>
      </c>
      <c r="BW203" s="349"/>
      <c r="BY203" s="353"/>
      <c r="BZ203" s="353"/>
      <c r="CA203" s="353"/>
      <c r="CC203" s="353"/>
    </row>
    <row r="204" customFormat="false" ht="12.75" hidden="false" customHeight="false" outlineLevel="0" collapsed="false">
      <c r="A204" s="0" t="n">
        <f aca="false">A203+500</f>
        <v>85000</v>
      </c>
      <c r="B204" s="0" t="n">
        <f aca="false">A204/1000</f>
        <v>85</v>
      </c>
      <c r="C204" s="0" t="n">
        <f aca="false">SQRT((A204/Fesr)^2+1)</f>
        <v>1.00000014261577</v>
      </c>
      <c r="D204" s="0" t="n">
        <f aca="false">ATAN(A204/Fesr)</f>
        <v>0.000534070699722063</v>
      </c>
      <c r="F204" s="0" t="n">
        <f aca="false">(Ro/(Ro+Rdcr))/SQRT((A204/(Q*Fo))^2+(1-(A204^2/Fo^2))^2)</f>
        <v>0.319823701071188</v>
      </c>
      <c r="G204" s="0" t="n">
        <f aca="false">-ATAN(A204*Fo/(Q*(Fo^2-A204^2)))</f>
        <v>0.406337245285869</v>
      </c>
      <c r="H204" s="0" t="n">
        <f aca="false">IF(G204&gt;0,G204-Pi,G204)</f>
        <v>-2.73525540471413</v>
      </c>
      <c r="J204" s="0" t="n">
        <f aca="false">Vin/Vramp</f>
        <v>9</v>
      </c>
      <c r="M204" s="0" t="n">
        <f aca="false">1/(2*Pi*_Rfb1*(Cc1ea_u+Cc2ea_u)*A204)</f>
        <v>0.0693485591606782</v>
      </c>
      <c r="N204" s="0" t="n">
        <f aca="false">-Pi/2</f>
        <v>-1.570796325</v>
      </c>
      <c r="O204" s="0" t="n">
        <f aca="false">SQRT(1+(A204/Fz1_u)^2)</f>
        <v>2.30471593168991</v>
      </c>
      <c r="P204" s="0" t="n">
        <f aca="false">ATAN2(Fz1_u,A204)</f>
        <v>1.12198715030617</v>
      </c>
      <c r="Q204" s="0" t="n">
        <f aca="false">SQRT(1+(A204/Fz2_u)^2)</f>
        <v>2356.20927669516</v>
      </c>
      <c r="R204" s="0" t="n">
        <f aca="false">ATAN2(Fz2_u,A204)</f>
        <v>1.570371916264</v>
      </c>
      <c r="S204" s="0" t="n">
        <f aca="false">1/SQRT(1+(A204/Fp1_u)^2)</f>
        <v>0.156821876919016</v>
      </c>
      <c r="T204" s="0" t="n">
        <f aca="false">-ATAN2(Fp1_u,A204)</f>
        <v>-1.41332444090404</v>
      </c>
      <c r="U204" s="0" t="n">
        <f aca="false">1/SQRT(1+(A204/Fp2_u)^2)</f>
        <v>0.974402011500135</v>
      </c>
      <c r="V204" s="0" t="n">
        <f aca="false">-ATAN2(Fp2_u,A204)</f>
        <v>-0.226750742758688</v>
      </c>
      <c r="X204" s="0" t="n">
        <f aca="false">20*LOG(C204*J204*O204*Q204*F204*M204*S204*U204)</f>
        <v>44.383334861328</v>
      </c>
      <c r="Y204" s="0" t="n">
        <f aca="false">(180/Pi)*(D204+H204+N204+P204+R204+T204+V204)</f>
        <v>-186.396565353326</v>
      </c>
      <c r="Z204" s="0" t="n">
        <f aca="false">Y204+180</f>
        <v>-6.39656535332605</v>
      </c>
      <c r="AC204" s="0" t="n">
        <v>1</v>
      </c>
      <c r="AD204" s="0" t="n">
        <f aca="false">Rcea1_u*Cc1ea_u*A204*2*Pi</f>
        <v>2.076467077944</v>
      </c>
      <c r="AE204" s="0" t="n">
        <f aca="false">-Rcea1_u*Cc1ea_u*Cc2ea_u*(A204*2*Pi)^2</f>
        <v>-0.000166347049605914</v>
      </c>
      <c r="AF204" s="0" t="n">
        <f aca="false">(Cc2ea_u+Cc1ea_u)*A204*2*Pi</f>
        <v>0.000720995513175</v>
      </c>
      <c r="AG204" s="0" t="n">
        <f aca="false">AC204*AE204/(AE204^2+AF204^2)+AD204*AF204/(AE204^2+AF204^2)</f>
        <v>2430.6157568397</v>
      </c>
      <c r="AH204" s="0" t="n">
        <f aca="false">AD204*AE204/(AE204^2+AF204^2)-AC204*AF204/(AE204^2+AF204^2)</f>
        <v>-1947.75936079241</v>
      </c>
      <c r="AJ204" s="0" t="n">
        <f aca="false">_Rfb1</f>
        <v>20000</v>
      </c>
      <c r="AK204" s="0" t="n">
        <f aca="false">_Rfb1*Rcea2_u*Cc3ea_u*A204*2*Pi</f>
        <v>125955.24579792</v>
      </c>
      <c r="AL204" s="0" t="n">
        <v>1</v>
      </c>
      <c r="AM204" s="0" t="n">
        <f aca="false">(_Rfb1+Rcea2_u)*Cc3ea_u*A204*2*Pi</f>
        <v>2356.2090644899</v>
      </c>
      <c r="AN204" s="0" t="n">
        <f aca="false">AJ204*AL204/(AL204^2+AM204^2)+AK204*AM204/(AL204^2+AM204^2)</f>
        <v>53.4603288045622</v>
      </c>
      <c r="AO204" s="0" t="n">
        <f aca="false">AK204*AL204/(AL204^2+AM204^2)-AJ204*AM204/(AL204^2+AM204^2)</f>
        <v>-8.46552199964214</v>
      </c>
      <c r="AQ204" s="0" t="n">
        <f aca="false">Eadcg/(1+(Eadcg*A204/GBP)^2)</f>
        <v>1.57502119983765</v>
      </c>
      <c r="AR204" s="0" t="n">
        <f aca="false">-(A204*Eadcg*Eadcg/GBP)/(1+(Eadcg*A204/GBP)^2)</f>
        <v>-70.5530746467276</v>
      </c>
      <c r="AT204" s="0" t="n">
        <f aca="false">-AR204*AH204+AG204*AQ204</f>
        <v>-133592.140230167</v>
      </c>
      <c r="AU204" s="0" t="n">
        <f aca="false">AQ204*AH204+AG204*AR204</f>
        <v>-174555.177215254</v>
      </c>
      <c r="AV204" s="0" t="n">
        <f aca="false">ATAN2(AT204,AU204)</f>
        <v>-2.22403603328378</v>
      </c>
      <c r="AW204" s="0" t="n">
        <f aca="false">AG204-AH204*AO204/_Rfb2+AG204*AN204/_Rfb2+AN204-AO204*AR204+AQ204*AN204</f>
        <v>2022.06235432521</v>
      </c>
      <c r="AX204" s="0" t="n">
        <f aca="false">AH204+AH204*AN204/_Rfb2+AG204*AO204/_Rfb2+AO204+AO204*AQ204+AN204*AR204</f>
        <v>-5797.4657573561</v>
      </c>
      <c r="AY204" s="0" t="n">
        <f aca="false">ATAN2(AW204,AX204)</f>
        <v>-1.23520535901127</v>
      </c>
      <c r="BA204" s="0" t="n">
        <f aca="false">SQRT(AT204^2+AU204^2)/SQRT(AW204^2+AX204^2)</f>
        <v>35.7997706118521</v>
      </c>
      <c r="BB204" s="0" t="n">
        <f aca="false">20*LOG(BA204)</f>
        <v>31.0776048779467</v>
      </c>
      <c r="BC204" s="0" t="n">
        <f aca="false">AV204-AY204</f>
        <v>-0.988830674272506</v>
      </c>
      <c r="BD204" s="0" t="n">
        <f aca="false">BC204*180/Pi-180</f>
        <v>-236.655824353629</v>
      </c>
      <c r="BF204" s="0" t="n">
        <f aca="false">20*LOG(BA204*J204*F204*C204)</f>
        <v>40.2606691999377</v>
      </c>
      <c r="BG204" s="0" t="n">
        <f aca="false">(180/Pi)*(D204+H204+BC204)</f>
        <v>-213.343815116083</v>
      </c>
      <c r="BH204" s="0" t="n">
        <f aca="false">IF(BG204&gt;180,BG204-180,BG204+180)</f>
        <v>-33.3438151160828</v>
      </c>
      <c r="BI204" s="0" t="n">
        <f aca="false">IF(BH204&gt;180,BH204-360,BH204)</f>
        <v>-33.3438151160828</v>
      </c>
      <c r="BJ204" s="0" t="n">
        <f aca="false">SUM((BF205&lt;0)*(BF204&gt;0))*A204</f>
        <v>0</v>
      </c>
      <c r="BK204" s="0" t="n">
        <f aca="false">IF(BJ204&gt;0,BI204,0)</f>
        <v>0</v>
      </c>
      <c r="BM204" s="0" t="n">
        <f aca="false">20*LOG(J204*F204*C204)</f>
        <v>9.18306432199097</v>
      </c>
      <c r="BN204" s="0" t="n">
        <f aca="false">(H204+D204)*180/Pi</f>
        <v>-156.687990762454</v>
      </c>
      <c r="BQ204" s="347" t="n">
        <f aca="false">20*LOG(BA204*7)</f>
        <v>47.9795656782319</v>
      </c>
      <c r="BR204" s="353"/>
      <c r="BS204" s="353"/>
      <c r="BT204" s="353" t="n">
        <v>8709.636</v>
      </c>
      <c r="BU204" s="353" t="n">
        <v>-1.62094</v>
      </c>
      <c r="BV204" s="353" t="n">
        <v>-218.722</v>
      </c>
      <c r="BW204" s="349"/>
      <c r="BY204" s="353"/>
      <c r="BZ204" s="353"/>
      <c r="CA204" s="353"/>
      <c r="CC204" s="353"/>
    </row>
    <row r="205" customFormat="false" ht="12.75" hidden="false" customHeight="false" outlineLevel="0" collapsed="false">
      <c r="A205" s="0" t="n">
        <f aca="false">A204+500</f>
        <v>85500</v>
      </c>
      <c r="B205" s="0" t="n">
        <f aca="false">A205/1000</f>
        <v>85.5</v>
      </c>
      <c r="C205" s="0" t="n">
        <f aca="false">SQRT((A205/Fesr)^2+1)</f>
        <v>1.00000014429854</v>
      </c>
      <c r="D205" s="0" t="n">
        <f aca="false">ATAN(A205/Fesr)</f>
        <v>0.000537212291470701</v>
      </c>
      <c r="F205" s="0" t="n">
        <f aca="false">(Ro/(Ro+Rdcr))/SQRT((A205/(Q*Fo))^2+(1-(A205^2/Fo^2))^2)</f>
        <v>0.315291532721484</v>
      </c>
      <c r="G205" s="0" t="n">
        <f aca="false">-ATAN(A205*Fo/(Q*(Fo^2-A205^2)))</f>
        <v>0.402737761596404</v>
      </c>
      <c r="H205" s="0" t="n">
        <f aca="false">IF(G205&gt;0,G205-Pi,G205)</f>
        <v>-2.7388548884036</v>
      </c>
      <c r="J205" s="0" t="n">
        <f aca="false">Vin/Vramp</f>
        <v>9</v>
      </c>
      <c r="M205" s="0" t="n">
        <f aca="false">1/(2*Pi*_Rfb1*(Cc1ea_u+Cc2ea_u)*A205)</f>
        <v>0.0689430120310835</v>
      </c>
      <c r="N205" s="0" t="n">
        <f aca="false">-Pi/2</f>
        <v>-1.570796325</v>
      </c>
      <c r="O205" s="0" t="n">
        <f aca="false">SQRT(1+(A205/Fz1_u)^2)</f>
        <v>2.31572683732417</v>
      </c>
      <c r="P205" s="0" t="n">
        <f aca="false">ATAN2(Fz1_u,A205)</f>
        <v>1.12427576021969</v>
      </c>
      <c r="Q205" s="0" t="n">
        <f aca="false">SQRT(1+(A205/Fz2_u)^2)</f>
        <v>2370.06932877473</v>
      </c>
      <c r="R205" s="0" t="n">
        <f aca="false">ATAN2(Fz2_u,A205)</f>
        <v>1.57037439819664</v>
      </c>
      <c r="S205" s="0" t="n">
        <f aca="false">1/SQRT(1+(A205/Fp1_u)^2)</f>
        <v>0.155927151286208</v>
      </c>
      <c r="T205" s="0" t="n">
        <f aca="false">-ATAN2(Fp1_u,A205)</f>
        <v>-1.4142303107307</v>
      </c>
      <c r="U205" s="0" t="n">
        <f aca="false">1/SQRT(1+(A205/Fp2_u)^2)</f>
        <v>0.974111601245428</v>
      </c>
      <c r="V205" s="0" t="n">
        <f aca="false">-ATAN2(Fp2_u,A205)</f>
        <v>-0.228038934844218</v>
      </c>
      <c r="X205" s="0" t="n">
        <f aca="false">20*LOG(C205*J205*O205*Q205*F205*M205*S205*U205)</f>
        <v>44.2484794446809</v>
      </c>
      <c r="Y205" s="0" t="n">
        <f aca="false">(180/Pi)*(D205+H205+N205+P205+R205+T205+V205)</f>
        <v>-186.597061171737</v>
      </c>
      <c r="Z205" s="0" t="n">
        <f aca="false">Y205+180</f>
        <v>-6.59706117173707</v>
      </c>
      <c r="AC205" s="0" t="n">
        <v>1</v>
      </c>
      <c r="AD205" s="0" t="n">
        <f aca="false">Rcea1_u*Cc1ea_u*A205*2*Pi</f>
        <v>2.0886815901672</v>
      </c>
      <c r="AE205" s="0" t="n">
        <f aca="false">-Rcea1_u*Cc1ea_u*Cc2ea_u*(A205*2*Pi)^2</f>
        <v>-0.000168309829672198</v>
      </c>
      <c r="AF205" s="0" t="n">
        <f aca="false">(Cc2ea_u+Cc1ea_u)*A205*2*Pi</f>
        <v>0.0007252366632525</v>
      </c>
      <c r="AG205" s="0" t="n">
        <f aca="false">AC205*AE205/(AE205^2+AF205^2)+AD205*AF205/(AE205^2+AF205^2)</f>
        <v>2429.16713390318</v>
      </c>
      <c r="AH205" s="0" t="n">
        <f aca="false">AD205*AE205/(AE205^2+AF205^2)-AC205*AF205/(AE205^2+AF205^2)</f>
        <v>-1942.61098195754</v>
      </c>
      <c r="AJ205" s="0" t="n">
        <f aca="false">_Rfb1</f>
        <v>20000</v>
      </c>
      <c r="AK205" s="0" t="n">
        <f aca="false">_Rfb1*Rcea2_u*Cc3ea_u*A205*2*Pi</f>
        <v>126696.159008496</v>
      </c>
      <c r="AL205" s="0" t="n">
        <v>1</v>
      </c>
      <c r="AM205" s="0" t="n">
        <f aca="false">(_Rfb1+Rcea2_u)*Cc3ea_u*A205*2*Pi</f>
        <v>2370.06911781042</v>
      </c>
      <c r="AN205" s="0" t="n">
        <f aca="false">AJ205*AL205/(AL205^2+AM205^2)+AK205*AM205/(AL205^2+AM205^2)</f>
        <v>53.460286905722</v>
      </c>
      <c r="AO205" s="0" t="n">
        <f aca="false">AK205*AL205/(AL205^2+AM205^2)-AJ205*AM205/(AL205^2+AM205^2)</f>
        <v>-8.41601604071437</v>
      </c>
      <c r="AQ205" s="0" t="n">
        <f aca="false">Eadcg/(1+(Eadcg*A205/GBP)^2)</f>
        <v>1.55666280505533</v>
      </c>
      <c r="AR205" s="0" t="n">
        <f aca="false">-(A205*Eadcg*Eadcg/GBP)/(1+(Eadcg*A205/GBP)^2)</f>
        <v>-70.1408910015856</v>
      </c>
      <c r="AT205" s="0" t="n">
        <f aca="false">-AR205*AH205+AG205*AQ205</f>
        <v>-132475.071019357</v>
      </c>
      <c r="AU205" s="0" t="n">
        <f aca="false">AQ205*AH205+AG205*AR205</f>
        <v>-173407.937424043</v>
      </c>
      <c r="AV205" s="0" t="n">
        <f aca="false">ATAN2(AT205,AU205)</f>
        <v>-2.2231661000476</v>
      </c>
      <c r="AW205" s="0" t="n">
        <f aca="false">AG205-AH205*AO205/_Rfb2+AG205*AN205/_Rfb2+AN205-AO205*AR205+AQ205*AN205</f>
        <v>2026.62191423421</v>
      </c>
      <c r="AX205" s="0" t="n">
        <f aca="false">AH205+AH205*AN205/_Rfb2+AG205*AO205/_Rfb2+AO205+AO205*AQ205+AN205*AR205</f>
        <v>-5769.81345640609</v>
      </c>
      <c r="AY205" s="0" t="n">
        <f aca="false">ATAN2(AW205,AX205)</f>
        <v>-1.23301222262848</v>
      </c>
      <c r="BA205" s="0" t="n">
        <f aca="false">SQRT(AT205^2+AU205^2)/SQRT(AW205^2+AX205^2)</f>
        <v>35.6837623714862</v>
      </c>
      <c r="BB205" s="0" t="n">
        <f aca="false">20*LOG(BA205)</f>
        <v>31.0494127722834</v>
      </c>
      <c r="BC205" s="0" t="n">
        <f aca="false">AV205-AY205</f>
        <v>-0.990153877419119</v>
      </c>
      <c r="BD205" s="0" t="n">
        <f aca="false">BC205*180/Pi-180</f>
        <v>-236.731638309455</v>
      </c>
      <c r="BF205" s="0" t="n">
        <f aca="false">20*LOG(BA205*J205*F205*C205)</f>
        <v>40.1085103695278</v>
      </c>
      <c r="BG205" s="0" t="n">
        <f aca="false">(180/Pi)*(D205+H205+BC205)</f>
        <v>-213.625684296029</v>
      </c>
      <c r="BH205" s="0" t="n">
        <f aca="false">IF(BG205&gt;180,BG205-180,BG205+180)</f>
        <v>-33.6256842960287</v>
      </c>
      <c r="BI205" s="0" t="n">
        <f aca="false">IF(BH205&gt;180,BH205-360,BH205)</f>
        <v>-33.6256842960287</v>
      </c>
      <c r="BJ205" s="0" t="n">
        <f aca="false">SUM((BF206&lt;0)*(BF205&gt;0))*A205</f>
        <v>0</v>
      </c>
      <c r="BK205" s="0" t="n">
        <f aca="false">IF(BJ205&gt;0,BI205,0)</f>
        <v>0</v>
      </c>
      <c r="BM205" s="0" t="n">
        <f aca="false">20*LOG(J205*F205*C205)</f>
        <v>9.05909759724441</v>
      </c>
      <c r="BN205" s="0" t="n">
        <f aca="false">(H205+D205)*180/Pi</f>
        <v>-156.894045986574</v>
      </c>
      <c r="BQ205" s="347" t="n">
        <f aca="false">20*LOG(BA205*7)</f>
        <v>47.9513735725686</v>
      </c>
      <c r="BR205" s="353"/>
      <c r="BS205" s="353"/>
      <c r="BT205" s="353" t="n">
        <v>8912.509</v>
      </c>
      <c r="BU205" s="353" t="n">
        <v>-1.6954</v>
      </c>
      <c r="BV205" s="353" t="n">
        <v>-217.619</v>
      </c>
      <c r="BW205" s="349"/>
      <c r="BY205" s="353"/>
      <c r="BZ205" s="353"/>
      <c r="CA205" s="353"/>
      <c r="CC205" s="353"/>
    </row>
    <row r="206" customFormat="false" ht="12.75" hidden="false" customHeight="false" outlineLevel="0" collapsed="false">
      <c r="A206" s="0" t="n">
        <f aca="false">A205+500</f>
        <v>86000</v>
      </c>
      <c r="B206" s="0" t="n">
        <f aca="false">A206/1000</f>
        <v>86</v>
      </c>
      <c r="C206" s="0" t="n">
        <f aca="false">SQRT((A206/Fesr)^2+1)</f>
        <v>1.00000014599118</v>
      </c>
      <c r="D206" s="0" t="n">
        <f aca="false">ATAN(A206/Fesr)</f>
        <v>0.000540353883208734</v>
      </c>
      <c r="F206" s="0" t="n">
        <f aca="false">(Ro/(Ro+Rdcr))/SQRT((A206/(Q*Fo))^2+(1-(A206^2/Fo^2))^2)</f>
        <v>0.310858250916705</v>
      </c>
      <c r="G206" s="0" t="n">
        <f aca="false">-ATAN(A206*Fo/(Q*(Fo^2-A206^2)))</f>
        <v>0.399206467485442</v>
      </c>
      <c r="H206" s="0" t="n">
        <f aca="false">IF(G206&gt;0,G206-Pi,G206)</f>
        <v>-2.74238618251456</v>
      </c>
      <c r="J206" s="0" t="n">
        <f aca="false">Vin/Vramp</f>
        <v>9</v>
      </c>
      <c r="M206" s="0" t="n">
        <f aca="false">1/(2*Pi*_Rfb1*(Cc1ea_u+Cc2ea_u)*A206)</f>
        <v>0.0685421805657866</v>
      </c>
      <c r="N206" s="0" t="n">
        <f aca="false">-Pi/2</f>
        <v>-1.570796325</v>
      </c>
      <c r="O206" s="0" t="n">
        <f aca="false">SQRT(1+(A206/Fz1_u)^2)</f>
        <v>2.32674975728787</v>
      </c>
      <c r="P206" s="0" t="n">
        <f aca="false">ATAN2(Fz1_u,A206)</f>
        <v>1.12654269744652</v>
      </c>
      <c r="Q206" s="0" t="n">
        <f aca="false">SQRT(1+(A206/Fz2_u)^2)</f>
        <v>2383.92938086872</v>
      </c>
      <c r="R206" s="0" t="n">
        <f aca="false">ATAN2(Fz2_u,A206)</f>
        <v>1.57037685126959</v>
      </c>
      <c r="S206" s="0" t="n">
        <f aca="false">1/SQRT(1+(A206/Fp1_u)^2)</f>
        <v>0.155042452132317</v>
      </c>
      <c r="T206" s="0" t="n">
        <f aca="false">-ATAN2(Fp1_u,A206)</f>
        <v>-1.41512590184059</v>
      </c>
      <c r="U206" s="0" t="n">
        <f aca="false">1/SQRT(1+(A206/Fp2_u)^2)</f>
        <v>0.973819749497988</v>
      </c>
      <c r="V206" s="0" t="n">
        <f aca="false">-ATAN2(Fp2_u,A206)</f>
        <v>-0.229326357159461</v>
      </c>
      <c r="X206" s="0" t="n">
        <f aca="false">20*LOG(C206*J206*O206*Q206*F206*M206*S206*U206)</f>
        <v>44.1147031714668</v>
      </c>
      <c r="Y206" s="0" t="n">
        <f aca="false">(180/Pi)*(D206+H206+N206+P206+R206+T206+V206)</f>
        <v>-186.794260390427</v>
      </c>
      <c r="Z206" s="0" t="n">
        <f aca="false">Y206+180</f>
        <v>-6.79426039042679</v>
      </c>
      <c r="AC206" s="0" t="n">
        <v>1</v>
      </c>
      <c r="AD206" s="0" t="n">
        <f aca="false">Rcea1_u*Cc1ea_u*A206*2*Pi</f>
        <v>2.1008961023904</v>
      </c>
      <c r="AE206" s="0" t="n">
        <f aca="false">-Rcea1_u*Cc1ea_u*Cc2ea_u*(A206*2*Pi)^2</f>
        <v>-0.00017028412164503</v>
      </c>
      <c r="AF206" s="0" t="n">
        <f aca="false">(Cc2ea_u+Cc1ea_u)*A206*2*Pi</f>
        <v>0.00072947781333</v>
      </c>
      <c r="AG206" s="0" t="n">
        <f aca="false">AC206*AE206/(AE206^2+AF206^2)+AD206*AF206/(AE206^2+AF206^2)</f>
        <v>2427.71175555155</v>
      </c>
      <c r="AH206" s="0" t="n">
        <f aca="false">AD206*AE206/(AE206^2+AF206^2)-AC206*AF206/(AE206^2+AF206^2)</f>
        <v>-1937.55140742302</v>
      </c>
      <c r="AJ206" s="0" t="n">
        <f aca="false">_Rfb1</f>
        <v>20000</v>
      </c>
      <c r="AK206" s="0" t="n">
        <f aca="false">_Rfb1*Rcea2_u*Cc3ea_u*A206*2*Pi</f>
        <v>127437.072219072</v>
      </c>
      <c r="AL206" s="0" t="n">
        <v>1</v>
      </c>
      <c r="AM206" s="0" t="n">
        <f aca="false">(_Rfb1+Rcea2_u)*Cc3ea_u*A206*2*Pi</f>
        <v>2383.92917113095</v>
      </c>
      <c r="AN206" s="0" t="n">
        <f aca="false">AJ206*AL206/(AL206^2+AM206^2)+AK206*AM206/(AL206^2+AM206^2)</f>
        <v>53.4602457355489</v>
      </c>
      <c r="AO206" s="0" t="n">
        <f aca="false">AK206*AL206/(AL206^2+AM206^2)-AJ206*AM206/(AL206^2+AM206^2)</f>
        <v>-8.36708573216614</v>
      </c>
      <c r="AQ206" s="0" t="n">
        <f aca="false">Eadcg/(1+(Eadcg*A206/GBP)^2)</f>
        <v>1.53862347534457</v>
      </c>
      <c r="AR206" s="0" t="n">
        <f aca="false">-(A206*Eadcg*Eadcg/GBP)/(1+(Eadcg*A206/GBP)^2)</f>
        <v>-69.7334931495665</v>
      </c>
      <c r="AT206" s="0" t="n">
        <f aca="false">-AR206*AH206+AG206*AQ206</f>
        <v>-131376.893498005</v>
      </c>
      <c r="AU206" s="0" t="n">
        <f aca="false">AQ206*AH206+AG206*AR206</f>
        <v>-172273.983155024</v>
      </c>
      <c r="AV206" s="0" t="n">
        <f aca="false">ATAN2(AT206,AU206)</f>
        <v>-2.22231555320776</v>
      </c>
      <c r="AW206" s="0" t="n">
        <f aca="false">AG206-AH206*AO206/_Rfb2+AG206*AN206/_Rfb2+AN206-AO206*AR206+AQ206*AN206</f>
        <v>2031.06955851838</v>
      </c>
      <c r="AX206" s="0" t="n">
        <f aca="false">AH206+AH206*AN206/_Rfb2+AG206*AO206/_Rfb2+AO206+AO206*AQ206+AN206*AR206</f>
        <v>-5742.51464849796</v>
      </c>
      <c r="AY206" s="0" t="n">
        <f aca="false">ATAN2(AW206,AX206)</f>
        <v>-1.23083806123502</v>
      </c>
      <c r="BA206" s="0" t="n">
        <f aca="false">SQRT(AT206^2+AU206^2)/SQRT(AW206^2+AX206^2)</f>
        <v>35.5685587129332</v>
      </c>
      <c r="BB206" s="0" t="n">
        <f aca="false">20*LOG(BA206)</f>
        <v>31.0213253466159</v>
      </c>
      <c r="BC206" s="0" t="n">
        <f aca="false">AV206-AY206</f>
        <v>-0.991477491972742</v>
      </c>
      <c r="BD206" s="0" t="n">
        <f aca="false">BC206*180/Pi-180</f>
        <v>-236.807475837166</v>
      </c>
      <c r="BF206" s="0" t="n">
        <f aca="false">20*LOG(BA206*J206*F206*C206)</f>
        <v>39.9574247847609</v>
      </c>
      <c r="BG206" s="0" t="n">
        <f aca="false">(180/Pi)*(D206+H206+BC206)</f>
        <v>-213.903670072801</v>
      </c>
      <c r="BH206" s="0" t="n">
        <f aca="false">IF(BG206&gt;180,BG206-180,BG206+180)</f>
        <v>-33.903670072801</v>
      </c>
      <c r="BI206" s="0" t="n">
        <f aca="false">IF(BH206&gt;180,BH206-360,BH206)</f>
        <v>-33.903670072801</v>
      </c>
      <c r="BJ206" s="0" t="n">
        <f aca="false">SUM((BF207&lt;0)*(BF206&gt;0))*A206</f>
        <v>0</v>
      </c>
      <c r="BK206" s="0" t="n">
        <f aca="false">IF(BJ206&gt;0,BI206,0)</f>
        <v>0</v>
      </c>
      <c r="BM206" s="0" t="n">
        <f aca="false">20*LOG(J206*F206*C206)</f>
        <v>8.93609943814501</v>
      </c>
      <c r="BN206" s="0" t="n">
        <f aca="false">(H206+D206)*180/Pi</f>
        <v>-157.096194235635</v>
      </c>
      <c r="BQ206" s="347" t="n">
        <f aca="false">20*LOG(BA206*7)</f>
        <v>47.923286146901</v>
      </c>
      <c r="BR206" s="353"/>
      <c r="BS206" s="353"/>
      <c r="BT206" s="353" t="n">
        <v>9120.108</v>
      </c>
      <c r="BU206" s="353" t="n">
        <v>-1.76502</v>
      </c>
      <c r="BV206" s="353" t="n">
        <v>-216.501</v>
      </c>
      <c r="BW206" s="349"/>
      <c r="BY206" s="353"/>
      <c r="BZ206" s="353"/>
      <c r="CA206" s="353"/>
      <c r="CC206" s="353"/>
    </row>
    <row r="207" customFormat="false" ht="12.75" hidden="false" customHeight="false" outlineLevel="0" collapsed="false">
      <c r="A207" s="0" t="n">
        <f aca="false">A206+500</f>
        <v>86500</v>
      </c>
      <c r="B207" s="0" t="n">
        <f aca="false">A207/1000</f>
        <v>86.5</v>
      </c>
      <c r="C207" s="0" t="n">
        <f aca="false">SQRT((A207/Fesr)^2+1)</f>
        <v>1.00000014769368</v>
      </c>
      <c r="D207" s="0" t="n">
        <f aca="false">ATAN(A207/Fesr)</f>
        <v>0.000543495474936101</v>
      </c>
      <c r="F207" s="0" t="n">
        <f aca="false">(Ro/(Ro+Rdcr))/SQRT((A207/(Q*Fo))^2+(1-(A207^2/Fo^2))^2)</f>
        <v>0.306520968590279</v>
      </c>
      <c r="G207" s="0" t="n">
        <f aca="false">-ATAN(A207*Fo/(Q*(Fo^2-A207^2)))</f>
        <v>0.395741415629702</v>
      </c>
      <c r="H207" s="0" t="n">
        <f aca="false">IF(G207&gt;0,G207-Pi,G207)</f>
        <v>-2.7458512343703</v>
      </c>
      <c r="J207" s="0" t="n">
        <f aca="false">Vin/Vramp</f>
        <v>9</v>
      </c>
      <c r="M207" s="0" t="n">
        <f aca="false">1/(2*Pi*_Rfb1*(Cc1ea_u+Cc2ea_u)*A207)</f>
        <v>0.0681459829902618</v>
      </c>
      <c r="N207" s="0" t="n">
        <f aca="false">-Pi/2</f>
        <v>-1.570796325</v>
      </c>
      <c r="O207" s="0" t="n">
        <f aca="false">SQRT(1+(A207/Fz1_u)^2)</f>
        <v>2.33778452163425</v>
      </c>
      <c r="P207" s="0" t="n">
        <f aca="false">ATAN2(Fz1_u,A207)</f>
        <v>1.12878824541798</v>
      </c>
      <c r="Q207" s="0" t="n">
        <f aca="false">SQRT(1+(A207/Fz2_u)^2)</f>
        <v>2397.78943297689</v>
      </c>
      <c r="R207" s="0" t="n">
        <f aca="false">ATAN2(Fz2_u,A207)</f>
        <v>1.57037927598333</v>
      </c>
      <c r="S207" s="0" t="n">
        <f aca="false">1/SQRT(1+(A207/Fp1_u)^2)</f>
        <v>0.154167613977669</v>
      </c>
      <c r="T207" s="0" t="n">
        <f aca="false">-ATAN2(Fp1_u,A207)</f>
        <v>-1.41601138677992</v>
      </c>
      <c r="U207" s="0" t="n">
        <f aca="false">1/SQRT(1+(A207/Fp2_u)^2)</f>
        <v>0.973526460454147</v>
      </c>
      <c r="V207" s="0" t="n">
        <f aca="false">-ATAN2(Fp2_u,A207)</f>
        <v>-0.230613006130327</v>
      </c>
      <c r="X207" s="0" t="n">
        <f aca="false">20*LOG(C207*J207*O207*Q207*F207*M207*S207*U207)</f>
        <v>43.981989104744</v>
      </c>
      <c r="Y207" s="0" t="n">
        <f aca="false">(180/Pi)*(D207+H207+N207+P207+R207+T207+V207)</f>
        <v>-186.988267996099</v>
      </c>
      <c r="Z207" s="0" t="n">
        <f aca="false">Y207+180</f>
        <v>-6.98826799609878</v>
      </c>
      <c r="AC207" s="0" t="n">
        <v>1</v>
      </c>
      <c r="AD207" s="0" t="n">
        <f aca="false">Rcea1_u*Cc1ea_u*A207*2*Pi</f>
        <v>2.1131106146136</v>
      </c>
      <c r="AE207" s="0" t="n">
        <f aca="false">-Rcea1_u*Cc1ea_u*Cc2ea_u*(A207*2*Pi)^2</f>
        <v>-0.000172269925524408</v>
      </c>
      <c r="AF207" s="0" t="n">
        <f aca="false">(Cc2ea_u+Cc1ea_u)*A207*2*Pi</f>
        <v>0.0007337189634075</v>
      </c>
      <c r="AG207" s="0" t="n">
        <f aca="false">AC207*AE207/(AE207^2+AF207^2)+AD207*AF207/(AE207^2+AF207^2)</f>
        <v>2426.24964916321</v>
      </c>
      <c r="AH207" s="0" t="n">
        <f aca="false">AD207*AE207/(AE207^2+AF207^2)-AC207*AF207/(AE207^2+AF207^2)</f>
        <v>-1932.57898062182</v>
      </c>
      <c r="AJ207" s="0" t="n">
        <f aca="false">_Rfb1</f>
        <v>20000</v>
      </c>
      <c r="AK207" s="0" t="n">
        <f aca="false">_Rfb1*Rcea2_u*Cc3ea_u*A207*2*Pi</f>
        <v>128177.985429648</v>
      </c>
      <c r="AL207" s="0" t="n">
        <v>1</v>
      </c>
      <c r="AM207" s="0" t="n">
        <f aca="false">(_Rfb1+Rcea2_u)*Cc3ea_u*A207*2*Pi</f>
        <v>2397.78922445148</v>
      </c>
      <c r="AN207" s="0" t="n">
        <f aca="false">AJ207*AL207/(AL207^2+AM207^2)+AK207*AM207/(AL207^2+AM207^2)</f>
        <v>53.4602052772439</v>
      </c>
      <c r="AO207" s="0" t="n">
        <f aca="false">AK207*AL207/(AL207^2+AM207^2)-AJ207*AM207/(AL207^2+AM207^2)</f>
        <v>-8.31872109162795</v>
      </c>
      <c r="AQ207" s="0" t="n">
        <f aca="false">Eadcg/(1+(Eadcg*A207/GBP)^2)</f>
        <v>1.5208958607731</v>
      </c>
      <c r="AR207" s="0" t="n">
        <f aca="false">-(A207*Eadcg*Eadcg/GBP)/(1+(Eadcg*A207/GBP)^2)</f>
        <v>-69.3307982612722</v>
      </c>
      <c r="AT207" s="0" t="n">
        <f aca="false">-AR207*AH207+AG207*AQ207</f>
        <v>-130297.170380852</v>
      </c>
      <c r="AU207" s="0" t="n">
        <f aca="false">AQ207*AH207+AG207*AR207</f>
        <v>-171153.076329862</v>
      </c>
      <c r="AV207" s="0" t="n">
        <f aca="false">ATAN2(AT207,AU207)</f>
        <v>-2.22148413203987</v>
      </c>
      <c r="AW207" s="0" t="n">
        <f aca="false">AG207-AH207*AO207/_Rfb2+AG207*AN207/_Rfb2+AN207-AO207*AR207+AQ207*AN207</f>
        <v>2035.40773401409</v>
      </c>
      <c r="AX207" s="0" t="n">
        <f aca="false">AH207+AH207*AN207/_Rfb2+AG207*AO207/_Rfb2+AO207+AO207*AQ207+AN207*AR207</f>
        <v>-5715.56303068829</v>
      </c>
      <c r="AY207" s="0" t="n">
        <f aca="false">ATAN2(AW207,AX207)</f>
        <v>-1.22868271318154</v>
      </c>
      <c r="BA207" s="0" t="n">
        <f aca="false">SQRT(AT207^2+AU207^2)/SQRT(AW207^2+AX207^2)</f>
        <v>35.4541469845925</v>
      </c>
      <c r="BB207" s="0" t="n">
        <f aca="false">20*LOG(BA207)</f>
        <v>30.9933408170056</v>
      </c>
      <c r="BC207" s="0" t="n">
        <f aca="false">AV207-AY207</f>
        <v>-0.992801418858333</v>
      </c>
      <c r="BD207" s="0" t="n">
        <f aca="false">BC207*180/Pi-180</f>
        <v>-236.883331260181</v>
      </c>
      <c r="BF207" s="0" t="n">
        <f aca="false">20*LOG(BA207*J207*F207*C207)</f>
        <v>39.8073960733378</v>
      </c>
      <c r="BG207" s="0" t="n">
        <f aca="false">(180/Pi)*(D207+H207+BC207)</f>
        <v>-214.177878343223</v>
      </c>
      <c r="BH207" s="0" t="n">
        <f aca="false">IF(BG207&gt;180,BG207-180,BG207+180)</f>
        <v>-34.1778783432235</v>
      </c>
      <c r="BI207" s="0" t="n">
        <f aca="false">IF(BH207&gt;180,BH207-360,BH207)</f>
        <v>-34.1778783432235</v>
      </c>
      <c r="BJ207" s="0" t="n">
        <f aca="false">SUM((BF208&lt;0)*(BF207&gt;0))*A207</f>
        <v>0</v>
      </c>
      <c r="BK207" s="0" t="n">
        <f aca="false">IF(BJ207&gt;0,BI207,0)</f>
        <v>0</v>
      </c>
      <c r="BM207" s="0" t="n">
        <f aca="false">20*LOG(J207*F207*C207)</f>
        <v>8.81405525633215</v>
      </c>
      <c r="BN207" s="0" t="n">
        <f aca="false">(H207+D207)*180/Pi</f>
        <v>-157.294547083042</v>
      </c>
      <c r="BQ207" s="347" t="n">
        <f aca="false">20*LOG(BA207*7)</f>
        <v>47.8953016172908</v>
      </c>
      <c r="BR207" s="353"/>
      <c r="BS207" s="353"/>
      <c r="BT207" s="353" t="n">
        <v>9332.543</v>
      </c>
      <c r="BU207" s="353" t="n">
        <v>-1.99203</v>
      </c>
      <c r="BV207" s="353" t="n">
        <v>-215.836</v>
      </c>
      <c r="BW207" s="349"/>
      <c r="BY207" s="353"/>
      <c r="BZ207" s="353"/>
      <c r="CA207" s="353"/>
      <c r="CC207" s="353"/>
    </row>
    <row r="208" customFormat="false" ht="12.75" hidden="false" customHeight="false" outlineLevel="0" collapsed="false">
      <c r="A208" s="0" t="n">
        <f aca="false">A207+500</f>
        <v>87000</v>
      </c>
      <c r="B208" s="0" t="n">
        <f aca="false">A208/1000</f>
        <v>87</v>
      </c>
      <c r="C208" s="0" t="n">
        <f aca="false">SQRT((A208/Fesr)^2+1)</f>
        <v>1.00000014940606</v>
      </c>
      <c r="D208" s="0" t="n">
        <f aca="false">ATAN(A208/Fesr)</f>
        <v>0.00054663706665274</v>
      </c>
      <c r="F208" s="0" t="n">
        <f aca="false">(Ro/(Ro+Rdcr))/SQRT((A208/(Q*Fo))^2+(1-(A208^2/Fo^2))^2)</f>
        <v>0.302276901981576</v>
      </c>
      <c r="G208" s="0" t="n">
        <f aca="false">-ATAN(A208*Fo/(Q*(Fo^2-A208^2)))</f>
        <v>0.392340731061156</v>
      </c>
      <c r="H208" s="0" t="n">
        <f aca="false">IF(G208&gt;0,G208-Pi,G208)</f>
        <v>-2.74925191893884</v>
      </c>
      <c r="J208" s="0" t="n">
        <f aca="false">Vin/Vramp</f>
        <v>9</v>
      </c>
      <c r="M208" s="0" t="n">
        <f aca="false">1/(2*Pi*_Rfb1*(Cc1ea_u+Cc2ea_u)*A208)</f>
        <v>0.067754339409858</v>
      </c>
      <c r="N208" s="0" t="n">
        <f aca="false">-Pi/2</f>
        <v>-1.570796325</v>
      </c>
      <c r="O208" s="0" t="n">
        <f aca="false">SQRT(1+(A208/Fz1_u)^2)</f>
        <v>2.34883096342923</v>
      </c>
      <c r="P208" s="0" t="n">
        <f aca="false">ATAN2(Fz1_u,A208)</f>
        <v>1.13101268310495</v>
      </c>
      <c r="Q208" s="0" t="n">
        <f aca="false">SQRT(1+(A208/Fz2_u)^2)</f>
        <v>2411.649485099</v>
      </c>
      <c r="R208" s="0" t="n">
        <f aca="false">ATAN2(Fz2_u,A208)</f>
        <v>1.5703816728268</v>
      </c>
      <c r="S208" s="0" t="n">
        <f aca="false">1/SQRT(1+(A208/Fp1_u)^2)</f>
        <v>0.153302474916227</v>
      </c>
      <c r="T208" s="0" t="n">
        <f aca="false">-ATAN2(Fp1_u,A208)</f>
        <v>-1.41688693428602</v>
      </c>
      <c r="U208" s="0" t="n">
        <f aca="false">1/SQRT(1+(A208/Fp2_u)^2)</f>
        <v>0.973231738323991</v>
      </c>
      <c r="V208" s="0" t="n">
        <f aca="false">-ATAN2(Fp2_u,A208)</f>
        <v>-0.231898878197265</v>
      </c>
      <c r="X208" s="0" t="n">
        <f aca="false">20*LOG(C208*J208*O208*Q208*F208*M208*S208*U208)</f>
        <v>43.8503206351096</v>
      </c>
      <c r="Y208" s="0" t="n">
        <f aca="false">(180/Pi)*(D208+H208+N208+P208+R208+T208+V208)</f>
        <v>-187.179184868627</v>
      </c>
      <c r="Z208" s="0" t="n">
        <f aca="false">Y208+180</f>
        <v>-7.17918486862729</v>
      </c>
      <c r="AC208" s="0" t="n">
        <v>1</v>
      </c>
      <c r="AD208" s="0" t="n">
        <f aca="false">Rcea1_u*Cc1ea_u*A208*2*Pi</f>
        <v>2.1253251268368</v>
      </c>
      <c r="AE208" s="0" t="n">
        <f aca="false">-Rcea1_u*Cc1ea_u*Cc2ea_u*(A208*2*Pi)^2</f>
        <v>-0.000174267241310334</v>
      </c>
      <c r="AF208" s="0" t="n">
        <f aca="false">(Cc2ea_u+Cc1ea_u)*A208*2*Pi</f>
        <v>0.000737960113485</v>
      </c>
      <c r="AG208" s="0" t="n">
        <f aca="false">AC208*AE208/(AE208^2+AF208^2)+AD208*AF208/(AE208^2+AF208^2)</f>
        <v>2424.78084219171</v>
      </c>
      <c r="AH208" s="0" t="n">
        <f aca="false">AD208*AE208/(AE208^2+AF208^2)-AC208*AF208/(AE208^2+AF208^2)</f>
        <v>-1927.69208275078</v>
      </c>
      <c r="AJ208" s="0" t="n">
        <f aca="false">_Rfb1</f>
        <v>20000</v>
      </c>
      <c r="AK208" s="0" t="n">
        <f aca="false">_Rfb1*Rcea2_u*Cc3ea_u*A208*2*Pi</f>
        <v>128918.898640224</v>
      </c>
      <c r="AL208" s="0" t="n">
        <v>1</v>
      </c>
      <c r="AM208" s="0" t="n">
        <f aca="false">(_Rfb1+Rcea2_u)*Cc3ea_u*A208*2*Pi</f>
        <v>2411.64927777201</v>
      </c>
      <c r="AN208" s="0" t="n">
        <f aca="false">AJ208*AL208/(AL208^2+AM208^2)+AK208*AM208/(AL208^2+AM208^2)</f>
        <v>53.4601655144893</v>
      </c>
      <c r="AO208" s="0" t="n">
        <f aca="false">AK208*AL208/(AL208^2+AM208^2)-AJ208*AM208/(AL208^2+AM208^2)</f>
        <v>-8.27091236620982</v>
      </c>
      <c r="AQ208" s="0" t="n">
        <f aca="false">Eadcg/(1+(Eadcg*A208/GBP)^2)</f>
        <v>1.50347282180287</v>
      </c>
      <c r="AR208" s="0" t="n">
        <f aca="false">-(A208*Eadcg*Eadcg/GBP)/(1+(Eadcg*A208/GBP)^2)</f>
        <v>-68.9327254068398</v>
      </c>
      <c r="AT208" s="0" t="n">
        <f aca="false">-AR208*AH208+AG208*AQ208</f>
        <v>-129235.476914135</v>
      </c>
      <c r="AU208" s="0" t="n">
        <f aca="false">AQ208*AH208+AG208*AR208</f>
        <v>-170044.984621787</v>
      </c>
      <c r="AV208" s="0" t="n">
        <f aca="false">ATAN2(AT208,AU208)</f>
        <v>-2.22067157969084</v>
      </c>
      <c r="AW208" s="0" t="n">
        <f aca="false">AG208-AH208*AO208/_Rfb2+AG208*AN208/_Rfb2+AN208-AO208*AR208+AQ208*AN208</f>
        <v>2039.63881839585</v>
      </c>
      <c r="AX208" s="0" t="n">
        <f aca="false">AH208+AH208*AN208/_Rfb2+AG208*AO208/_Rfb2+AO208+AO208*AQ208+AN208*AR208</f>
        <v>-5688.95244613163</v>
      </c>
      <c r="AY208" s="0" t="n">
        <f aca="false">ATAN2(AW208,AX208)</f>
        <v>-1.22654601900321</v>
      </c>
      <c r="BA208" s="0" t="n">
        <f aca="false">SQRT(AT208^2+AU208^2)/SQRT(AW208^2+AX208^2)</f>
        <v>35.3405148797599</v>
      </c>
      <c r="BB208" s="0" t="n">
        <f aca="false">20*LOG(BA208)</f>
        <v>30.9654574499965</v>
      </c>
      <c r="BC208" s="0" t="n">
        <f aca="false">AV208-AY208</f>
        <v>-0.994125560687625</v>
      </c>
      <c r="BD208" s="0" t="n">
        <f aca="false">BC208*180/Pi-180</f>
        <v>-236.959198998563</v>
      </c>
      <c r="BF208" s="0" t="n">
        <f aca="false">20*LOG(BA208*J208*F208*C208)</f>
        <v>39.6584081866996</v>
      </c>
      <c r="BG208" s="0" t="n">
        <f aca="false">(180/Pi)*(D208+H208+BC208)</f>
        <v>-214.448410955114</v>
      </c>
      <c r="BH208" s="0" t="n">
        <f aca="false">IF(BG208&gt;180,BG208-180,BG208+180)</f>
        <v>-34.4484109551144</v>
      </c>
      <c r="BI208" s="0" t="n">
        <f aca="false">IF(BH208&gt;180,BH208-360,BH208)</f>
        <v>-34.4484109551144</v>
      </c>
      <c r="BJ208" s="0" t="n">
        <f aca="false">SUM((BF209&lt;0)*(BF208&gt;0))*A208</f>
        <v>0</v>
      </c>
      <c r="BK208" s="0" t="n">
        <f aca="false">IF(BJ208&gt;0,BI208,0)</f>
        <v>0</v>
      </c>
      <c r="BM208" s="0" t="n">
        <f aca="false">20*LOG(J208*F208*C208)</f>
        <v>8.69295073670314</v>
      </c>
      <c r="BN208" s="0" t="n">
        <f aca="false">(H208+D208)*180/Pi</f>
        <v>-157.489211956552</v>
      </c>
      <c r="BQ208" s="347" t="n">
        <f aca="false">20*LOG(BA208*7)</f>
        <v>47.8674182502816</v>
      </c>
      <c r="BR208" s="353"/>
      <c r="BS208" s="353"/>
      <c r="BT208" s="353" t="n">
        <v>9549.926</v>
      </c>
      <c r="BU208" s="353" t="n">
        <v>-2.12783</v>
      </c>
      <c r="BV208" s="353" t="n">
        <v>-215.499</v>
      </c>
      <c r="BW208" s="349"/>
      <c r="BY208" s="353"/>
      <c r="BZ208" s="353"/>
      <c r="CA208" s="353"/>
      <c r="CC208" s="353"/>
    </row>
    <row r="209" customFormat="false" ht="12.75" hidden="false" customHeight="false" outlineLevel="0" collapsed="false">
      <c r="A209" s="0" t="n">
        <f aca="false">A208+500</f>
        <v>87500</v>
      </c>
      <c r="B209" s="0" t="n">
        <f aca="false">A209/1000</f>
        <v>87.5</v>
      </c>
      <c r="C209" s="0" t="n">
        <f aca="false">SQRT((A209/Fesr)^2+1)</f>
        <v>1.00000015112831</v>
      </c>
      <c r="D209" s="0" t="n">
        <f aca="false">ATAN(A209/Fesr)</f>
        <v>0.000549778658358589</v>
      </c>
      <c r="F209" s="0" t="n">
        <f aca="false">(Ro/(Ro+Rdcr))/SQRT((A209/(Q*Fo))^2+(1-(A209^2/Fo^2))^2)</f>
        <v>0.298123366403512</v>
      </c>
      <c r="G209" s="0" t="n">
        <f aca="false">-ATAN(A209*Fo/(Q*(Fo^2-A209^2)))</f>
        <v>0.389002607935224</v>
      </c>
      <c r="H209" s="0" t="n">
        <f aca="false">IF(G209&gt;0,G209-Pi,G209)</f>
        <v>-2.75259004206478</v>
      </c>
      <c r="J209" s="0" t="n">
        <f aca="false">Vin/Vramp</f>
        <v>9</v>
      </c>
      <c r="M209" s="0" t="n">
        <f aca="false">1/(2*Pi*_Rfb1*(Cc1ea_u+Cc2ea_u)*A209)</f>
        <v>0.0673671717560874</v>
      </c>
      <c r="N209" s="0" t="n">
        <f aca="false">-Pi/2</f>
        <v>-1.570796325</v>
      </c>
      <c r="O209" s="0" t="n">
        <f aca="false">SQRT(1+(A209/Fz1_u)^2)</f>
        <v>2.35988891868934</v>
      </c>
      <c r="P209" s="0" t="n">
        <f aca="false">ATAN2(Fz1_u,A209)</f>
        <v>1.13321628509351</v>
      </c>
      <c r="Q209" s="0" t="n">
        <f aca="false">SQRT(1+(A209/Fz2_u)^2)</f>
        <v>2425.5095372348</v>
      </c>
      <c r="R209" s="0" t="n">
        <f aca="false">ATAN2(Fz2_u,A209)</f>
        <v>1.57038404227778</v>
      </c>
      <c r="S209" s="0" t="n">
        <f aca="false">1/SQRT(1+(A209/Fp1_u)^2)</f>
        <v>0.152446876520994</v>
      </c>
      <c r="T209" s="0" t="n">
        <f aca="false">-ATAN2(Fp1_u,A209)</f>
        <v>-1.41775270939098</v>
      </c>
      <c r="U209" s="0" t="n">
        <f aca="false">1/SQRT(1+(A209/Fp2_u)^2)</f>
        <v>0.97293558733121</v>
      </c>
      <c r="V209" s="0" t="n">
        <f aca="false">-ATAN2(Fp2_u,A209)</f>
        <v>-0.233183969815296</v>
      </c>
      <c r="X209" s="0" t="n">
        <f aca="false">20*LOG(C209*J209*O209*Q209*F209*M209*S209*U209)</f>
        <v>43.7196814759673</v>
      </c>
      <c r="Y209" s="0" t="n">
        <f aca="false">(180/Pi)*(D209+H209+N209+P209+R209+T209+V209)</f>
        <v>-187.367107967818</v>
      </c>
      <c r="Z209" s="0" t="n">
        <f aca="false">Y209+180</f>
        <v>-7.36710796781804</v>
      </c>
      <c r="AC209" s="0" t="n">
        <v>1</v>
      </c>
      <c r="AD209" s="0" t="n">
        <f aca="false">Rcea1_u*Cc1ea_u*A209*2*Pi</f>
        <v>2.13753963906</v>
      </c>
      <c r="AE209" s="0" t="n">
        <f aca="false">-Rcea1_u*Cc1ea_u*Cc2ea_u*(A209*2*Pi)^2</f>
        <v>-0.000176276069002807</v>
      </c>
      <c r="AF209" s="0" t="n">
        <f aca="false">(Cc2ea_u+Cc1ea_u)*A209*2*Pi</f>
        <v>0.0007422012635625</v>
      </c>
      <c r="AG209" s="0" t="n">
        <f aca="false">AC209*AE209/(AE209^2+AF209^2)+AD209*AF209/(AE209^2+AF209^2)</f>
        <v>2423.30536216455</v>
      </c>
      <c r="AH209" s="0" t="n">
        <f aca="false">AD209*AE209/(AE209^2+AF209^2)-AC209*AF209/(AE209^2+AF209^2)</f>
        <v>-1922.88913169657</v>
      </c>
      <c r="AJ209" s="0" t="n">
        <f aca="false">_Rfb1</f>
        <v>20000</v>
      </c>
      <c r="AK209" s="0" t="n">
        <f aca="false">_Rfb1*Rcea2_u*Cc3ea_u*A209*2*Pi</f>
        <v>129659.8118508</v>
      </c>
      <c r="AL209" s="0" t="n">
        <v>1</v>
      </c>
      <c r="AM209" s="0" t="n">
        <f aca="false">(_Rfb1+Rcea2_u)*Cc3ea_u*A209*2*Pi</f>
        <v>2425.50933109254</v>
      </c>
      <c r="AN209" s="0" t="n">
        <f aca="false">AJ209*AL209/(AL209^2+AM209^2)+AK209*AM209/(AL209^2+AM209^2)</f>
        <v>53.4601264314323</v>
      </c>
      <c r="AO209" s="0" t="n">
        <f aca="false">AK209*AL209/(AL209^2+AM209^2)-AJ209*AM209/(AL209^2+AM209^2)</f>
        <v>-8.22365002594482</v>
      </c>
      <c r="AQ209" s="0" t="n">
        <f aca="false">Eadcg/(1+(Eadcg*A209/GBP)^2)</f>
        <v>1.48634742210517</v>
      </c>
      <c r="AR209" s="0" t="n">
        <f aca="false">-(A209*Eadcg*Eadcg/GBP)/(1+(Eadcg*A209/GBP)^2)</f>
        <v>-68.5391955018248</v>
      </c>
      <c r="AT209" s="0" t="n">
        <f aca="false">-AR209*AH209+AG209*AQ209</f>
        <v>-128191.400447658</v>
      </c>
      <c r="AU209" s="0" t="n">
        <f aca="false">AQ209*AH209+AG209*AR209</f>
        <v>-168949.481281907</v>
      </c>
      <c r="AV209" s="0" t="n">
        <f aca="false">ATAN2(AT209,AU209)</f>
        <v>-2.21987764312052</v>
      </c>
      <c r="AW209" s="0" t="n">
        <f aca="false">AG209-AH209*AO209/_Rfb2+AG209*AN209/_Rfb2+AN209-AO209*AR209+AQ209*AN209</f>
        <v>2043.76512253942</v>
      </c>
      <c r="AX209" s="0" t="n">
        <f aca="false">AH209+AH209*AN209/_Rfb2+AG209*AO209/_Rfb2+AO209+AO209*AQ209+AN209*AR209</f>
        <v>-5662.67687985943</v>
      </c>
      <c r="AY209" s="0" t="n">
        <f aca="false">ATAN2(AW209,AX209)</f>
        <v>-1.22442782136208</v>
      </c>
      <c r="BA209" s="0" t="n">
        <f aca="false">SQRT(AT209^2+AU209^2)/SQRT(AW209^2+AX209^2)</f>
        <v>35.2276504251716</v>
      </c>
      <c r="BB209" s="0" t="n">
        <f aca="false">20*LOG(BA209)</f>
        <v>30.9376735610923</v>
      </c>
      <c r="BC209" s="0" t="n">
        <f aca="false">AV209-AY209</f>
        <v>-0.995449821758437</v>
      </c>
      <c r="BD209" s="0" t="n">
        <f aca="false">BC209*180/Pi-180</f>
        <v>-237.035073568981</v>
      </c>
      <c r="BF209" s="0" t="n">
        <f aca="false">20*LOG(BA209*J209*F209*C209)</f>
        <v>39.5104453951849</v>
      </c>
      <c r="BG209" s="0" t="n">
        <f aca="false">(180/Pi)*(D209+H209+BC209)</f>
        <v>-214.715365892416</v>
      </c>
      <c r="BH209" s="0" t="n">
        <f aca="false">IF(BG209&gt;180,BG209-180,BG209+180)</f>
        <v>-34.7153658924156</v>
      </c>
      <c r="BI209" s="0" t="n">
        <f aca="false">IF(BH209&gt;180,BH209-360,BH209)</f>
        <v>-34.7153658924156</v>
      </c>
      <c r="BJ209" s="0" t="n">
        <f aca="false">SUM((BF210&lt;0)*(BF209&gt;0))*A209</f>
        <v>0</v>
      </c>
      <c r="BK209" s="0" t="n">
        <f aca="false">IF(BJ209&gt;0,BI209,0)</f>
        <v>0</v>
      </c>
      <c r="BM209" s="0" t="n">
        <f aca="false">20*LOG(J209*F209*C209)</f>
        <v>8.57277183409257</v>
      </c>
      <c r="BN209" s="0" t="n">
        <f aca="false">(H209+D209)*180/Pi</f>
        <v>-157.680292323435</v>
      </c>
      <c r="BQ209" s="347" t="n">
        <f aca="false">20*LOG(BA209*7)</f>
        <v>47.8396343613775</v>
      </c>
      <c r="BR209" s="353"/>
      <c r="BS209" s="353"/>
      <c r="BT209" s="353" t="n">
        <v>9772.372</v>
      </c>
      <c r="BU209" s="353" t="n">
        <v>-1.99443</v>
      </c>
      <c r="BV209" s="353" t="n">
        <v>-212.987</v>
      </c>
      <c r="BW209" s="349"/>
      <c r="BY209" s="353"/>
      <c r="BZ209" s="353"/>
      <c r="CA209" s="353"/>
      <c r="CC209" s="353"/>
    </row>
    <row r="210" customFormat="false" ht="12.75" hidden="false" customHeight="false" outlineLevel="0" collapsed="false">
      <c r="A210" s="0" t="n">
        <f aca="false">A209+500</f>
        <v>88000</v>
      </c>
      <c r="B210" s="0" t="n">
        <f aca="false">A210/1000</f>
        <v>88</v>
      </c>
      <c r="C210" s="0" t="n">
        <f aca="false">SQRT((A210/Fesr)^2+1)</f>
        <v>1.00000015286042</v>
      </c>
      <c r="D210" s="0" t="n">
        <f aca="false">ATAN(A210/Fesr)</f>
        <v>0.000552920250053586</v>
      </c>
      <c r="F210" s="0" t="n">
        <f aca="false">(Ro/(Ro+Rdcr))/SQRT((A210/(Q*Fo))^2+(1-(A210^2/Fo^2))^2)</f>
        <v>0.294057772195257</v>
      </c>
      <c r="G210" s="0" t="n">
        <f aca="false">-ATAN(A210*Fo/(Q*(Fo^2-A210^2)))</f>
        <v>0.385725306463799</v>
      </c>
      <c r="H210" s="0" t="n">
        <f aca="false">IF(G210&gt;0,G210-Pi,G210)</f>
        <v>-2.7558673435362</v>
      </c>
      <c r="J210" s="0" t="n">
        <f aca="false">Vin/Vramp</f>
        <v>9</v>
      </c>
      <c r="M210" s="0" t="n">
        <f aca="false">1/(2*Pi*_Rfb1*(Cc1ea_u+Cc2ea_u)*A210)</f>
        <v>0.0669844037347459</v>
      </c>
      <c r="N210" s="0" t="n">
        <f aca="false">-Pi/2</f>
        <v>-1.570796325</v>
      </c>
      <c r="O210" s="0" t="n">
        <f aca="false">SQRT(1+(A210/Fz1_u)^2)</f>
        <v>2.37095822632103</v>
      </c>
      <c r="P210" s="0" t="n">
        <f aca="false">ATAN2(Fz1_u,A210)</f>
        <v>1.13539932165928</v>
      </c>
      <c r="Q210" s="0" t="n">
        <f aca="false">SQRT(1+(A210/Fz2_u)^2)</f>
        <v>2439.36958938407</v>
      </c>
      <c r="R210" s="0" t="n">
        <f aca="false">ATAN2(Fz2_u,A210)</f>
        <v>1.57038638480318</v>
      </c>
      <c r="S210" s="0" t="n">
        <f aca="false">1/SQRT(1+(A210/Fp1_u)^2)</f>
        <v>0.151600663752364</v>
      </c>
      <c r="T210" s="0" t="n">
        <f aca="false">-ATAN2(Fp1_u,A210)</f>
        <v>-1.41860887352193</v>
      </c>
      <c r="U210" s="0" t="n">
        <f aca="false">1/SQRT(1+(A210/Fp2_u)^2)</f>
        <v>0.972638011712937</v>
      </c>
      <c r="V210" s="0" t="n">
        <f aca="false">-ATAN2(Fp2_u,A210)</f>
        <v>-0.234468277454053</v>
      </c>
      <c r="X210" s="0" t="n">
        <f aca="false">20*LOG(C210*J210*O210*Q210*F210*M210*S210*U210)</f>
        <v>43.5900556585922</v>
      </c>
      <c r="Y210" s="0" t="n">
        <f aca="false">(180/Pi)*(D210+H210+N210+P210+R210+T210+V210)</f>
        <v>-187.5521305106</v>
      </c>
      <c r="Z210" s="0" t="n">
        <f aca="false">Y210+180</f>
        <v>-7.55213051060031</v>
      </c>
      <c r="AC210" s="0" t="n">
        <v>1</v>
      </c>
      <c r="AD210" s="0" t="n">
        <f aca="false">Rcea1_u*Cc1ea_u*A210*2*Pi</f>
        <v>2.1497541512832</v>
      </c>
      <c r="AE210" s="0" t="n">
        <f aca="false">-Rcea1_u*Cc1ea_u*Cc2ea_u*(A210*2*Pi)^2</f>
        <v>-0.000178296408601827</v>
      </c>
      <c r="AF210" s="0" t="n">
        <f aca="false">(Cc2ea_u+Cc1ea_u)*A210*2*Pi</f>
        <v>0.00074644241364</v>
      </c>
      <c r="AG210" s="0" t="n">
        <f aca="false">AC210*AE210/(AE210^2+AF210^2)+AD210*AF210/(AE210^2+AF210^2)</f>
        <v>2421.82323668197</v>
      </c>
      <c r="AH210" s="0" t="n">
        <f aca="false">AD210*AE210/(AE210^2+AF210^2)-AC210*AF210/(AE210^2+AF210^2)</f>
        <v>-1918.16858099838</v>
      </c>
      <c r="AJ210" s="0" t="n">
        <f aca="false">_Rfb1</f>
        <v>20000</v>
      </c>
      <c r="AK210" s="0" t="n">
        <f aca="false">_Rfb1*Rcea2_u*Cc3ea_u*A210*2*Pi</f>
        <v>130400.725061376</v>
      </c>
      <c r="AL210" s="0" t="n">
        <v>1</v>
      </c>
      <c r="AM210" s="0" t="n">
        <f aca="false">(_Rfb1+Rcea2_u)*Cc3ea_u*A210*2*Pi</f>
        <v>2439.36938441307</v>
      </c>
      <c r="AN210" s="0" t="n">
        <f aca="false">AJ210*AL210/(AL210^2+AM210^2)+AK210*AM210/(AL210^2+AM210^2)</f>
        <v>53.4600880126692</v>
      </c>
      <c r="AO210" s="0" t="n">
        <f aca="false">AK210*AL210/(AL210^2+AM210^2)-AJ210*AM210/(AL210^2+AM210^2)</f>
        <v>-8.17692475745596</v>
      </c>
      <c r="AQ210" s="0" t="n">
        <f aca="false">Eadcg/(1+(Eadcg*A210/GBP)^2)</f>
        <v>1.46951292166042</v>
      </c>
      <c r="AR210" s="0" t="n">
        <f aca="false">-(A210*Eadcg*Eadcg/GBP)/(1+(Eadcg*A210/GBP)^2)</f>
        <v>-68.1501312549237</v>
      </c>
      <c r="AT210" s="0" t="n">
        <f aca="false">-AR210*AH210+AG210*AQ210</f>
        <v>-127164.540023829</v>
      </c>
      <c r="AU210" s="0" t="n">
        <f aca="false">AQ210*AH210+AG210*AR210</f>
        <v>-167866.3449718</v>
      </c>
      <c r="AV210" s="0" t="n">
        <f aca="false">ATAN2(AT210,AU210)</f>
        <v>-2.21910207304402</v>
      </c>
      <c r="AW210" s="0" t="n">
        <f aca="false">AG210-AH210*AO210/_Rfb2+AG210*AN210/_Rfb2+AN210-AO210*AR210+AQ210*AN210</f>
        <v>2047.78889279144</v>
      </c>
      <c r="AX210" s="0" t="n">
        <f aca="false">AH210+AH210*AN210/_Rfb2+AG210*AO210/_Rfb2+AO210+AO210*AQ210+AN210*AR210</f>
        <v>-5636.73045470503</v>
      </c>
      <c r="AY210" s="0" t="n">
        <f aca="false">ATAN2(AW210,AX210)</f>
        <v>-1.22232796499161</v>
      </c>
      <c r="BA210" s="0" t="n">
        <f aca="false">SQRT(AT210^2+AU210^2)/SQRT(AW210^2+AX210^2)</f>
        <v>35.1155419699619</v>
      </c>
      <c r="BB210" s="0" t="n">
        <f aca="false">20*LOG(BA210)</f>
        <v>30.9099875132819</v>
      </c>
      <c r="BC210" s="0" t="n">
        <f aca="false">AV210-AY210</f>
        <v>-0.996774108052411</v>
      </c>
      <c r="BD210" s="0" t="n">
        <f aca="false">BC210*180/Pi-180</f>
        <v>-237.110949584579</v>
      </c>
      <c r="BF210" s="0" t="n">
        <f aca="false">20*LOG(BA210*J210*F210*C210)</f>
        <v>39.3634922829907</v>
      </c>
      <c r="BG210" s="0" t="n">
        <f aca="false">(180/Pi)*(D210+H210+BC210)</f>
        <v>-214.978837450788</v>
      </c>
      <c r="BH210" s="0" t="n">
        <f aca="false">IF(BG210&gt;180,BG210-180,BG210+180)</f>
        <v>-34.9788374507881</v>
      </c>
      <c r="BI210" s="0" t="n">
        <f aca="false">IF(BH210&gt;180,BH210-360,BH210)</f>
        <v>-34.9788374507881</v>
      </c>
      <c r="BJ210" s="0" t="n">
        <f aca="false">SUM((BF211&lt;0)*(BF210&gt;0))*A210</f>
        <v>0</v>
      </c>
      <c r="BK210" s="0" t="n">
        <f aca="false">IF(BJ210&gt;0,BI210,0)</f>
        <v>0</v>
      </c>
      <c r="BM210" s="0" t="n">
        <f aca="false">20*LOG(J210*F210*C210)</f>
        <v>8.4535047697088</v>
      </c>
      <c r="BN210" s="0" t="n">
        <f aca="false">(H210+D210)*180/Pi</f>
        <v>-157.867887866209</v>
      </c>
      <c r="BQ210" s="347" t="n">
        <f aca="false">20*LOG(BA210*7)</f>
        <v>47.811948313567</v>
      </c>
      <c r="BR210" s="353"/>
      <c r="BS210" s="353"/>
      <c r="BT210" s="353" t="n">
        <v>10000</v>
      </c>
      <c r="BU210" s="353" t="n">
        <v>-2.22097</v>
      </c>
      <c r="BV210" s="353" t="n">
        <v>-213.047</v>
      </c>
      <c r="BW210" s="349"/>
      <c r="BY210" s="353"/>
      <c r="BZ210" s="353"/>
      <c r="CA210" s="353"/>
      <c r="CC210" s="353"/>
    </row>
    <row r="211" customFormat="false" ht="12.75" hidden="false" customHeight="false" outlineLevel="0" collapsed="false">
      <c r="A211" s="0" t="n">
        <f aca="false">A210+500</f>
        <v>88500</v>
      </c>
      <c r="B211" s="0" t="n">
        <f aca="false">A211/1000</f>
        <v>88.5</v>
      </c>
      <c r="C211" s="0" t="n">
        <f aca="false">SQRT((A211/Fesr)^2+1)</f>
        <v>1.00000015460241</v>
      </c>
      <c r="D211" s="0" t="n">
        <f aca="false">ATAN(A211/Fesr)</f>
        <v>0.000556061841737668</v>
      </c>
      <c r="F211" s="0" t="n">
        <f aca="false">(Ro/(Ro+Rdcr))/SQRT((A211/(Q*Fo))^2+(1-(A211^2/Fo^2))^2)</f>
        <v>0.290077620852355</v>
      </c>
      <c r="G211" s="0" t="n">
        <f aca="false">-ATAN(A211*Fo/(Q*(Fo^2-A211^2)))</f>
        <v>0.382507150003864</v>
      </c>
      <c r="H211" s="0" t="n">
        <f aca="false">IF(G211&gt;0,G211-Pi,G211)</f>
        <v>-2.75908549999614</v>
      </c>
      <c r="J211" s="0" t="n">
        <f aca="false">Vin/Vramp</f>
        <v>9</v>
      </c>
      <c r="M211" s="0" t="n">
        <f aca="false">1/(2*Pi*_Rfb1*(Cc1ea_u+Cc2ea_u)*A211)</f>
        <v>0.0666059607757926</v>
      </c>
      <c r="N211" s="0" t="n">
        <f aca="false">-Pi/2</f>
        <v>-1.570796325</v>
      </c>
      <c r="O211" s="0" t="n">
        <f aca="false">SQRT(1+(A211/Fz1_u)^2)</f>
        <v>2.38203872806125</v>
      </c>
      <c r="P211" s="0" t="n">
        <f aca="false">ATAN2(Fz1_u,A211)</f>
        <v>1.13756205884076</v>
      </c>
      <c r="Q211" s="0" t="n">
        <f aca="false">SQRT(1+(A211/Fz2_u)^2)</f>
        <v>2453.22964154657</v>
      </c>
      <c r="R211" s="0" t="n">
        <f aca="false">ATAN2(Fz2_u,A211)</f>
        <v>1.57038870085937</v>
      </c>
      <c r="S211" s="0" t="n">
        <f aca="false">1/SQRT(1+(A211/Fp1_u)^2)</f>
        <v>0.150763684869309</v>
      </c>
      <c r="T211" s="0" t="n">
        <f aca="false">-ATAN2(Fp1_u,A211)</f>
        <v>-1.41945558459818</v>
      </c>
      <c r="U211" s="0" t="n">
        <f aca="false">1/SQRT(1+(A211/Fp2_u)^2)</f>
        <v>0.972339015719596</v>
      </c>
      <c r="V211" s="0" t="n">
        <f aca="false">-ATAN2(Fp2_u,A211)</f>
        <v>-0.235751797597823</v>
      </c>
      <c r="X211" s="0" t="n">
        <f aca="false">20*LOG(C211*J211*O211*Q211*F211*M211*S211*U211)</f>
        <v>43.4614275270314</v>
      </c>
      <c r="Y211" s="0" t="n">
        <f aca="false">(180/Pi)*(D211+H211+N211+P211+R211+T211+V211)</f>
        <v>-187.734342139185</v>
      </c>
      <c r="Z211" s="0" t="n">
        <f aca="false">Y211+180</f>
        <v>-7.73434213918506</v>
      </c>
      <c r="AC211" s="0" t="n">
        <v>1</v>
      </c>
      <c r="AD211" s="0" t="n">
        <f aca="false">Rcea1_u*Cc1ea_u*A211*2*Pi</f>
        <v>2.1619686635064</v>
      </c>
      <c r="AE211" s="0" t="n">
        <f aca="false">-Rcea1_u*Cc1ea_u*Cc2ea_u*(A211*2*Pi)^2</f>
        <v>-0.000180328260107394</v>
      </c>
      <c r="AF211" s="0" t="n">
        <f aca="false">(Cc2ea_u+Cc1ea_u)*A211*2*Pi</f>
        <v>0.0007506835637175</v>
      </c>
      <c r="AG211" s="0" t="n">
        <f aca="false">AC211*AE211/(AE211^2+AF211^2)+AD211*AF211/(AE211^2+AF211^2)</f>
        <v>2420.33449341581</v>
      </c>
      <c r="AH211" s="0" t="n">
        <f aca="false">AD211*AE211/(AE211^2+AF211^2)-AC211*AF211/(AE211^2+AF211^2)</f>
        <v>-1913.5289188457</v>
      </c>
      <c r="AJ211" s="0" t="n">
        <f aca="false">_Rfb1</f>
        <v>20000</v>
      </c>
      <c r="AK211" s="0" t="n">
        <f aca="false">_Rfb1*Rcea2_u*Cc3ea_u*A211*2*Pi</f>
        <v>131141.638271952</v>
      </c>
      <c r="AL211" s="0" t="n">
        <v>1</v>
      </c>
      <c r="AM211" s="0" t="n">
        <f aca="false">(_Rfb1+Rcea2_u)*Cc3ea_u*A211*2*Pi</f>
        <v>2453.2294377336</v>
      </c>
      <c r="AN211" s="0" t="n">
        <f aca="false">AJ211*AL211/(AL211^2+AM211^2)+AK211*AM211/(AL211^2+AM211^2)</f>
        <v>53.4600502432304</v>
      </c>
      <c r="AO211" s="0" t="n">
        <f aca="false">AK211*AL211/(AL211^2+AM211^2)-AJ211*AM211/(AL211^2+AM211^2)</f>
        <v>-8.13072745783789</v>
      </c>
      <c r="AQ211" s="0" t="n">
        <f aca="false">Eadcg/(1+(Eadcg*A211/GBP)^2)</f>
        <v>1.45296277012965</v>
      </c>
      <c r="AR211" s="0" t="n">
        <f aca="false">-(A211*Eadcg*Eadcg/GBP)/(1+(Eadcg*A211/GBP)^2)</f>
        <v>-67.765457117462</v>
      </c>
      <c r="AT211" s="0" t="n">
        <f aca="false">-AR211*AH211+AG211*AQ211</f>
        <v>-126154.505982868</v>
      </c>
      <c r="AU211" s="0" t="n">
        <f aca="false">AQ211*AH211+AG211*AR211</f>
        <v>-166795.359602133</v>
      </c>
      <c r="AV211" s="0" t="n">
        <f aca="false">ATAN2(AT211,AU211)</f>
        <v>-2.21834462387449</v>
      </c>
      <c r="AW211" s="0" t="n">
        <f aca="false">AG211-AH211*AO211/_Rfb2+AG211*AN211/_Rfb2+AN211-AO211*AR211+AQ211*AN211</f>
        <v>2051.71231314956</v>
      </c>
      <c r="AX211" s="0" t="n">
        <f aca="false">AH211+AH211*AN211/_Rfb2+AG211*AO211/_Rfb2+AO211+AO211*AQ211+AN211*AR211</f>
        <v>-5611.1074273686</v>
      </c>
      <c r="AY211" s="0" t="n">
        <f aca="false">ATAN2(AW211,AX211)</f>
        <v>-1.22024629664321</v>
      </c>
      <c r="BA211" s="0" t="n">
        <f aca="false">SQRT(AT211^2+AU211^2)/SQRT(AW211^2+AX211^2)</f>
        <v>35.0041781750183</v>
      </c>
      <c r="BB211" s="0" t="n">
        <f aca="false">20*LOG(BA211)</f>
        <v>30.8823977156088</v>
      </c>
      <c r="BC211" s="0" t="n">
        <f aca="false">AV211-AY211</f>
        <v>-0.998098327231273</v>
      </c>
      <c r="BD211" s="0" t="n">
        <f aca="false">BC211*180/Pi-180</f>
        <v>-237.186821754765</v>
      </c>
      <c r="BF211" s="0" t="n">
        <f aca="false">20*LOG(BA211*J211*F211*C211)</f>
        <v>39.2175337429748</v>
      </c>
      <c r="BG211" s="0" t="n">
        <f aca="false">(180/Pi)*(D211+H211+BC211)</f>
        <v>-215.238916404207</v>
      </c>
      <c r="BH211" s="0" t="n">
        <f aca="false">IF(BG211&gt;180,BG211-180,BG211+180)</f>
        <v>-35.2389164042069</v>
      </c>
      <c r="BI211" s="0" t="n">
        <f aca="false">IF(BH211&gt;180,BH211-360,BH211)</f>
        <v>-35.2389164042069</v>
      </c>
      <c r="BJ211" s="0" t="n">
        <f aca="false">SUM((BF212&lt;0)*(BF211&gt;0))*A211</f>
        <v>0</v>
      </c>
      <c r="BK211" s="0" t="n">
        <f aca="false">IF(BJ211&gt;0,BI211,0)</f>
        <v>0</v>
      </c>
      <c r="BM211" s="0" t="n">
        <f aca="false">20*LOG(J211*F211*C211)</f>
        <v>8.33513602736597</v>
      </c>
      <c r="BN211" s="0" t="n">
        <f aca="false">(H211+D211)*180/Pi</f>
        <v>-158.052094649442</v>
      </c>
      <c r="BQ211" s="347" t="n">
        <f aca="false">20*LOG(BA211*7)</f>
        <v>47.7843585158939</v>
      </c>
      <c r="BR211" s="353"/>
      <c r="BS211" s="353"/>
      <c r="BT211" s="353" t="n">
        <v>10232.93</v>
      </c>
      <c r="BU211" s="353" t="n">
        <v>-2.48674</v>
      </c>
      <c r="BV211" s="353" t="n">
        <v>-211.715</v>
      </c>
      <c r="BW211" s="349"/>
      <c r="BY211" s="353"/>
      <c r="BZ211" s="353"/>
      <c r="CA211" s="353"/>
      <c r="CC211" s="353"/>
    </row>
    <row r="212" customFormat="false" ht="12.75" hidden="false" customHeight="false" outlineLevel="0" collapsed="false">
      <c r="A212" s="0" t="n">
        <f aca="false">A211+500</f>
        <v>89000</v>
      </c>
      <c r="B212" s="0" t="n">
        <f aca="false">A212/1000</f>
        <v>89</v>
      </c>
      <c r="C212" s="0" t="n">
        <f aca="false">SQRT((A212/Fesr)^2+1)</f>
        <v>1.00000015635426</v>
      </c>
      <c r="D212" s="0" t="n">
        <f aca="false">ATAN(A212/Fesr)</f>
        <v>0.000559203433410774</v>
      </c>
      <c r="F212" s="0" t="n">
        <f aca="false">(Ro/(Ro+Rdcr))/SQRT((A212/(Q*Fo))^2+(1-(A212^2/Fo^2))^2)</f>
        <v>0.286180501326755</v>
      </c>
      <c r="G212" s="0" t="n">
        <f aca="false">-ATAN(A212*Fo/(Q*(Fo^2-A212^2)))</f>
        <v>0.379346522293065</v>
      </c>
      <c r="H212" s="0" t="n">
        <f aca="false">IF(G212&gt;0,G212-Pi,G212)</f>
        <v>-2.76224612770693</v>
      </c>
      <c r="J212" s="0" t="n">
        <f aca="false">Vin/Vramp</f>
        <v>9</v>
      </c>
      <c r="M212" s="0" t="n">
        <f aca="false">1/(2*Pi*_Rfb1*(Cc1ea_u+Cc2ea_u)*A212)</f>
        <v>0.0662317699849173</v>
      </c>
      <c r="N212" s="0" t="n">
        <f aca="false">-Pi/2</f>
        <v>-1.570796325</v>
      </c>
      <c r="O212" s="0" t="n">
        <f aca="false">SQRT(1+(A212/Fz1_u)^2)</f>
        <v>2.39313026841951</v>
      </c>
      <c r="P212" s="0" t="n">
        <f aca="false">ATAN2(Fz1_u,A212)</f>
        <v>1.13970475851145</v>
      </c>
      <c r="Q212" s="0" t="n">
        <f aca="false">SQRT(1+(A212/Fz2_u)^2)</f>
        <v>2467.08969372208</v>
      </c>
      <c r="R212" s="0" t="n">
        <f aca="false">ATAN2(Fz2_u,A212)</f>
        <v>1.57039099089247</v>
      </c>
      <c r="S212" s="0" t="n">
        <f aca="false">1/SQRT(1+(A212/Fp1_u)^2)</f>
        <v>0.149935791343305</v>
      </c>
      <c r="T212" s="0" t="n">
        <f aca="false">-ATAN2(Fp1_u,A212)</f>
        <v>-1.42029299712516</v>
      </c>
      <c r="U212" s="0" t="n">
        <f aca="false">1/SQRT(1+(A212/Fp2_u)^2)</f>
        <v>0.972038603614749</v>
      </c>
      <c r="V212" s="0" t="n">
        <f aca="false">-ATAN2(Fp2_u,A212)</f>
        <v>-0.237034526745578</v>
      </c>
      <c r="X212" s="0" t="n">
        <f aca="false">20*LOG(C212*J212*O212*Q212*F212*M212*S212*U212)</f>
        <v>43.3337817328718</v>
      </c>
      <c r="Y212" s="0" t="n">
        <f aca="false">(180/Pi)*(D212+H212+N212+P212+R212+T212+V212)</f>
        <v>-187.913829080693</v>
      </c>
      <c r="Z212" s="0" t="n">
        <f aca="false">Y212+180</f>
        <v>-7.91382908069315</v>
      </c>
      <c r="AC212" s="0" t="n">
        <v>1</v>
      </c>
      <c r="AD212" s="0" t="n">
        <f aca="false">Rcea1_u*Cc1ea_u*A212*2*Pi</f>
        <v>2.1741831757296</v>
      </c>
      <c r="AE212" s="0" t="n">
        <f aca="false">-Rcea1_u*Cc1ea_u*Cc2ea_u*(A212*2*Pi)^2</f>
        <v>-0.000182371623519508</v>
      </c>
      <c r="AF212" s="0" t="n">
        <f aca="false">(Cc2ea_u+Cc1ea_u)*A212*2*Pi</f>
        <v>0.000754924713795</v>
      </c>
      <c r="AG212" s="0" t="n">
        <f aca="false">AC212*AE212/(AE212^2+AF212^2)+AD212*AF212/(AE212^2+AF212^2)</f>
        <v>2418.83916010832</v>
      </c>
      <c r="AH212" s="0" t="n">
        <f aca="false">AD212*AE212/(AE212^2+AF212^2)-AC212*AF212/(AE212^2+AF212^2)</f>
        <v>-1908.96866710984</v>
      </c>
      <c r="AJ212" s="0" t="n">
        <f aca="false">_Rfb1</f>
        <v>20000</v>
      </c>
      <c r="AK212" s="0" t="n">
        <f aca="false">_Rfb1*Rcea2_u*Cc3ea_u*A212*2*Pi</f>
        <v>131882.551482528</v>
      </c>
      <c r="AL212" s="0" t="n">
        <v>1</v>
      </c>
      <c r="AM212" s="0" t="n">
        <f aca="false">(_Rfb1+Rcea2_u)*Cc3ea_u*A212*2*Pi</f>
        <v>2467.08949105413</v>
      </c>
      <c r="AN212" s="0" t="n">
        <f aca="false">AJ212*AL212/(AL212^2+AM212^2)+AK212*AM212/(AL212^2+AM212^2)</f>
        <v>53.4600131085651</v>
      </c>
      <c r="AO212" s="0" t="n">
        <f aca="false">AK212*AL212/(AL212^2+AM212^2)-AJ212*AM212/(AL212^2+AM212^2)</f>
        <v>-8.08504922874475</v>
      </c>
      <c r="AQ212" s="0" t="n">
        <f aca="false">Eadcg/(1+(Eadcg*A212/GBP)^2)</f>
        <v>1.43669060048569</v>
      </c>
      <c r="AR212" s="0" t="n">
        <f aca="false">-(A212*Eadcg*Eadcg/GBP)/(1+(Eadcg*A212/GBP)^2)</f>
        <v>-67.3850992345802</v>
      </c>
      <c r="AT212" s="0" t="n">
        <f aca="false">-AR212*AH212+AG212*AQ212</f>
        <v>-125160.919583486</v>
      </c>
      <c r="AU212" s="0" t="n">
        <f aca="false">AQ212*AH212+AG212*AR212</f>
        <v>-165736.314177046</v>
      </c>
      <c r="AV212" s="0" t="n">
        <f aca="false">ATAN2(AT212,AU212)</f>
        <v>-2.21760505366661</v>
      </c>
      <c r="AW212" s="0" t="n">
        <f aca="false">AG212-AH212*AO212/_Rfb2+AG212*AN212/_Rfb2+AN212-AO212*AR212+AQ212*AN212</f>
        <v>2055.5375073571</v>
      </c>
      <c r="AX212" s="0" t="n">
        <f aca="false">AH212+AH212*AN212/_Rfb2+AG212*AO212/_Rfb2+AO212+AO212*AQ212+AN212*AR212</f>
        <v>-5585.80218461664</v>
      </c>
      <c r="AY212" s="0" t="n">
        <f aca="false">ATAN2(AW212,AX212)</f>
        <v>-1.21818266503487</v>
      </c>
      <c r="BA212" s="0" t="n">
        <f aca="false">SQRT(AT212^2+AU212^2)/SQRT(AW212^2+AX212^2)</f>
        <v>34.8935480027206</v>
      </c>
      <c r="BB212" s="0" t="n">
        <f aca="false">20*LOG(BA212)</f>
        <v>30.8549026217864</v>
      </c>
      <c r="BC212" s="0" t="n">
        <f aca="false">AV212-AY212</f>
        <v>-0.99942238863174</v>
      </c>
      <c r="BD212" s="0" t="n">
        <f aca="false">BC212*180/Pi-180</f>
        <v>-237.262684884914</v>
      </c>
      <c r="BF212" s="0" t="n">
        <f aca="false">20*LOG(BA212*J212*F212*C212)</f>
        <v>39.0725549713325</v>
      </c>
      <c r="BG212" s="0" t="n">
        <f aca="false">(180/Pi)*(D212+H212+BC212)</f>
        <v>-215.49569016306</v>
      </c>
      <c r="BH212" s="0" t="n">
        <f aca="false">IF(BG212&gt;180,BG212-180,BG212+180)</f>
        <v>-35.4956901630603</v>
      </c>
      <c r="BI212" s="0" t="n">
        <f aca="false">IF(BH212&gt;180,BH212-360,BH212)</f>
        <v>-35.4956901630603</v>
      </c>
      <c r="BJ212" s="0" t="n">
        <f aca="false">SUM((BF213&lt;0)*(BF212&gt;0))*A212</f>
        <v>0</v>
      </c>
      <c r="BK212" s="0" t="n">
        <f aca="false">IF(BJ212&gt;0,BI212,0)</f>
        <v>0</v>
      </c>
      <c r="BM212" s="0" t="n">
        <f aca="false">20*LOG(J212*F212*C212)</f>
        <v>8.21765234954607</v>
      </c>
      <c r="BN212" s="0" t="n">
        <f aca="false">(H212+D212)*180/Pi</f>
        <v>-158.233005278146</v>
      </c>
      <c r="BQ212" s="347" t="n">
        <f aca="false">20*LOG(BA212*7)</f>
        <v>47.7568634220716</v>
      </c>
      <c r="BR212" s="353"/>
      <c r="BS212" s="353"/>
      <c r="BT212" s="353" t="n">
        <v>10471.285</v>
      </c>
      <c r="BU212" s="353" t="n">
        <v>-2.35174</v>
      </c>
      <c r="BV212" s="353" t="n">
        <v>-211.891</v>
      </c>
      <c r="BW212" s="349"/>
      <c r="BY212" s="353"/>
      <c r="BZ212" s="353"/>
      <c r="CA212" s="353"/>
      <c r="CC212" s="353"/>
    </row>
    <row r="213" customFormat="false" ht="12.75" hidden="false" customHeight="false" outlineLevel="0" collapsed="false">
      <c r="A213" s="0" t="n">
        <f aca="false">A212+500</f>
        <v>89500</v>
      </c>
      <c r="B213" s="0" t="n">
        <f aca="false">A213/1000</f>
        <v>89.5</v>
      </c>
      <c r="C213" s="0" t="n">
        <f aca="false">SQRT((A213/Fesr)^2+1)</f>
        <v>1.00000015811598</v>
      </c>
      <c r="D213" s="0" t="n">
        <f aca="false">ATAN(A213/Fesr)</f>
        <v>0.000562345025072842</v>
      </c>
      <c r="F213" s="0" t="n">
        <f aca="false">(Ro/(Ro+Rdcr))/SQRT((A213/(Q*Fo))^2+(1-(A213^2/Fo^2))^2)</f>
        <v>0.282364086489439</v>
      </c>
      <c r="G213" s="0" t="n">
        <f aca="false">-ATAN(A213*Fo/(Q*(Fo^2-A213^2)))</f>
        <v>0.376241864824058</v>
      </c>
      <c r="H213" s="0" t="n">
        <f aca="false">IF(G213&gt;0,G213-Pi,G213)</f>
        <v>-2.76535078517594</v>
      </c>
      <c r="J213" s="0" t="n">
        <f aca="false">Vin/Vramp</f>
        <v>9</v>
      </c>
      <c r="M213" s="0" t="n">
        <f aca="false">1/(2*Pi*_Rfb1*(Cc1ea_u+Cc2ea_u)*A213)</f>
        <v>0.0658617600967335</v>
      </c>
      <c r="N213" s="0" t="n">
        <f aca="false">-Pi/2</f>
        <v>-1.570796325</v>
      </c>
      <c r="O213" s="0" t="n">
        <f aca="false">SQRT(1+(A213/Fz1_u)^2)</f>
        <v>2.40423269462117</v>
      </c>
      <c r="P213" s="0" t="n">
        <f aca="false">ATAN2(Fz1_u,A213)</f>
        <v>1.14182767845088</v>
      </c>
      <c r="Q213" s="0" t="n">
        <f aca="false">SQRT(1+(A213/Fz2_u)^2)</f>
        <v>2480.94974591039</v>
      </c>
      <c r="R213" s="0" t="n">
        <f aca="false">ATAN2(Fz2_u,A213)</f>
        <v>1.5703932553386</v>
      </c>
      <c r="S213" s="0" t="n">
        <f aca="false">1/SQRT(1+(A213/Fp1_u)^2)</f>
        <v>0.149116837774899</v>
      </c>
      <c r="T213" s="0" t="n">
        <f aca="false">-ATAN2(Fp1_u,A213)</f>
        <v>-1.42112126228548</v>
      </c>
      <c r="U213" s="0" t="n">
        <f aca="false">1/SQRT(1+(A213/Fp2_u)^2)</f>
        <v>0.971736779674938</v>
      </c>
      <c r="V213" s="0" t="n">
        <f aca="false">-ATAN2(Fp2_u,A213)</f>
        <v>-0.238316461411019</v>
      </c>
      <c r="X213" s="0" t="n">
        <f aca="false">20*LOG(C213*J213*O213*Q213*F213*M213*S213*U213)</f>
        <v>43.2071032299058</v>
      </c>
      <c r="Y213" s="0" t="n">
        <f aca="false">(180/Pi)*(D213+H213+N213+P213+R213+T213+V213)</f>
        <v>-188.090674298726</v>
      </c>
      <c r="Z213" s="0" t="n">
        <f aca="false">Y213+180</f>
        <v>-8.09067429872567</v>
      </c>
      <c r="AC213" s="0" t="n">
        <v>1</v>
      </c>
      <c r="AD213" s="0" t="n">
        <f aca="false">Rcea1_u*Cc1ea_u*A213*2*Pi</f>
        <v>2.1863976879528</v>
      </c>
      <c r="AE213" s="0" t="n">
        <f aca="false">-Rcea1_u*Cc1ea_u*Cc2ea_u*(A213*2*Pi)^2</f>
        <v>-0.000184426498838169</v>
      </c>
      <c r="AF213" s="0" t="n">
        <f aca="false">(Cc2ea_u+Cc1ea_u)*A213*2*Pi</f>
        <v>0.0007591658638725</v>
      </c>
      <c r="AG213" s="0" t="n">
        <f aca="false">AC213*AE213/(AE213^2+AF213^2)+AD213*AF213/(AE213^2+AF213^2)</f>
        <v>2417.33726457093</v>
      </c>
      <c r="AH213" s="0" t="n">
        <f aca="false">AD213*AE213/(AE213^2+AF213^2)-AC213*AF213/(AE213^2+AF213^2)</f>
        <v>-1904.486380408</v>
      </c>
      <c r="AJ213" s="0" t="n">
        <f aca="false">_Rfb1</f>
        <v>20000</v>
      </c>
      <c r="AK213" s="0" t="n">
        <f aca="false">_Rfb1*Rcea2_u*Cc3ea_u*A213*2*Pi</f>
        <v>132623.464693104</v>
      </c>
      <c r="AL213" s="0" t="n">
        <v>1</v>
      </c>
      <c r="AM213" s="0" t="n">
        <f aca="false">(_Rfb1+Rcea2_u)*Cc3ea_u*A213*2*Pi</f>
        <v>2480.94954437465</v>
      </c>
      <c r="AN213" s="0" t="n">
        <f aca="false">AJ213*AL213/(AL213^2+AM213^2)+AK213*AM213/(AL213^2+AM213^2)</f>
        <v>53.4599765945283</v>
      </c>
      <c r="AO213" s="0" t="n">
        <f aca="false">AK213*AL213/(AL213^2+AM213^2)-AJ213*AM213/(AL213^2+AM213^2)</f>
        <v>-8.03988137067623</v>
      </c>
      <c r="AQ213" s="0" t="n">
        <f aca="false">Eadcg/(1+(Eadcg*A213/GBP)^2)</f>
        <v>1.4206902228923</v>
      </c>
      <c r="AR213" s="0" t="n">
        <f aca="false">-(A213*Eadcg*Eadcg/GBP)/(1+(Eadcg*A213/GBP)^2)</f>
        <v>-67.0089853980496</v>
      </c>
      <c r="AT213" s="0" t="n">
        <f aca="false">-AR213*AH213+AG213*AQ213</f>
        <v>-124183.412638335</v>
      </c>
      <c r="AU213" s="0" t="n">
        <f aca="false">AQ213*AH213+AG213*AR213</f>
        <v>-164689.002644072</v>
      </c>
      <c r="AV213" s="0" t="n">
        <f aca="false">ATAN2(AT213,AU213)</f>
        <v>-2.2168831240606</v>
      </c>
      <c r="AW213" s="0" t="n">
        <f aca="false">AG213-AH213*AO213/_Rfb2+AG213*AN213/_Rfb2+AN213-AO213*AR213+AQ213*AN213</f>
        <v>2059.26654091618</v>
      </c>
      <c r="AX213" s="0" t="n">
        <f aca="false">AH213+AH213*AN213/_Rfb2+AG213*AO213/_Rfb2+AO213+AO213*AQ213+AN213*AR213</f>
        <v>-5560.80923961061</v>
      </c>
      <c r="AY213" s="0" t="n">
        <f aca="false">ATAN2(AW213,AX213)</f>
        <v>-1.21613692080146</v>
      </c>
      <c r="BA213" s="0" t="n">
        <f aca="false">SQRT(AT213^2+AU213^2)/SQRT(AW213^2+AX213^2)</f>
        <v>34.7836407070454</v>
      </c>
      <c r="BB213" s="0" t="n">
        <f aca="false">20*LOG(BA213)</f>
        <v>30.8275007288545</v>
      </c>
      <c r="BC213" s="0" t="n">
        <f aca="false">AV213-AY213</f>
        <v>-1.00074620325914</v>
      </c>
      <c r="BD213" s="0" t="n">
        <f aca="false">BC213*180/Pi-180</f>
        <v>-237.338533876009</v>
      </c>
      <c r="BF213" s="0" t="n">
        <f aca="false">20*LOG(BA213*J213*F213*C213)</f>
        <v>38.9285414621763</v>
      </c>
      <c r="BG213" s="0" t="n">
        <f aca="false">(180/Pi)*(D213+H213+BC213)</f>
        <v>-215.749242924222</v>
      </c>
      <c r="BH213" s="0" t="n">
        <f aca="false">IF(BG213&gt;180,BG213-180,BG213+180)</f>
        <v>-35.7492429242223</v>
      </c>
      <c r="BI213" s="0" t="n">
        <f aca="false">IF(BH213&gt;180,BH213-360,BH213)</f>
        <v>-35.7492429242223</v>
      </c>
      <c r="BJ213" s="0" t="n">
        <f aca="false">SUM((BF214&lt;0)*(BF213&gt;0))*A213</f>
        <v>0</v>
      </c>
      <c r="BK213" s="0" t="n">
        <f aca="false">IF(BJ213&gt;0,BI213,0)</f>
        <v>0</v>
      </c>
      <c r="BM213" s="0" t="n">
        <f aca="false">20*LOG(J213*F213*C213)</f>
        <v>8.10104073332176</v>
      </c>
      <c r="BN213" s="0" t="n">
        <f aca="false">(H213+D213)*180/Pi</f>
        <v>-158.410709048214</v>
      </c>
      <c r="BQ213" s="347" t="n">
        <f aca="false">20*LOG(BA213*7)</f>
        <v>47.7294615291397</v>
      </c>
      <c r="BR213" s="353"/>
      <c r="BS213" s="353"/>
      <c r="BT213" s="353" t="n">
        <v>10715.193</v>
      </c>
      <c r="BU213" s="353" t="n">
        <v>-2.51368</v>
      </c>
      <c r="BV213" s="353" t="n">
        <v>-209.68</v>
      </c>
      <c r="BW213" s="349"/>
      <c r="BY213" s="353"/>
      <c r="BZ213" s="353"/>
      <c r="CA213" s="353"/>
      <c r="CC213" s="353"/>
    </row>
    <row r="214" customFormat="false" ht="12.75" hidden="false" customHeight="false" outlineLevel="0" collapsed="false">
      <c r="A214" s="0" t="n">
        <f aca="false">A213+500</f>
        <v>90000</v>
      </c>
      <c r="B214" s="0" t="n">
        <f aca="false">A214/1000</f>
        <v>90</v>
      </c>
      <c r="C214" s="0" t="n">
        <f aca="false">SQRT((A214/Fesr)^2+1)</f>
        <v>1.00000015988758</v>
      </c>
      <c r="D214" s="0" t="n">
        <f aca="false">ATAN(A214/Fesr)</f>
        <v>0.00056548661672381</v>
      </c>
      <c r="F214" s="0" t="n">
        <f aca="false">(Ro/(Ro+Rdcr))/SQRT((A214/(Q*Fo))^2+(1-(A214^2/Fo^2))^2)</f>
        <v>0.278626129748602</v>
      </c>
      <c r="G214" s="0" t="n">
        <f aca="false">-ATAN(A214*Fo/(Q*(Fo^2-A214^2)))</f>
        <v>0.373191674349944</v>
      </c>
      <c r="H214" s="0" t="n">
        <f aca="false">IF(G214&gt;0,G214-Pi,G214)</f>
        <v>-2.76840097565006</v>
      </c>
      <c r="J214" s="0" t="n">
        <f aca="false">Vin/Vramp</f>
        <v>9</v>
      </c>
      <c r="M214" s="0" t="n">
        <f aca="false">1/(2*Pi*_Rfb1*(Cc1ea_u+Cc2ea_u)*A214)</f>
        <v>0.0654958614295294</v>
      </c>
      <c r="N214" s="0" t="n">
        <f aca="false">-Pi/2</f>
        <v>-1.570796325</v>
      </c>
      <c r="O214" s="0" t="n">
        <f aca="false">SQRT(1+(A214/Fz1_u)^2)</f>
        <v>2.41534585655197</v>
      </c>
      <c r="P214" s="0" t="n">
        <f aca="false">ATAN2(Fz1_u,A214)</f>
        <v>1.14393107241444</v>
      </c>
      <c r="Q214" s="0" t="n">
        <f aca="false">SQRT(1+(A214/Fz2_u)^2)</f>
        <v>2494.80979811127</v>
      </c>
      <c r="R214" s="0" t="n">
        <f aca="false">ATAN2(Fz2_u,A214)</f>
        <v>1.57039549462423</v>
      </c>
      <c r="S214" s="0" t="n">
        <f aca="false">1/SQRT(1+(A214/Fp1_u)^2)</f>
        <v>0.148306681812824</v>
      </c>
      <c r="T214" s="0" t="n">
        <f aca="false">-ATAN2(Fp1_u,A214)</f>
        <v>-1.42194052802707</v>
      </c>
      <c r="U214" s="0" t="n">
        <f aca="false">1/SQRT(1+(A214/Fp2_u)^2)</f>
        <v>0.971433548189531</v>
      </c>
      <c r="V214" s="0" t="n">
        <f aca="false">-ATAN2(Fp2_u,A214)</f>
        <v>-0.239597598122607</v>
      </c>
      <c r="X214" s="0" t="n">
        <f aca="false">20*LOG(C214*J214*O214*Q214*F214*M214*S214*U214)</f>
        <v>43.0813772687202</v>
      </c>
      <c r="Y214" s="0" t="n">
        <f aca="false">(180/Pi)*(D214+H214+N214+P214+R214+T214+V214)</f>
        <v>-188.264957637325</v>
      </c>
      <c r="Z214" s="0" t="n">
        <f aca="false">Y214+180</f>
        <v>-8.26495763732467</v>
      </c>
      <c r="AC214" s="0" t="n">
        <v>1</v>
      </c>
      <c r="AD214" s="0" t="n">
        <f aca="false">Rcea1_u*Cc1ea_u*A214*2*Pi</f>
        <v>2.198612200176</v>
      </c>
      <c r="AE214" s="0" t="n">
        <f aca="false">-Rcea1_u*Cc1ea_u*Cc2ea_u*(A214*2*Pi)^2</f>
        <v>-0.000186492886063378</v>
      </c>
      <c r="AF214" s="0" t="n">
        <f aca="false">(Cc2ea_u+Cc1ea_u)*A214*2*Pi</f>
        <v>0.00076340701395</v>
      </c>
      <c r="AG214" s="0" t="n">
        <f aca="false">AC214*AE214/(AE214^2+AF214^2)+AD214*AF214/(AE214^2+AF214^2)</f>
        <v>2415.82883468314</v>
      </c>
      <c r="AH214" s="0" t="n">
        <f aca="false">AD214*AE214/(AE214^2+AF214^2)-AC214*AF214/(AE214^2+AF214^2)</f>
        <v>-1900.08064519851</v>
      </c>
      <c r="AJ214" s="0" t="n">
        <f aca="false">_Rfb1</f>
        <v>20000</v>
      </c>
      <c r="AK214" s="0" t="n">
        <f aca="false">_Rfb1*Rcea2_u*Cc3ea_u*A214*2*Pi</f>
        <v>133364.37790368</v>
      </c>
      <c r="AL214" s="0" t="n">
        <v>1</v>
      </c>
      <c r="AM214" s="0" t="n">
        <f aca="false">(_Rfb1+Rcea2_u)*Cc3ea_u*A214*2*Pi</f>
        <v>2494.80959769518</v>
      </c>
      <c r="AN214" s="0" t="n">
        <f aca="false">AJ214*AL214/(AL214^2+AM214^2)+AK214*AM214/(AL214^2+AM214^2)</f>
        <v>53.4599406873666</v>
      </c>
      <c r="AO214" s="0" t="n">
        <f aca="false">AK214*AL214/(AL214^2+AM214^2)-AJ214*AM214/(AL214^2+AM214^2)</f>
        <v>-7.99521537745411</v>
      </c>
      <c r="AQ214" s="0" t="n">
        <f aca="false">Eadcg/(1+(Eadcg*A214/GBP)^2)</f>
        <v>1.40495561882052</v>
      </c>
      <c r="AR214" s="0" t="n">
        <f aca="false">-(A214*Eadcg*Eadcg/GBP)/(1+(Eadcg*A214/GBP)^2)</f>
        <v>-66.6370450006574</v>
      </c>
      <c r="AT214" s="0" t="n">
        <f aca="false">-AR214*AH214+AG214*AQ214</f>
        <v>-123221.627163575</v>
      </c>
      <c r="AU214" s="0" t="n">
        <f aca="false">AQ214*AH214+AG214*AR214</f>
        <v>-163653.22374935</v>
      </c>
      <c r="AV214" s="0" t="n">
        <f aca="false">ATAN2(AT214,AU214)</f>
        <v>-2.21617860022691</v>
      </c>
      <c r="AW214" s="0" t="n">
        <f aca="false">AG214-AH214*AO214/_Rfb2+AG214*AN214/_Rfb2+AN214-AO214*AR214+AQ214*AN214</f>
        <v>2062.90142302272</v>
      </c>
      <c r="AX214" s="0" t="n">
        <f aca="false">AH214+AH214*AN214/_Rfb2+AG214*AO214/_Rfb2+AO214+AO214*AQ214+AN214*AR214</f>
        <v>-5536.12322835957</v>
      </c>
      <c r="AY214" s="0" t="n">
        <f aca="false">ATAN2(AW214,AX214)</f>
        <v>-1.21410891644705</v>
      </c>
      <c r="BA214" s="0" t="n">
        <f aca="false">SQRT(AT214^2+AU214^2)/SQRT(AW214^2+AX214^2)</f>
        <v>34.6744458240265</v>
      </c>
      <c r="BB214" s="0" t="n">
        <f aca="false">20*LOG(BA214)</f>
        <v>30.800190575878</v>
      </c>
      <c r="BC214" s="0" t="n">
        <f aca="false">AV214-AY214</f>
        <v>-1.00206968377985</v>
      </c>
      <c r="BD214" s="0" t="n">
        <f aca="false">BC214*180/Pi-180</f>
        <v>-237.4143637242</v>
      </c>
      <c r="BF214" s="0" t="n">
        <f aca="false">20*LOG(BA214*J214*F214*C214)</f>
        <v>38.7854790020451</v>
      </c>
      <c r="BG214" s="0" t="n">
        <f aca="false">(180/Pi)*(D214+H214+BC214)</f>
        <v>-215.999655813548</v>
      </c>
      <c r="BH214" s="0" t="n">
        <f aca="false">IF(BG214&gt;180,BG214-180,BG214+180)</f>
        <v>-35.9996558135484</v>
      </c>
      <c r="BI214" s="0" t="n">
        <f aca="false">IF(BH214&gt;180,BH214-360,BH214)</f>
        <v>-35.9996558135484</v>
      </c>
      <c r="BJ214" s="0" t="n">
        <f aca="false">SUM((BF215&lt;0)*(BF214&gt;0))*A214</f>
        <v>0</v>
      </c>
      <c r="BK214" s="0" t="n">
        <f aca="false">IF(BJ214&gt;0,BI214,0)</f>
        <v>0</v>
      </c>
      <c r="BM214" s="0" t="n">
        <f aca="false">20*LOG(J214*F214*C214)</f>
        <v>7.98528842616705</v>
      </c>
      <c r="BN214" s="0" t="n">
        <f aca="false">(H214+D214)*180/Pi</f>
        <v>-158.585292089348</v>
      </c>
      <c r="BQ214" s="347" t="n">
        <f aca="false">20*LOG(BA214*7)</f>
        <v>47.7021513761631</v>
      </c>
      <c r="BR214" s="353"/>
      <c r="BS214" s="353"/>
      <c r="BT214" s="353" t="n">
        <v>10964.782</v>
      </c>
      <c r="BU214" s="353" t="n">
        <v>-2.50437</v>
      </c>
      <c r="BV214" s="353" t="n">
        <v>-209.525</v>
      </c>
      <c r="BW214" s="349"/>
      <c r="BY214" s="353"/>
      <c r="BZ214" s="353"/>
      <c r="CA214" s="353"/>
      <c r="CC214" s="353"/>
    </row>
    <row r="215" customFormat="false" ht="12.75" hidden="false" customHeight="false" outlineLevel="0" collapsed="false">
      <c r="A215" s="0" t="n">
        <f aca="false">A214+500</f>
        <v>90500</v>
      </c>
      <c r="B215" s="0" t="n">
        <f aca="false">A215/1000</f>
        <v>90.5</v>
      </c>
      <c r="C215" s="0" t="n">
        <f aca="false">SQRT((A215/Fesr)^2+1)</f>
        <v>1.00000016166904</v>
      </c>
      <c r="D215" s="0" t="n">
        <f aca="false">ATAN(A215/Fesr)</f>
        <v>0.000568628208363615</v>
      </c>
      <c r="F215" s="0" t="n">
        <f aca="false">(Ro/(Ro+Rdcr))/SQRT((A215/(Q*Fo))^2+(1-(A215^2/Fo^2))^2)</f>
        <v>0.27496446181655</v>
      </c>
      <c r="G215" s="0" t="n">
        <f aca="false">-ATAN(A215*Fo/(Q*(Fo^2-A215^2)))</f>
        <v>0.370194500513583</v>
      </c>
      <c r="H215" s="0" t="n">
        <f aca="false">IF(G215&gt;0,G215-Pi,G215)</f>
        <v>-2.77139814948642</v>
      </c>
      <c r="J215" s="0" t="n">
        <f aca="false">Vin/Vramp</f>
        <v>9</v>
      </c>
      <c r="M215" s="0" t="n">
        <f aca="false">1/(2*Pi*_Rfb1*(Cc1ea_u+Cc2ea_u)*A215)</f>
        <v>0.0651340058415209</v>
      </c>
      <c r="N215" s="0" t="n">
        <f aca="false">-Pi/2</f>
        <v>-1.570796325</v>
      </c>
      <c r="O215" s="0" t="n">
        <f aca="false">SQRT(1+(A215/Fz1_u)^2)</f>
        <v>2.42646960670392</v>
      </c>
      <c r="P215" s="0" t="n">
        <f aca="false">ATAN2(Fz1_u,A215)</f>
        <v>1.14601519020222</v>
      </c>
      <c r="Q215" s="0" t="n">
        <f aca="false">SQRT(1+(A215/Fz2_u)^2)</f>
        <v>2508.66985032453</v>
      </c>
      <c r="R215" s="0" t="n">
        <f aca="false">ATAN2(Fz2_u,A215)</f>
        <v>1.57039770916637</v>
      </c>
      <c r="S215" s="0" t="n">
        <f aca="false">1/SQRT(1+(A215/Fp1_u)^2)</f>
        <v>0.147505184075578</v>
      </c>
      <c r="T215" s="0" t="n">
        <f aca="false">-ATAN2(Fp1_u,A215)</f>
        <v>-1.42275093914852</v>
      </c>
      <c r="U215" s="0" t="n">
        <f aca="false">1/SQRT(1+(A215/Fp2_u)^2)</f>
        <v>0.971128913460568</v>
      </c>
      <c r="V215" s="0" t="n">
        <f aca="false">-ATAN2(Fp2_u,A215)</f>
        <v>-0.240877933423603</v>
      </c>
      <c r="X215" s="0" t="n">
        <f aca="false">20*LOG(C215*J215*O215*Q215*F215*M215*S215*U215)</f>
        <v>42.9565893912329</v>
      </c>
      <c r="Y215" s="0" t="n">
        <f aca="false">(180/Pi)*(D215+H215+N215+P215+R215+T215+V215)</f>
        <v>-188.436755957742</v>
      </c>
      <c r="Z215" s="0" t="n">
        <f aca="false">Y215+180</f>
        <v>-8.4367559577417</v>
      </c>
      <c r="AC215" s="0" t="n">
        <v>1</v>
      </c>
      <c r="AD215" s="0" t="n">
        <f aca="false">Rcea1_u*Cc1ea_u*A215*2*Pi</f>
        <v>2.2108267123992</v>
      </c>
      <c r="AE215" s="0" t="n">
        <f aca="false">-Rcea1_u*Cc1ea_u*Cc2ea_u*(A215*2*Pi)^2</f>
        <v>-0.000188570785195133</v>
      </c>
      <c r="AF215" s="0" t="n">
        <f aca="false">(Cc2ea_u+Cc1ea_u)*A215*2*Pi</f>
        <v>0.0007676481640275</v>
      </c>
      <c r="AG215" s="0" t="n">
        <f aca="false">AC215*AE215/(AE215^2+AF215^2)+AD215*AF215/(AE215^2+AF215^2)</f>
        <v>2414.3138983913</v>
      </c>
      <c r="AH215" s="0" t="n">
        <f aca="false">AD215*AE215/(AE215^2+AF215^2)-AC215*AF215/(AE215^2+AF215^2)</f>
        <v>-1895.75007890599</v>
      </c>
      <c r="AJ215" s="0" t="n">
        <f aca="false">_Rfb1</f>
        <v>20000</v>
      </c>
      <c r="AK215" s="0" t="n">
        <f aca="false">_Rfb1*Rcea2_u*Cc3ea_u*A215*2*Pi</f>
        <v>134105.291114256</v>
      </c>
      <c r="AL215" s="0" t="n">
        <v>1</v>
      </c>
      <c r="AM215" s="0" t="n">
        <f aca="false">(_Rfb1+Rcea2_u)*Cc3ea_u*A215*2*Pi</f>
        <v>2508.66965101571</v>
      </c>
      <c r="AN215" s="0" t="n">
        <f aca="false">AJ215*AL215/(AL215^2+AM215^2)+AK215*AM215/(AL215^2+AM215^2)</f>
        <v>53.4599053737056</v>
      </c>
      <c r="AO215" s="0" t="n">
        <f aca="false">AK215*AL215/(AL215^2+AM215^2)-AJ215*AM215/(AL215^2+AM215^2)</f>
        <v>-7.95104293088184</v>
      </c>
      <c r="AQ215" s="0" t="n">
        <f aca="false">Eadcg/(1+(Eadcg*A215/GBP)^2)</f>
        <v>1.38948093539157</v>
      </c>
      <c r="AR215" s="0" t="n">
        <f aca="false">-(A215*Eadcg*Eadcg/GBP)/(1+(Eadcg*A215/GBP)^2)</f>
        <v>-66.2692089920976</v>
      </c>
      <c r="AT215" s="0" t="n">
        <f aca="false">-AR215*AH215+AG215*AQ215</f>
        <v>-122275.215041941</v>
      </c>
      <c r="AU215" s="0" t="n">
        <f aca="false">AQ215*AH215+AG215*AR215</f>
        <v>-162628.780897926</v>
      </c>
      <c r="AV215" s="0" t="n">
        <f aca="false">ATAN2(AT215,AU215)</f>
        <v>-2.21549125081151</v>
      </c>
      <c r="AW215" s="0" t="n">
        <f aca="false">AG215-AH215*AO215/_Rfb2+AG215*AN215/_Rfb2+AN215-AO215*AR215+AQ215*AN215</f>
        <v>2066.44410842693</v>
      </c>
      <c r="AX215" s="0" t="n">
        <f aca="false">AH215+AH215*AN215/_Rfb2+AG215*AO215/_Rfb2+AO215+AO215*AQ215+AN215*AR215</f>
        <v>-5511.73890629203</v>
      </c>
      <c r="AY215" s="0" t="n">
        <f aca="false">ATAN2(AW215,AX215)</f>
        <v>-1.21209850629884</v>
      </c>
      <c r="BA215" s="0" t="n">
        <f aca="false">SQRT(AT215^2+AU215^2)/SQRT(AW215^2+AX215^2)</f>
        <v>34.5659531625534</v>
      </c>
      <c r="BB215" s="0" t="n">
        <f aca="false">20*LOG(BA215)</f>
        <v>30.7729707426852</v>
      </c>
      <c r="BC215" s="0" t="n">
        <f aca="false">AV215-AY215</f>
        <v>-1.00339274451267</v>
      </c>
      <c r="BD215" s="0" t="n">
        <f aca="false">BC215*180/Pi-180</f>
        <v>-237.490169520317</v>
      </c>
      <c r="BF215" s="0" t="n">
        <f aca="false">20*LOG(BA215*J215*F215*C215)</f>
        <v>38.6433536643654</v>
      </c>
      <c r="BG215" s="0" t="n">
        <f aca="false">(180/Pi)*(D215+H215+BC215)</f>
        <v>-216.24700702121</v>
      </c>
      <c r="BH215" s="0" t="n">
        <f aca="false">IF(BG215&gt;180,BG215-180,BG215+180)</f>
        <v>-36.2470070212096</v>
      </c>
      <c r="BI215" s="0" t="n">
        <f aca="false">IF(BH215&gt;180,BH215-360,BH215)</f>
        <v>-36.2470070212096</v>
      </c>
      <c r="BJ215" s="0" t="n">
        <f aca="false">SUM((BF216&lt;0)*(BF215&gt;0))*A215</f>
        <v>0</v>
      </c>
      <c r="BK215" s="0" t="n">
        <f aca="false">IF(BJ215&gt;0,BI215,0)</f>
        <v>0</v>
      </c>
      <c r="BM215" s="0" t="n">
        <f aca="false">20*LOG(J215*F215*C215)</f>
        <v>7.87038292168029</v>
      </c>
      <c r="BN215" s="0" t="n">
        <f aca="false">(H215+D215)*180/Pi</f>
        <v>-158.756837500893</v>
      </c>
      <c r="BQ215" s="347" t="n">
        <f aca="false">20*LOG(BA215*7)</f>
        <v>47.6749315429703</v>
      </c>
      <c r="BR215" s="353"/>
      <c r="BS215" s="353"/>
      <c r="BT215" s="353" t="n">
        <v>11220.185</v>
      </c>
      <c r="BU215" s="353" t="n">
        <v>-2.74869</v>
      </c>
      <c r="BV215" s="353" t="n">
        <v>-207.815</v>
      </c>
      <c r="BW215" s="349"/>
      <c r="BY215" s="353"/>
      <c r="BZ215" s="353"/>
      <c r="CA215" s="353"/>
      <c r="CC215" s="353"/>
    </row>
    <row r="216" customFormat="false" ht="12.75" hidden="false" customHeight="false" outlineLevel="0" collapsed="false">
      <c r="A216" s="0" t="n">
        <f aca="false">A215+500</f>
        <v>91000</v>
      </c>
      <c r="B216" s="0" t="n">
        <f aca="false">A216/1000</f>
        <v>91</v>
      </c>
      <c r="C216" s="0" t="n">
        <f aca="false">SQRT((A216/Fesr)^2+1)</f>
        <v>1.00000016346037</v>
      </c>
      <c r="D216" s="0" t="n">
        <f aca="false">ATAN(A216/Fesr)</f>
        <v>0.000571769799992197</v>
      </c>
      <c r="F216" s="0" t="n">
        <f aca="false">(Ro/(Ro+Rdcr))/SQRT((A216/(Q*Fo))^2+(1-(A216^2/Fo^2))^2)</f>
        <v>0.271376987618719</v>
      </c>
      <c r="G216" s="0" t="n">
        <f aca="false">-ATAN(A216*Fo/(Q*(Fo^2-A216^2)))</f>
        <v>0.367248943593961</v>
      </c>
      <c r="H216" s="0" t="n">
        <f aca="false">IF(G216&gt;0,G216-Pi,G216)</f>
        <v>-2.77434370640604</v>
      </c>
      <c r="J216" s="0" t="n">
        <f aca="false">Vin/Vramp</f>
        <v>9</v>
      </c>
      <c r="M216" s="0" t="n">
        <f aca="false">1/(2*Pi*_Rfb1*(Cc1ea_u+Cc2ea_u)*A216)</f>
        <v>0.0647761266885455</v>
      </c>
      <c r="N216" s="0" t="n">
        <f aca="false">-Pi/2</f>
        <v>-1.570796325</v>
      </c>
      <c r="O216" s="0" t="n">
        <f aca="false">SQRT(1+(A216/Fz1_u)^2)</f>
        <v>2.4376038001223</v>
      </c>
      <c r="P216" s="0" t="n">
        <f aca="false">ATAN2(Fz1_u,A216)</f>
        <v>1.14808027772661</v>
      </c>
      <c r="Q216" s="0" t="n">
        <f aca="false">SQRT(1+(A216/Fz2_u)^2)</f>
        <v>2522.52990254996</v>
      </c>
      <c r="R216" s="0" t="n">
        <f aca="false">ATAN2(Fz2_u,A216)</f>
        <v>1.57039989937289</v>
      </c>
      <c r="S216" s="0" t="n">
        <f aca="false">1/SQRT(1+(A216/Fp1_u)^2)</f>
        <v>0.14671220807537</v>
      </c>
      <c r="T216" s="0" t="n">
        <f aca="false">-ATAN2(Fp1_u,A216)</f>
        <v>-1.42355263738184</v>
      </c>
      <c r="U216" s="0" t="n">
        <f aca="false">1/SQRT(1+(A216/Fp2_u)^2)</f>
        <v>0.970822879802605</v>
      </c>
      <c r="V216" s="0" t="n">
        <f aca="false">-ATAN2(Fp2_u,A216)</f>
        <v>-0.242157463872098</v>
      </c>
      <c r="X216" s="0" t="n">
        <f aca="false">20*LOG(C216*J216*O216*Q216*F216*M216*S216*U216)</f>
        <v>42.8327254251957</v>
      </c>
      <c r="Y216" s="0" t="n">
        <f aca="false">(180/Pi)*(D216+H216+N216+P216+R216+T216+V216)</f>
        <v>-188.606143268411</v>
      </c>
      <c r="Z216" s="0" t="n">
        <f aca="false">Y216+180</f>
        <v>-8.60614326841113</v>
      </c>
      <c r="AC216" s="0" t="n">
        <v>1</v>
      </c>
      <c r="AD216" s="0" t="n">
        <f aca="false">Rcea1_u*Cc1ea_u*A216*2*Pi</f>
        <v>2.2230412246224</v>
      </c>
      <c r="AE216" s="0" t="n">
        <f aca="false">-Rcea1_u*Cc1ea_u*Cc2ea_u*(A216*2*Pi)^2</f>
        <v>-0.000190660196233436</v>
      </c>
      <c r="AF216" s="0" t="n">
        <f aca="false">(Cc2ea_u+Cc1ea_u)*A216*2*Pi</f>
        <v>0.000771889314105</v>
      </c>
      <c r="AG216" s="0" t="n">
        <f aca="false">AC216*AE216/(AE216^2+AF216^2)+AD216*AF216/(AE216^2+AF216^2)</f>
        <v>2412.79248370745</v>
      </c>
      <c r="AH216" s="0" t="n">
        <f aca="false">AD216*AE216/(AE216^2+AF216^2)-AC216*AF216/(AE216^2+AF216^2)</f>
        <v>-1891.49332907544</v>
      </c>
      <c r="AJ216" s="0" t="n">
        <f aca="false">_Rfb1</f>
        <v>20000</v>
      </c>
      <c r="AK216" s="0" t="n">
        <f aca="false">_Rfb1*Rcea2_u*Cc3ea_u*A216*2*Pi</f>
        <v>134846.204324832</v>
      </c>
      <c r="AL216" s="0" t="n">
        <v>1</v>
      </c>
      <c r="AM216" s="0" t="n">
        <f aca="false">(_Rfb1+Rcea2_u)*Cc3ea_u*A216*2*Pi</f>
        <v>2522.52970433624</v>
      </c>
      <c r="AN216" s="0" t="n">
        <f aca="false">AJ216*AL216/(AL216^2+AM216^2)+AK216*AM216/(AL216^2+AM216^2)</f>
        <v>53.459870640537</v>
      </c>
      <c r="AO216" s="0" t="n">
        <f aca="false">AK216*AL216/(AL216^2+AM216^2)-AJ216*AM216/(AL216^2+AM216^2)</f>
        <v>-7.90735589558024</v>
      </c>
      <c r="AQ216" s="0" t="n">
        <f aca="false">Eadcg/(1+(Eadcg*A216/GBP)^2)</f>
        <v>1.37426047993646</v>
      </c>
      <c r="AR216" s="0" t="n">
        <f aca="false">-(A216*Eadcg*Eadcg/GBP)/(1+(Eadcg*A216/GBP)^2)</f>
        <v>-65.905409836313</v>
      </c>
      <c r="AT216" s="0" t="n">
        <f aca="false">-AR216*AH216+AG216*AQ216</f>
        <v>-121343.837698722</v>
      </c>
      <c r="AU216" s="0" t="n">
        <f aca="false">AQ216*AH216+AG216*AR216</f>
        <v>-161615.482018927</v>
      </c>
      <c r="AV216" s="0" t="n">
        <f aca="false">ATAN2(AT216,AU216)</f>
        <v>-2.21482084788188</v>
      </c>
      <c r="AW216" s="0" t="n">
        <f aca="false">AG216-AH216*AO216/_Rfb2+AG216*AN216/_Rfb2+AN216-AO216*AR216+AQ216*AN216</f>
        <v>2069.89649922245</v>
      </c>
      <c r="AX216" s="0" t="n">
        <f aca="false">AH216+AH216*AN216/_Rfb2+AG216*AO216/_Rfb2+AO216+AO216*AQ216+AN216*AR216</f>
        <v>-5487.65114494228</v>
      </c>
      <c r="AY216" s="0" t="n">
        <f aca="false">ATAN2(AW216,AX216)</f>
        <v>-1.21010554646276</v>
      </c>
      <c r="BA216" s="0" t="n">
        <f aca="false">SQRT(AT216^2+AU216^2)/SQRT(AW216^2+AX216^2)</f>
        <v>34.4581527954981</v>
      </c>
      <c r="BB216" s="0" t="n">
        <f aca="false">20*LOG(BA216)</f>
        <v>30.7458398486451</v>
      </c>
      <c r="BC216" s="0" t="n">
        <f aca="false">AV216-AY216</f>
        <v>-1.00471530141912</v>
      </c>
      <c r="BD216" s="0" t="n">
        <f aca="false">BC216*180/Pi-180</f>
        <v>-237.565946449308</v>
      </c>
      <c r="BF216" s="0" t="n">
        <f aca="false">20*LOG(BA216*J216*F216*C216)</f>
        <v>38.502151803886</v>
      </c>
      <c r="BG216" s="0" t="n">
        <f aca="false">(180/Pi)*(D216+H216+BC216)</f>
        <v>-216.491371930263</v>
      </c>
      <c r="BH216" s="0" t="n">
        <f aca="false">IF(BG216&gt;180,BG216-180,BG216+180)</f>
        <v>-36.4913719302627</v>
      </c>
      <c r="BI216" s="0" t="n">
        <f aca="false">IF(BH216&gt;180,BH216-360,BH216)</f>
        <v>-36.4913719302627</v>
      </c>
      <c r="BJ216" s="0" t="n">
        <f aca="false">SUM((BF217&lt;0)*(BF216&gt;0))*A216</f>
        <v>0</v>
      </c>
      <c r="BK216" s="0" t="n">
        <f aca="false">IF(BJ216&gt;0,BI216,0)</f>
        <v>0</v>
      </c>
      <c r="BM216" s="0" t="n">
        <f aca="false">20*LOG(J216*F216*C216)</f>
        <v>7.75631195524091</v>
      </c>
      <c r="BN216" s="0" t="n">
        <f aca="false">(H216+D216)*180/Pi</f>
        <v>-158.925425480954</v>
      </c>
      <c r="BQ216" s="347" t="n">
        <f aca="false">20*LOG(BA216*7)</f>
        <v>47.6478006489302</v>
      </c>
      <c r="BR216" s="353"/>
      <c r="BS216" s="353"/>
      <c r="BT216" s="353" t="n">
        <v>11481.536</v>
      </c>
      <c r="BU216" s="353" t="n">
        <v>-2.86917</v>
      </c>
      <c r="BV216" s="353" t="n">
        <v>-207.916</v>
      </c>
      <c r="BW216" s="349"/>
      <c r="BY216" s="353"/>
      <c r="BZ216" s="353"/>
      <c r="CA216" s="353"/>
      <c r="CC216" s="353"/>
    </row>
    <row r="217" customFormat="false" ht="12.75" hidden="false" customHeight="false" outlineLevel="0" collapsed="false">
      <c r="A217" s="0" t="n">
        <f aca="false">A216+500</f>
        <v>91500</v>
      </c>
      <c r="B217" s="0" t="n">
        <f aca="false">A217/1000</f>
        <v>91.5</v>
      </c>
      <c r="C217" s="0" t="n">
        <f aca="false">SQRT((A217/Fesr)^2+1)</f>
        <v>1.00000016526158</v>
      </c>
      <c r="D217" s="0" t="n">
        <f aca="false">ATAN(A217/Fesr)</f>
        <v>0.000574911391609492</v>
      </c>
      <c r="F217" s="0" t="n">
        <f aca="false">(Ro/(Ro+Rdcr))/SQRT((A217/(Q*Fo))^2+(1-(A217^2/Fo^2))^2)</f>
        <v>0.267861683338475</v>
      </c>
      <c r="G217" s="0" t="n">
        <f aca="false">-ATAN(A217*Fo/(Q*(Fo^2-A217^2)))</f>
        <v>0.364353652363209</v>
      </c>
      <c r="H217" s="0" t="n">
        <f aca="false">IF(G217&gt;0,G217-Pi,G217)</f>
        <v>-2.77723899763679</v>
      </c>
      <c r="J217" s="0" t="n">
        <f aca="false">Vin/Vramp</f>
        <v>9</v>
      </c>
      <c r="M217" s="0" t="n">
        <f aca="false">1/(2*Pi*_Rfb1*(Cc1ea_u+Cc2ea_u)*A217)</f>
        <v>0.0644221587831436</v>
      </c>
      <c r="N217" s="0" t="n">
        <f aca="false">-Pi/2</f>
        <v>-1.570796325</v>
      </c>
      <c r="O217" s="0" t="n">
        <f aca="false">SQRT(1+(A217/Fz1_u)^2)</f>
        <v>2.44874829435391</v>
      </c>
      <c r="P217" s="0" t="n">
        <f aca="false">ATAN2(Fz1_u,A217)</f>
        <v>1.15012657707887</v>
      </c>
      <c r="Q217" s="0" t="n">
        <f aca="false">SQRT(1+(A217/Fz2_u)^2)</f>
        <v>2536.38995478735</v>
      </c>
      <c r="R217" s="0" t="n">
        <f aca="false">ATAN2(Fz2_u,A217)</f>
        <v>1.57040206564273</v>
      </c>
      <c r="S217" s="0" t="n">
        <f aca="false">1/SQRT(1+(A217/Fp1_u)^2)</f>
        <v>0.145927620144369</v>
      </c>
      <c r="T217" s="0" t="n">
        <f aca="false">-ATAN2(Fp1_u,A217)</f>
        <v>-1.42434576147256</v>
      </c>
      <c r="U217" s="0" t="n">
        <f aca="false">1/SQRT(1+(A217/Fp2_u)^2)</f>
        <v>0.970515451542557</v>
      </c>
      <c r="V217" s="0" t="n">
        <f aca="false">-ATAN2(Fp2_u,A217)</f>
        <v>-0.243436186041054</v>
      </c>
      <c r="X217" s="0" t="n">
        <f aca="false">20*LOG(C217*J217*O217*Q217*F217*M217*S217*U217)</f>
        <v>42.7097714786836</v>
      </c>
      <c r="Y217" s="0" t="n">
        <f aca="false">(180/Pi)*(D217+H217+N217+P217+R217+T217+V217)</f>
        <v>-188.773190848499</v>
      </c>
      <c r="Z217" s="0" t="n">
        <f aca="false">Y217+180</f>
        <v>-8.77319084849941</v>
      </c>
      <c r="AC217" s="0" t="n">
        <v>1</v>
      </c>
      <c r="AD217" s="0" t="n">
        <f aca="false">Rcea1_u*Cc1ea_u*A217*2*Pi</f>
        <v>2.2352557368456</v>
      </c>
      <c r="AE217" s="0" t="n">
        <f aca="false">-Rcea1_u*Cc1ea_u*Cc2ea_u*(A217*2*Pi)^2</f>
        <v>-0.000192761119178286</v>
      </c>
      <c r="AF217" s="0" t="n">
        <f aca="false">(Cc2ea_u+Cc1ea_u)*A217*2*Pi</f>
        <v>0.0007761304641825</v>
      </c>
      <c r="AG217" s="0" t="n">
        <f aca="false">AC217*AE217/(AE217^2+AF217^2)+AD217*AF217/(AE217^2+AF217^2)</f>
        <v>2411.2646187081</v>
      </c>
      <c r="AH217" s="0" t="n">
        <f aca="false">AD217*AE217/(AE217^2+AF217^2)-AC217*AF217/(AE217^2+AF217^2)</f>
        <v>-1887.309072554</v>
      </c>
      <c r="AJ217" s="0" t="n">
        <f aca="false">_Rfb1</f>
        <v>20000</v>
      </c>
      <c r="AK217" s="0" t="n">
        <f aca="false">_Rfb1*Rcea2_u*Cc3ea_u*A217*2*Pi</f>
        <v>135587.117535408</v>
      </c>
      <c r="AL217" s="0" t="n">
        <v>1</v>
      </c>
      <c r="AM217" s="0" t="n">
        <f aca="false">(_Rfb1+Rcea2_u)*Cc3ea_u*A217*2*Pi</f>
        <v>2536.38975765677</v>
      </c>
      <c r="AN217" s="0" t="n">
        <f aca="false">AJ217*AL217/(AL217^2+AM217^2)+AK217*AM217/(AL217^2+AM217^2)</f>
        <v>53.4598364752075</v>
      </c>
      <c r="AO217" s="0" t="n">
        <f aca="false">AK217*AL217/(AL217^2+AM217^2)-AJ217*AM217/(AL217^2+AM217^2)</f>
        <v>-7.86414631399249</v>
      </c>
      <c r="AQ217" s="0" t="n">
        <f aca="false">Eadcg/(1+(Eadcg*A217/GBP)^2)</f>
        <v>1.35928871476302</v>
      </c>
      <c r="AR217" s="0" t="n">
        <f aca="false">-(A217*Eadcg*Eadcg/GBP)/(1+(Eadcg*A217/GBP)^2)</f>
        <v>-65.5455814702302</v>
      </c>
      <c r="AT217" s="0" t="n">
        <f aca="false">-AR217*AH217+AG217*AQ217</f>
        <v>-120427.165790075</v>
      </c>
      <c r="AU217" s="0" t="n">
        <f aca="false">AQ217*AH217+AG217*AR217</f>
        <v>-160613.139435408</v>
      </c>
      <c r="AV217" s="0" t="n">
        <f aca="false">ATAN2(AT217,AU217)</f>
        <v>-2.21416716687356</v>
      </c>
      <c r="AW217" s="0" t="n">
        <f aca="false">AG217-AH217*AO217/_Rfb2+AG217*AN217/_Rfb2+AN217-AO217*AR217+AQ217*AN217</f>
        <v>2073.26044656727</v>
      </c>
      <c r="AX217" s="0" t="n">
        <f aca="false">AH217+AH217*AN217/_Rfb2+AG217*AO217/_Rfb2+AO217+AO217*AQ217+AN217*AR217</f>
        <v>-5463.85492874682</v>
      </c>
      <c r="AY217" s="0" t="n">
        <f aca="false">ATAN2(AW217,AX217)</f>
        <v>-1.20812989478072</v>
      </c>
      <c r="BA217" s="0" t="n">
        <f aca="false">SQRT(AT217^2+AU217^2)/SQRT(AW217^2+AX217^2)</f>
        <v>34.351035051156</v>
      </c>
      <c r="BB217" s="0" t="n">
        <f aca="false">20*LOG(BA217)</f>
        <v>30.7187965514824</v>
      </c>
      <c r="BC217" s="0" t="n">
        <f aca="false">AV217-AY217</f>
        <v>-1.00603727209283</v>
      </c>
      <c r="BD217" s="0" t="n">
        <f aca="false">BC217*180/Pi-180</f>
        <v>-237.641689789639</v>
      </c>
      <c r="BF217" s="0" t="n">
        <f aca="false">20*LOG(BA217*J217*F217*C217)</f>
        <v>38.3618600511014</v>
      </c>
      <c r="BG217" s="0" t="n">
        <f aca="false">(180/Pi)*(D217+H217+BC217)</f>
        <v>-216.732823238825</v>
      </c>
      <c r="BH217" s="0" t="n">
        <f aca="false">IF(BG217&gt;180,BG217-180,BG217+180)</f>
        <v>-36.7328232388252</v>
      </c>
      <c r="BI217" s="0" t="n">
        <f aca="false">IF(BH217&gt;180,BH217-360,BH217)</f>
        <v>-36.7328232388252</v>
      </c>
      <c r="BJ217" s="0" t="n">
        <f aca="false">SUM((BF218&lt;0)*(BF217&gt;0))*A217</f>
        <v>0</v>
      </c>
      <c r="BK217" s="0" t="n">
        <f aca="false">IF(BJ217&gt;0,BI217,0)</f>
        <v>0</v>
      </c>
      <c r="BM217" s="0" t="n">
        <f aca="false">20*LOG(J217*F217*C217)</f>
        <v>7.64306349961902</v>
      </c>
      <c r="BN217" s="0" t="n">
        <f aca="false">(H217+D217)*180/Pi</f>
        <v>-159.091133449186</v>
      </c>
      <c r="BQ217" s="347" t="n">
        <f aca="false">20*LOG(BA217*7)</f>
        <v>47.6207573517675</v>
      </c>
      <c r="BR217" s="353"/>
      <c r="BS217" s="353"/>
      <c r="BT217" s="353" t="n">
        <v>11748.976</v>
      </c>
      <c r="BU217" s="353" t="n">
        <v>-3.03963</v>
      </c>
      <c r="BV217" s="353" t="n">
        <v>-206.257</v>
      </c>
      <c r="BW217" s="349"/>
      <c r="BY217" s="353"/>
      <c r="BZ217" s="353"/>
      <c r="CA217" s="353"/>
      <c r="CC217" s="353"/>
    </row>
    <row r="218" customFormat="false" ht="12.75" hidden="false" customHeight="false" outlineLevel="0" collapsed="false">
      <c r="A218" s="0" t="n">
        <f aca="false">A217+500</f>
        <v>92000</v>
      </c>
      <c r="B218" s="0" t="n">
        <f aca="false">A218/1000</f>
        <v>92</v>
      </c>
      <c r="C218" s="0" t="n">
        <f aca="false">SQRT((A218/Fesr)^2+1)</f>
        <v>1.00000016707265</v>
      </c>
      <c r="D218" s="0" t="n">
        <f aca="false">ATAN(A218/Fesr)</f>
        <v>0.000578052983215438</v>
      </c>
      <c r="F218" s="0" t="n">
        <f aca="false">(Ro/(Ro+Rdcr))/SQRT((A218/(Q*Fo))^2+(1-(A218^2/Fo^2))^2)</f>
        <v>0.264416593591587</v>
      </c>
      <c r="G218" s="0" t="n">
        <f aca="false">-ATAN(A218*Fo/(Q*(Fo^2-A218^2)))</f>
        <v>0.361507322048252</v>
      </c>
      <c r="H218" s="0" t="n">
        <f aca="false">IF(G218&gt;0,G218-Pi,G218)</f>
        <v>-2.78008532795175</v>
      </c>
      <c r="J218" s="0" t="n">
        <f aca="false">Vin/Vramp</f>
        <v>9</v>
      </c>
      <c r="M218" s="0" t="n">
        <f aca="false">1/(2*Pi*_Rfb1*(Cc1ea_u+Cc2ea_u)*A218)</f>
        <v>0.0640720383549744</v>
      </c>
      <c r="N218" s="0" t="n">
        <f aca="false">-Pi/2</f>
        <v>-1.570796325</v>
      </c>
      <c r="O218" s="0" t="n">
        <f aca="false">SQRT(1+(A218/Fz1_u)^2)</f>
        <v>2.45990294939645</v>
      </c>
      <c r="P218" s="0" t="n">
        <f aca="false">ATAN2(Fz1_u,A218)</f>
        <v>1.15215432659463</v>
      </c>
      <c r="Q218" s="0" t="n">
        <f aca="false">SQRT(1+(A218/Fz2_u)^2)</f>
        <v>2550.25000703652</v>
      </c>
      <c r="R218" s="0" t="n">
        <f aca="false">ATAN2(Fz2_u,A218)</f>
        <v>1.57040420836617</v>
      </c>
      <c r="S218" s="0" t="n">
        <f aca="false">1/SQRT(1+(A218/Fp1_u)^2)</f>
        <v>0.145151289363156</v>
      </c>
      <c r="T218" s="0" t="n">
        <f aca="false">-ATAN2(Fp1_u,A218)</f>
        <v>-1.42513044725738</v>
      </c>
      <c r="U218" s="0" t="n">
        <f aca="false">1/SQRT(1+(A218/Fp2_u)^2)</f>
        <v>0.970206633019548</v>
      </c>
      <c r="V218" s="0" t="n">
        <f aca="false">-ATAN2(Fp2_u,A218)</f>
        <v>-0.244714096518333</v>
      </c>
      <c r="X218" s="0" t="n">
        <f aca="false">20*LOG(C218*J218*O218*Q218*F218*M218*S218*U218)</f>
        <v>42.5877139345847</v>
      </c>
      <c r="Y218" s="0" t="n">
        <f aca="false">(180/Pi)*(D218+H218+N218+P218+R218+T218+V218)</f>
        <v>-188.937967365381</v>
      </c>
      <c r="Z218" s="0" t="n">
        <f aca="false">Y218+180</f>
        <v>-8.93796736538096</v>
      </c>
      <c r="AC218" s="0" t="n">
        <v>1</v>
      </c>
      <c r="AD218" s="0" t="n">
        <f aca="false">Rcea1_u*Cc1ea_u*A218*2*Pi</f>
        <v>2.2474702490688</v>
      </c>
      <c r="AE218" s="0" t="n">
        <f aca="false">-Rcea1_u*Cc1ea_u*Cc2ea_u*(A218*2*Pi)^2</f>
        <v>-0.000194873554029683</v>
      </c>
      <c r="AF218" s="0" t="n">
        <f aca="false">(Cc2ea_u+Cc1ea_u)*A218*2*Pi</f>
        <v>0.00078037161426</v>
      </c>
      <c r="AG218" s="0" t="n">
        <f aca="false">AC218*AE218/(AE218^2+AF218^2)+AD218*AF218/(AE218^2+AF218^2)</f>
        <v>2409.73033153312</v>
      </c>
      <c r="AH218" s="0" t="n">
        <f aca="false">AD218*AE218/(AE218^2+AF218^2)-AC218*AF218/(AE218^2+AF218^2)</f>
        <v>-1883.19601469942</v>
      </c>
      <c r="AJ218" s="0" t="n">
        <f aca="false">_Rfb1</f>
        <v>20000</v>
      </c>
      <c r="AK218" s="0" t="n">
        <f aca="false">_Rfb1*Rcea2_u*Cc3ea_u*A218*2*Pi</f>
        <v>136328.030745984</v>
      </c>
      <c r="AL218" s="0" t="n">
        <v>1</v>
      </c>
      <c r="AM218" s="0" t="n">
        <f aca="false">(_Rfb1+Rcea2_u)*Cc3ea_u*A218*2*Pi</f>
        <v>2550.2498109773</v>
      </c>
      <c r="AN218" s="0" t="n">
        <f aca="false">AJ218*AL218/(AL218^2+AM218^2)+AK218*AM218/(AL218^2+AM218^2)</f>
        <v>53.4598028654061</v>
      </c>
      <c r="AO218" s="0" t="n">
        <f aca="false">AK218*AL218/(AL218^2+AM218^2)-AJ218*AM218/(AL218^2+AM218^2)</f>
        <v>-7.82140640155199</v>
      </c>
      <c r="AQ218" s="0" t="n">
        <f aca="false">Eadcg/(1+(Eadcg*A218/GBP)^2)</f>
        <v>1.34456025212105</v>
      </c>
      <c r="AR218" s="0" t="n">
        <f aca="false">-(A218*Eadcg*Eadcg/GBP)/(1+(Eadcg*A218/GBP)^2)</f>
        <v>-65.1896592638371</v>
      </c>
      <c r="AT218" s="0" t="n">
        <f aca="false">-AR218*AH218+AG218*AQ218</f>
        <v>-119524.878903161</v>
      </c>
      <c r="AU218" s="0" t="n">
        <f aca="false">AQ218*AH218+AG218*AR218</f>
        <v>-159621.569738695</v>
      </c>
      <c r="AV218" s="0" t="n">
        <f aca="false">ATAN2(AT218,AU218)</f>
        <v>-2.21352998653748</v>
      </c>
      <c r="AW218" s="0" t="n">
        <f aca="false">AG218-AH218*AO218/_Rfb2+AG218*AN218/_Rfb2+AN218-AO218*AR218+AQ218*AN218</f>
        <v>2076.53775233943</v>
      </c>
      <c r="AX218" s="0" t="n">
        <f aca="false">AH218+AH218*AN218/_Rfb2+AG218*AO218/_Rfb2+AO218+AO218*AQ218+AN218*AR218</f>
        <v>-5440.34535194663</v>
      </c>
      <c r="AY218" s="0" t="n">
        <f aca="false">ATAN2(AW218,AX218)</f>
        <v>-1.20617141078937</v>
      </c>
      <c r="BA218" s="0" t="n">
        <f aca="false">SQRT(AT218^2+AU218^2)/SQRT(AW218^2+AX218^2)</f>
        <v>34.2445905049897</v>
      </c>
      <c r="BB218" s="0" t="n">
        <f aca="false">20*LOG(BA218)</f>
        <v>30.6918395461283</v>
      </c>
      <c r="BC218" s="0" t="n">
        <f aca="false">AV218-AY218</f>
        <v>-1.00735857574811</v>
      </c>
      <c r="BD218" s="0" t="n">
        <f aca="false">BC218*180/Pi-180</f>
        <v>-237.717394912628</v>
      </c>
      <c r="BF218" s="0" t="n">
        <f aca="false">20*LOG(BA218*J218*F218*C218)</f>
        <v>38.2224653066831</v>
      </c>
      <c r="BG218" s="0" t="n">
        <f aca="false">(180/Pi)*(D218+H218+BC218)</f>
        <v>-216.971431076208</v>
      </c>
      <c r="BH218" s="0" t="n">
        <f aca="false">IF(BG218&gt;180,BG218-180,BG218+180)</f>
        <v>-36.9714310762079</v>
      </c>
      <c r="BI218" s="0" t="n">
        <f aca="false">IF(BH218&gt;180,BH218-360,BH218)</f>
        <v>-36.9714310762079</v>
      </c>
      <c r="BJ218" s="0" t="n">
        <f aca="false">SUM((BF219&lt;0)*(BF218&gt;0))*A218</f>
        <v>0</v>
      </c>
      <c r="BK218" s="0" t="n">
        <f aca="false">IF(BJ218&gt;0,BI218,0)</f>
        <v>0</v>
      </c>
      <c r="BM218" s="0" t="n">
        <f aca="false">20*LOG(J218*F218*C218)</f>
        <v>7.53062576055471</v>
      </c>
      <c r="BN218" s="0" t="n">
        <f aca="false">(H218+D218)*180/Pi</f>
        <v>-159.25403616358</v>
      </c>
      <c r="BQ218" s="347" t="n">
        <f aca="false">20*LOG(BA218*7)</f>
        <v>47.5938003464135</v>
      </c>
      <c r="BR218" s="353"/>
      <c r="BS218" s="353"/>
      <c r="BT218" s="353" t="n">
        <v>12022.644</v>
      </c>
      <c r="BU218" s="353" t="n">
        <v>-3.20975</v>
      </c>
      <c r="BV218" s="353" t="n">
        <v>-205.796</v>
      </c>
      <c r="BW218" s="349"/>
      <c r="BY218" s="353"/>
      <c r="BZ218" s="353"/>
      <c r="CA218" s="353"/>
      <c r="CC218" s="353"/>
    </row>
    <row r="219" customFormat="false" ht="12.75" hidden="false" customHeight="false" outlineLevel="0" collapsed="false">
      <c r="A219" s="0" t="n">
        <f aca="false">A218+500</f>
        <v>92500</v>
      </c>
      <c r="B219" s="0" t="n">
        <f aca="false">A219/1000</f>
        <v>92.5</v>
      </c>
      <c r="C219" s="0" t="n">
        <f aca="false">SQRT((A219/Fesr)^2+1)</f>
        <v>1.00000016889359</v>
      </c>
      <c r="D219" s="0" t="n">
        <f aca="false">ATAN(A219/Fesr)</f>
        <v>0.000581194574809975</v>
      </c>
      <c r="F219" s="0" t="n">
        <f aca="false">(Ro/(Ro+Rdcr))/SQRT((A219/(Q*Fo))^2+(1-(A219^2/Fo^2))^2)</f>
        <v>0.261039828724514</v>
      </c>
      <c r="G219" s="0" t="n">
        <f aca="false">-ATAN(A219*Fo/(Q*(Fo^2-A219^2)))</f>
        <v>0.35870869239139</v>
      </c>
      <c r="H219" s="0" t="n">
        <f aca="false">IF(G219&gt;0,G219-Pi,G219)</f>
        <v>-2.78288395760861</v>
      </c>
      <c r="J219" s="0" t="n">
        <f aca="false">Vin/Vramp</f>
        <v>9</v>
      </c>
      <c r="M219" s="0" t="n">
        <f aca="false">1/(2*Pi*_Rfb1*(Cc1ea_u+Cc2ea_u)*A219)</f>
        <v>0.0637257030125151</v>
      </c>
      <c r="N219" s="0" t="n">
        <f aca="false">-Pi/2</f>
        <v>-1.570796325</v>
      </c>
      <c r="O219" s="0" t="n">
        <f aca="false">SQRT(1+(A219/Fz1_u)^2)</f>
        <v>2.47106762764909</v>
      </c>
      <c r="P219" s="0" t="n">
        <f aca="false">ATAN2(Fz1_u,A219)</f>
        <v>1.15416376091821</v>
      </c>
      <c r="Q219" s="0" t="n">
        <f aca="false">SQRT(1+(A219/Fz2_u)^2)</f>
        <v>2564.11005929727</v>
      </c>
      <c r="R219" s="0" t="n">
        <f aca="false">ATAN2(Fz2_u,A219)</f>
        <v>1.57040632792503</v>
      </c>
      <c r="S219" s="0" t="n">
        <f aca="false">1/SQRT(1+(A219/Fp1_u)^2)</f>
        <v>0.144383087491324</v>
      </c>
      <c r="T219" s="0" t="n">
        <f aca="false">-ATAN2(Fp1_u,A219)</f>
        <v>-1.42590682773948</v>
      </c>
      <c r="U219" s="0" t="n">
        <f aca="false">1/SQRT(1+(A219/Fp2_u)^2)</f>
        <v>0.96989642858475</v>
      </c>
      <c r="V219" s="0" t="n">
        <f aca="false">-ATAN2(Fp2_u,A219)</f>
        <v>-0.24599119190673</v>
      </c>
      <c r="X219" s="0" t="n">
        <f aca="false">20*LOG(C219*J219*O219*Q219*F219*M219*S219*U219)</f>
        <v>42.4665394451061</v>
      </c>
      <c r="Y219" s="0" t="n">
        <f aca="false">(180/Pi)*(D219+H219+N219+P219+R219+T219+V219)</f>
        <v>-189.10053898637</v>
      </c>
      <c r="Z219" s="0" t="n">
        <f aca="false">Y219+180</f>
        <v>-9.10053898636988</v>
      </c>
      <c r="AC219" s="0" t="n">
        <v>1</v>
      </c>
      <c r="AD219" s="0" t="n">
        <f aca="false">Rcea1_u*Cc1ea_u*A219*2*Pi</f>
        <v>2.259684761292</v>
      </c>
      <c r="AE219" s="0" t="n">
        <f aca="false">-Rcea1_u*Cc1ea_u*Cc2ea_u*(A219*2*Pi)^2</f>
        <v>-0.000196997500787627</v>
      </c>
      <c r="AF219" s="0" t="n">
        <f aca="false">(Cc2ea_u+Cc1ea_u)*A219*2*Pi</f>
        <v>0.0007846127643375</v>
      </c>
      <c r="AG219" s="0" t="n">
        <f aca="false">AC219*AE219/(AE219^2+AF219^2)+AD219*AF219/(AE219^2+AF219^2)</f>
        <v>2408.18965038452</v>
      </c>
      <c r="AH219" s="0" t="n">
        <f aca="false">AD219*AE219/(AE219^2+AF219^2)-AC219*AF219/(AE219^2+AF219^2)</f>
        <v>-1879.15288861419</v>
      </c>
      <c r="AJ219" s="0" t="n">
        <f aca="false">_Rfb1</f>
        <v>20000</v>
      </c>
      <c r="AK219" s="0" t="n">
        <f aca="false">_Rfb1*Rcea2_u*Cc3ea_u*A219*2*Pi</f>
        <v>137068.94395656</v>
      </c>
      <c r="AL219" s="0" t="n">
        <v>1</v>
      </c>
      <c r="AM219" s="0" t="n">
        <f aca="false">(_Rfb1+Rcea2_u)*Cc3ea_u*A219*2*Pi</f>
        <v>2564.10986429783</v>
      </c>
      <c r="AN219" s="0" t="n">
        <f aca="false">AJ219*AL219/(AL219^2+AM219^2)+AK219*AM219/(AL219^2+AM219^2)</f>
        <v>53.4597697991541</v>
      </c>
      <c r="AO219" s="0" t="n">
        <f aca="false">AK219*AL219/(AL219^2+AM219^2)-AJ219*AM219/(AL219^2+AM219^2)</f>
        <v>-7.77912854200697</v>
      </c>
      <c r="AQ219" s="0" t="n">
        <f aca="false">Eadcg/(1+(Eadcg*A219/GBP)^2)</f>
        <v>1.33006984935742</v>
      </c>
      <c r="AR219" s="0" t="n">
        <f aca="false">-(A219*Eadcg*Eadcg/GBP)/(1+(Eadcg*A219/GBP)^2)</f>
        <v>-64.8375799815507</v>
      </c>
      <c r="AT219" s="0" t="n">
        <f aca="false">-AR219*AH219+AG219*AQ219</f>
        <v>-118636.665267574</v>
      </c>
      <c r="AU219" s="0" t="n">
        <f aca="false">AQ219*AH219+AG219*AR219</f>
        <v>-158640.593667027</v>
      </c>
      <c r="AV219" s="0" t="n">
        <f aca="false">ATAN2(AT219,AU219)</f>
        <v>-2.21290908888789</v>
      </c>
      <c r="AW219" s="0" t="n">
        <f aca="false">AG219-AH219*AO219/_Rfb2+AG219*AN219/_Rfb2+AN219-AO219*AR219+AQ219*AN219</f>
        <v>2079.73017073022</v>
      </c>
      <c r="AX219" s="0" t="n">
        <f aca="false">AH219+AH219*AN219/_Rfb2+AG219*AO219/_Rfb2+AO219+AO219*AQ219+AN219*AR219</f>
        <v>-5417.11761559111</v>
      </c>
      <c r="AY219" s="0" t="n">
        <f aca="false">ATAN2(AW219,AX219)</f>
        <v>-1.20422995568028</v>
      </c>
      <c r="BA219" s="0" t="n">
        <f aca="false">SQRT(AT219^2+AU219^2)/SQRT(AW219^2+AX219^2)</f>
        <v>34.1388099716635</v>
      </c>
      <c r="BB219" s="0" t="n">
        <f aca="false">20*LOG(BA219)</f>
        <v>30.6649675636073</v>
      </c>
      <c r="BC219" s="0" t="n">
        <f aca="false">AV219-AY219</f>
        <v>-1.00867913320761</v>
      </c>
      <c r="BD219" s="0" t="n">
        <f aca="false">BC219*180/Pi-180</f>
        <v>-237.793057281749</v>
      </c>
      <c r="BF219" s="0" t="n">
        <f aca="false">20*LOG(BA219*J219*F219*C219)</f>
        <v>38.0839547359295</v>
      </c>
      <c r="BG219" s="0" t="n">
        <f aca="false">(180/Pi)*(D219+H219+BC219)</f>
        <v>-217.20726311333</v>
      </c>
      <c r="BH219" s="0" t="n">
        <f aca="false">IF(BG219&gt;180,BG219-180,BG219+180)</f>
        <v>-37.2072631133302</v>
      </c>
      <c r="BI219" s="0" t="n">
        <f aca="false">IF(BH219&gt;180,BH219-360,BH219)</f>
        <v>-37.2072631133302</v>
      </c>
      <c r="BJ219" s="0" t="n">
        <f aca="false">SUM((BF220&lt;0)*(BF219&gt;0))*A219</f>
        <v>0</v>
      </c>
      <c r="BK219" s="0" t="n">
        <f aca="false">IF(BJ219&gt;0,BI219,0)</f>
        <v>0</v>
      </c>
      <c r="BM219" s="0" t="n">
        <f aca="false">20*LOG(J219*F219*C219)</f>
        <v>7.41898717232213</v>
      </c>
      <c r="BN219" s="0" t="n">
        <f aca="false">(H219+D219)*180/Pi</f>
        <v>-159.414205831582</v>
      </c>
      <c r="BQ219" s="347" t="n">
        <f aca="false">20*LOG(BA219*7)</f>
        <v>47.5669283638925</v>
      </c>
      <c r="BR219" s="353"/>
      <c r="BS219" s="353"/>
      <c r="BT219" s="353" t="n">
        <v>12302.688</v>
      </c>
      <c r="BU219" s="353" t="n">
        <v>-3.236</v>
      </c>
      <c r="BV219" s="353" t="n">
        <v>-205.58</v>
      </c>
      <c r="BW219" s="349"/>
      <c r="BY219" s="353"/>
      <c r="BZ219" s="353"/>
      <c r="CA219" s="353"/>
      <c r="CC219" s="353"/>
    </row>
    <row r="220" customFormat="false" ht="12.75" hidden="false" customHeight="false" outlineLevel="0" collapsed="false">
      <c r="A220" s="0" t="n">
        <f aca="false">A219+500</f>
        <v>93000</v>
      </c>
      <c r="B220" s="0" t="n">
        <f aca="false">A220/1000</f>
        <v>93</v>
      </c>
      <c r="C220" s="0" t="n">
        <f aca="false">SQRT((A220/Fesr)^2+1)</f>
        <v>1.0000001707244</v>
      </c>
      <c r="D220" s="0" t="n">
        <f aca="false">ATAN(A220/Fesr)</f>
        <v>0.000584336166393039</v>
      </c>
      <c r="F220" s="0" t="n">
        <f aca="false">(Ro/(Ro+Rdcr))/SQRT((A220/(Q*Fo))^2+(1-(A220^2/Fo^2))^2)</f>
        <v>0.257729562230876</v>
      </c>
      <c r="G220" s="0" t="n">
        <f aca="false">-ATAN(A220*Fo/(Q*(Fo^2-A220^2)))</f>
        <v>0.355956545804482</v>
      </c>
      <c r="H220" s="0" t="n">
        <f aca="false">IF(G220&gt;0,G220-Pi,G220)</f>
        <v>-2.78563610419552</v>
      </c>
      <c r="J220" s="0" t="n">
        <f aca="false">Vin/Vramp</f>
        <v>9</v>
      </c>
      <c r="M220" s="0" t="n">
        <f aca="false">1/(2*Pi*_Rfb1*(Cc1ea_u+Cc2ea_u)*A220)</f>
        <v>0.0633830917059962</v>
      </c>
      <c r="N220" s="0" t="n">
        <f aca="false">-Pi/2</f>
        <v>-1.570796325</v>
      </c>
      <c r="O220" s="0" t="n">
        <f aca="false">SQRT(1+(A220/Fz1_u)^2)</f>
        <v>2.48224219386403</v>
      </c>
      <c r="P220" s="0" t="n">
        <f aca="false">ATAN2(Fz1_u,A220)</f>
        <v>1.156155111066</v>
      </c>
      <c r="Q220" s="0" t="n">
        <f aca="false">SQRT(1+(A220/Fz2_u)^2)</f>
        <v>2577.97011156941</v>
      </c>
      <c r="R220" s="0" t="n">
        <f aca="false">ATAN2(Fz2_u,A220)</f>
        <v>1.57040842469293</v>
      </c>
      <c r="S220" s="0" t="n">
        <f aca="false">1/SQRT(1+(A220/Fp1_u)^2)</f>
        <v>0.14362288890013</v>
      </c>
      <c r="T220" s="0" t="n">
        <f aca="false">-ATAN2(Fp1_u,A220)</f>
        <v>-1.42667503316141</v>
      </c>
      <c r="U220" s="0" t="n">
        <f aca="false">1/SQRT(1+(A220/Fp2_u)^2)</f>
        <v>0.969584842601233</v>
      </c>
      <c r="V220" s="0" t="n">
        <f aca="false">-ATAN2(Fp2_u,A220)</f>
        <v>-0.247267468824009</v>
      </c>
      <c r="X220" s="0" t="n">
        <f aca="false">20*LOG(C220*J220*O220*Q220*F220*M220*S220*U220)</f>
        <v>42.3462349263064</v>
      </c>
      <c r="Y220" s="0" t="n">
        <f aca="false">(180/Pi)*(D220+H220+N220+P220+R220+T220+V220)</f>
        <v>-189.260969485019</v>
      </c>
      <c r="Z220" s="0" t="n">
        <f aca="false">Y220+180</f>
        <v>-9.26096948501905</v>
      </c>
      <c r="AC220" s="0" t="n">
        <v>1</v>
      </c>
      <c r="AD220" s="0" t="n">
        <f aca="false">Rcea1_u*Cc1ea_u*A220*2*Pi</f>
        <v>2.2718992735152</v>
      </c>
      <c r="AE220" s="0" t="n">
        <f aca="false">-Rcea1_u*Cc1ea_u*Cc2ea_u*(A220*2*Pi)^2</f>
        <v>-0.000199132959452118</v>
      </c>
      <c r="AF220" s="0" t="n">
        <f aca="false">(Cc2ea_u+Cc1ea_u)*A220*2*Pi</f>
        <v>0.000788853914415</v>
      </c>
      <c r="AG220" s="0" t="n">
        <f aca="false">AC220*AE220/(AE220^2+AF220^2)+AD220*AF220/(AE220^2+AF220^2)</f>
        <v>2406.64260352527</v>
      </c>
      <c r="AH220" s="0" t="n">
        <f aca="false">AD220*AE220/(AE220^2+AF220^2)-AC220*AF220/(AE220^2+AF220^2)</f>
        <v>-1875.17845440434</v>
      </c>
      <c r="AJ220" s="0" t="n">
        <f aca="false">_Rfb1</f>
        <v>20000</v>
      </c>
      <c r="AK220" s="0" t="n">
        <f aca="false">_Rfb1*Rcea2_u*Cc3ea_u*A220*2*Pi</f>
        <v>137809.857167136</v>
      </c>
      <c r="AL220" s="0" t="n">
        <v>1</v>
      </c>
      <c r="AM220" s="0" t="n">
        <f aca="false">(_Rfb1+Rcea2_u)*Cc3ea_u*A220*2*Pi</f>
        <v>2577.96991761836</v>
      </c>
      <c r="AN220" s="0" t="n">
        <f aca="false">AJ220*AL220/(AL220^2+AM220^2)+AK220*AM220/(AL220^2+AM220^2)</f>
        <v>53.4597372647936</v>
      </c>
      <c r="AO220" s="0" t="n">
        <f aca="false">AK220*AL220/(AL220^2+AM220^2)-AJ220*AM220/(AL220^2+AM220^2)</f>
        <v>-7.7373052828959</v>
      </c>
      <c r="AQ220" s="0" t="n">
        <f aca="false">Eadcg/(1+(Eadcg*A220/GBP)^2)</f>
        <v>1.31581240425267</v>
      </c>
      <c r="AR220" s="0" t="n">
        <f aca="false">-(A220*Eadcg*Eadcg/GBP)/(1+(Eadcg*A220/GBP)^2)</f>
        <v>-64.4892817448276</v>
      </c>
      <c r="AT220" s="0" t="n">
        <f aca="false">-AR220*AH220+AG220*AQ220</f>
        <v>-117762.221477591</v>
      </c>
      <c r="AU220" s="0" t="n">
        <f aca="false">AQ220*AH220+AG220*AR220</f>
        <v>-157670.035988339</v>
      </c>
      <c r="AV220" s="0" t="n">
        <f aca="false">ATAN2(AT220,AU220)</f>
        <v>-2.21230425915094</v>
      </c>
      <c r="AW220" s="0" t="n">
        <f aca="false">AG220-AH220*AO220/_Rfb2+AG220*AN220/_Rfb2+AN220-AO220*AR220+AQ220*AN220</f>
        <v>2082.83940977764</v>
      </c>
      <c r="AX220" s="0" t="n">
        <f aca="false">AH220+AH220*AN220/_Rfb2+AG220*AO220/_Rfb2+AO220+AO220*AQ220+AN220*AR220</f>
        <v>-5394.16702464001</v>
      </c>
      <c r="AY220" s="0" t="n">
        <f aca="false">ATAN2(AW220,AX220)</f>
        <v>-1.2023053922616</v>
      </c>
      <c r="BA220" s="0" t="n">
        <f aca="false">SQRT(AT220^2+AU220^2)/SQRT(AW220^2+AX220^2)</f>
        <v>34.0336844973588</v>
      </c>
      <c r="BB220" s="0" t="n">
        <f aca="false">20*LOG(BA220)</f>
        <v>30.6381793699571</v>
      </c>
      <c r="BC220" s="0" t="n">
        <f aca="false">AV220-AY220</f>
        <v>-1.00999886688933</v>
      </c>
      <c r="BD220" s="0" t="n">
        <f aca="false">BC220*180/Pi-180</f>
        <v>-237.868672451879</v>
      </c>
      <c r="BF220" s="0" t="n">
        <f aca="false">20*LOG(BA220*J220*F220*C220)</f>
        <v>37.9463157632484</v>
      </c>
      <c r="BG220" s="0" t="n">
        <f aca="false">(180/Pi)*(D220+H220+BC220)</f>
        <v>-217.440384667733</v>
      </c>
      <c r="BH220" s="0" t="n">
        <f aca="false">IF(BG220&gt;180,BG220-180,BG220+180)</f>
        <v>-37.440384667733</v>
      </c>
      <c r="BI220" s="0" t="n">
        <f aca="false">IF(BH220&gt;180,BH220-360,BH220)</f>
        <v>-37.440384667733</v>
      </c>
      <c r="BJ220" s="0" t="n">
        <f aca="false">SUM((BF221&lt;0)*(BF220&gt;0))*A220</f>
        <v>0</v>
      </c>
      <c r="BK220" s="0" t="n">
        <f aca="false">IF(BJ220&gt;0,BI220,0)</f>
        <v>0</v>
      </c>
      <c r="BM220" s="0" t="n">
        <f aca="false">20*LOG(J220*F220*C220)</f>
        <v>7.30813639329131</v>
      </c>
      <c r="BN220" s="0" t="n">
        <f aca="false">(H220+D220)*180/Pi</f>
        <v>-159.571712215854</v>
      </c>
      <c r="BQ220" s="347" t="n">
        <f aca="false">20*LOG(BA220*7)</f>
        <v>47.5401401702423</v>
      </c>
      <c r="BR220" s="353"/>
      <c r="BS220" s="353"/>
      <c r="BT220" s="353" t="n">
        <v>12589.254</v>
      </c>
      <c r="BU220" s="353" t="n">
        <v>-3.64651</v>
      </c>
      <c r="BV220" s="353" t="n">
        <v>-203.78</v>
      </c>
      <c r="BW220" s="349"/>
      <c r="BY220" s="353"/>
      <c r="BZ220" s="353"/>
      <c r="CA220" s="353"/>
      <c r="CC220" s="353"/>
    </row>
    <row r="221" customFormat="false" ht="12.75" hidden="false" customHeight="false" outlineLevel="0" collapsed="false">
      <c r="A221" s="0" t="n">
        <f aca="false">A220+500</f>
        <v>93500</v>
      </c>
      <c r="B221" s="0" t="n">
        <f aca="false">A221/1000</f>
        <v>93.5</v>
      </c>
      <c r="C221" s="0" t="n">
        <f aca="false">SQRT((A221/Fesr)^2+1)</f>
        <v>1.00000017256508</v>
      </c>
      <c r="D221" s="0" t="n">
        <f aca="false">ATAN(A221/Fesr)</f>
        <v>0.000587477757964568</v>
      </c>
      <c r="F221" s="0" t="n">
        <f aca="false">(Ro/(Ro+Rdcr))/SQRT((A221/(Q*Fo))^2+(1-(A221^2/Fo^2))^2)</f>
        <v>0.254484028280726</v>
      </c>
      <c r="G221" s="0" t="n">
        <f aca="false">-ATAN(A221*Fo/(Q*(Fo^2-A221^2)))</f>
        <v>0.353249705611689</v>
      </c>
      <c r="H221" s="0" t="n">
        <f aca="false">IF(G221&gt;0,G221-Pi,G221)</f>
        <v>-2.78834294438831</v>
      </c>
      <c r="J221" s="0" t="n">
        <f aca="false">Vin/Vramp</f>
        <v>9</v>
      </c>
      <c r="M221" s="0" t="n">
        <f aca="false">1/(2*Pi*_Rfb1*(Cc1ea_u+Cc2ea_u)*A221)</f>
        <v>0.0630441446915256</v>
      </c>
      <c r="N221" s="0" t="n">
        <f aca="false">-Pi/2</f>
        <v>-1.570796325</v>
      </c>
      <c r="O221" s="0" t="n">
        <f aca="false">SQRT(1+(A221/Fz1_u)^2)</f>
        <v>2.49342651509929</v>
      </c>
      <c r="P221" s="0" t="n">
        <f aca="false">ATAN2(Fz1_u,A221)</f>
        <v>1.15812860448866</v>
      </c>
      <c r="Q221" s="0" t="n">
        <f aca="false">SQRT(1+(A221/Fz2_u)^2)</f>
        <v>2591.83016385277</v>
      </c>
      <c r="R221" s="0" t="n">
        <f aca="false">ATAN2(Fz2_u,A221)</f>
        <v>1.57041049903552</v>
      </c>
      <c r="S221" s="0" t="n">
        <f aca="false">1/SQRT(1+(A221/Fp1_u)^2)</f>
        <v>0.142870570507154</v>
      </c>
      <c r="T221" s="0" t="n">
        <f aca="false">-ATAN2(Fp1_u,A221)</f>
        <v>-1.42743519107589</v>
      </c>
      <c r="U221" s="0" t="n">
        <f aca="false">1/SQRT(1+(A221/Fp2_u)^2)</f>
        <v>0.969271879443807</v>
      </c>
      <c r="V221" s="0" t="n">
        <f aca="false">-ATAN2(Fp2_u,A221)</f>
        <v>-0.248542923902934</v>
      </c>
      <c r="X221" s="0" t="n">
        <f aca="false">20*LOG(C221*J221*O221*Q221*F221*M221*S221*U221)</f>
        <v>42.2267875526671</v>
      </c>
      <c r="Y221" s="0" t="n">
        <f aca="false">(180/Pi)*(D221+H221+N221+P221+R221+T221+V221)</f>
        <v>-189.419320342279</v>
      </c>
      <c r="Z221" s="0" t="n">
        <f aca="false">Y221+180</f>
        <v>-9.41932034227858</v>
      </c>
      <c r="AC221" s="0" t="n">
        <v>1</v>
      </c>
      <c r="AD221" s="0" t="n">
        <f aca="false">Rcea1_u*Cc1ea_u*A221*2*Pi</f>
        <v>2.2841137857384</v>
      </c>
      <c r="AE221" s="0" t="n">
        <f aca="false">-Rcea1_u*Cc1ea_u*Cc2ea_u*(A221*2*Pi)^2</f>
        <v>-0.000201279930023156</v>
      </c>
      <c r="AF221" s="0" t="n">
        <f aca="false">(Cc2ea_u+Cc1ea_u)*A221*2*Pi</f>
        <v>0.0007930950644925</v>
      </c>
      <c r="AG221" s="0" t="n">
        <f aca="false">AC221*AE221/(AE221^2+AF221^2)+AD221*AF221/(AE221^2+AF221^2)</f>
        <v>2405.08921927816</v>
      </c>
      <c r="AH221" s="0" t="n">
        <f aca="false">AD221*AE221/(AE221^2+AF221^2)-AC221*AF221/(AE221^2+AF221^2)</f>
        <v>-1871.27149846207</v>
      </c>
      <c r="AJ221" s="0" t="n">
        <f aca="false">_Rfb1</f>
        <v>20000</v>
      </c>
      <c r="AK221" s="0" t="n">
        <f aca="false">_Rfb1*Rcea2_u*Cc3ea_u*A221*2*Pi</f>
        <v>138550.770377712</v>
      </c>
      <c r="AL221" s="0" t="n">
        <v>1</v>
      </c>
      <c r="AM221" s="0" t="n">
        <f aca="false">(_Rfb1+Rcea2_u)*Cc3ea_u*A221*2*Pi</f>
        <v>2591.82997093889</v>
      </c>
      <c r="AN221" s="0" t="n">
        <f aca="false">AJ221*AL221/(AL221^2+AM221^2)+AK221*AM221/(AL221^2+AM221^2)</f>
        <v>53.4597052509778</v>
      </c>
      <c r="AO221" s="0" t="n">
        <f aca="false">AK221*AL221/(AL221^2+AM221^2)-AJ221*AM221/(AL221^2+AM221^2)</f>
        <v>-7.69592933116806</v>
      </c>
      <c r="AQ221" s="0" t="n">
        <f aca="false">Eadcg/(1+(Eadcg*A221/GBP)^2)</f>
        <v>1.30178295053163</v>
      </c>
      <c r="AR221" s="0" t="n">
        <f aca="false">-(A221*Eadcg*Eadcg/GBP)/(1+(Eadcg*A221/GBP)^2)</f>
        <v>-64.1447039959709</v>
      </c>
      <c r="AT221" s="0" t="n">
        <f aca="false">-AR221*AH221+AG221*AQ221</f>
        <v>-116901.252224783</v>
      </c>
      <c r="AU221" s="0" t="n">
        <f aca="false">AQ221*AH221+AG221*AR221</f>
        <v>-156709.725387012</v>
      </c>
      <c r="AV221" s="0" t="n">
        <f aca="false">ATAN2(AT221,AU221)</f>
        <v>-2.21171528571399</v>
      </c>
      <c r="AW221" s="0" t="n">
        <f aca="false">AG221-AH221*AO221/_Rfb2+AG221*AN221/_Rfb2+AN221-AO221*AR221+AQ221*AN221</f>
        <v>2085.86713284261</v>
      </c>
      <c r="AX221" s="0" t="n">
        <f aca="false">AH221+AH221*AN221/_Rfb2+AG221*AO221/_Rfb2+AO221+AO221*AQ221+AN221*AR221</f>
        <v>-5371.48898515945</v>
      </c>
      <c r="AY221" s="0" t="n">
        <f aca="false">ATAN2(AW221,AX221)</f>
        <v>-1.20039758492106</v>
      </c>
      <c r="BA221" s="0" t="n">
        <f aca="false">SQRT(AT221^2+AU221^2)/SQRT(AW221^2+AX221^2)</f>
        <v>33.9292053523591</v>
      </c>
      <c r="BB221" s="0" t="n">
        <f aca="false">20*LOG(BA221)</f>
        <v>30.6114737651824</v>
      </c>
      <c r="BC221" s="0" t="n">
        <f aca="false">AV221-AY221</f>
        <v>-1.01131770079293</v>
      </c>
      <c r="BD221" s="0" t="n">
        <f aca="false">BC221*180/Pi-180</f>
        <v>-237.94423606852</v>
      </c>
      <c r="BF221" s="0" t="n">
        <f aca="false">20*LOG(BA221*J221*F221*C221)</f>
        <v>37.8095360666819</v>
      </c>
      <c r="BG221" s="0" t="n">
        <f aca="false">(180/Pi)*(D221+H221+BC221)</f>
        <v>-217.670858803476</v>
      </c>
      <c r="BH221" s="0" t="n">
        <f aca="false">IF(BG221&gt;180,BG221-180,BG221+180)</f>
        <v>-37.6708588034764</v>
      </c>
      <c r="BI221" s="0" t="n">
        <f aca="false">IF(BH221&gt;180,BH221-360,BH221)</f>
        <v>-37.6708588034764</v>
      </c>
      <c r="BJ221" s="0" t="n">
        <f aca="false">SUM((BF222&lt;0)*(BF221&gt;0))*A221</f>
        <v>0</v>
      </c>
      <c r="BK221" s="0" t="n">
        <f aca="false">IF(BJ221&gt;0,BI221,0)</f>
        <v>0</v>
      </c>
      <c r="BM221" s="0" t="n">
        <f aca="false">20*LOG(J221*F221*C221)</f>
        <v>7.19806230149947</v>
      </c>
      <c r="BN221" s="0" t="n">
        <f aca="false">(H221+D221)*180/Pi</f>
        <v>-159.726622734957</v>
      </c>
      <c r="BQ221" s="347" t="n">
        <f aca="false">20*LOG(BA221*7)</f>
        <v>47.5134345654676</v>
      </c>
      <c r="BR221" s="353"/>
      <c r="BS221" s="353"/>
      <c r="BT221" s="353" t="n">
        <v>12882.496</v>
      </c>
      <c r="BU221" s="353" t="n">
        <v>-3.62347</v>
      </c>
      <c r="BV221" s="353" t="n">
        <v>-201.719</v>
      </c>
      <c r="BW221" s="349"/>
      <c r="BY221" s="353"/>
      <c r="BZ221" s="353"/>
      <c r="CA221" s="353"/>
      <c r="CC221" s="353"/>
    </row>
    <row r="222" customFormat="false" ht="12.75" hidden="false" customHeight="false" outlineLevel="0" collapsed="false">
      <c r="A222" s="0" t="n">
        <f aca="false">A221+500</f>
        <v>94000</v>
      </c>
      <c r="B222" s="0" t="n">
        <f aca="false">A222/1000</f>
        <v>94</v>
      </c>
      <c r="C222" s="0" t="n">
        <f aca="false">SQRT((A222/Fesr)^2+1)</f>
        <v>1.00000017441563</v>
      </c>
      <c r="D222" s="0" t="n">
        <f aca="false">ATAN(A222/Fesr)</f>
        <v>0.000590619349524502</v>
      </c>
      <c r="F222" s="0" t="n">
        <f aca="false">(Ro/(Ro+Rdcr))/SQRT((A222/(Q*Fo))^2+(1-(A222^2/Fo^2))^2)</f>
        <v>0.251301519357456</v>
      </c>
      <c r="G222" s="0" t="n">
        <f aca="false">-ATAN(A222*Fo/(Q*(Fo^2-A222^2)))</f>
        <v>0.350587034376031</v>
      </c>
      <c r="H222" s="0" t="n">
        <f aca="false">IF(G222&gt;0,G222-Pi,G222)</f>
        <v>-2.79100561562397</v>
      </c>
      <c r="J222" s="0" t="n">
        <f aca="false">Vin/Vramp</f>
        <v>9</v>
      </c>
      <c r="M222" s="0" t="n">
        <f aca="false">1/(2*Pi*_Rfb1*(Cc1ea_u+Cc2ea_u)*A222)</f>
        <v>0.0627088034963579</v>
      </c>
      <c r="N222" s="0" t="n">
        <f aca="false">-Pi/2</f>
        <v>-1.570796325</v>
      </c>
      <c r="O222" s="0" t="n">
        <f aca="false">SQRT(1+(A222/Fz1_u)^2)</f>
        <v>2.50462046067248</v>
      </c>
      <c r="P222" s="0" t="n">
        <f aca="false">ATAN2(Fz1_u,A222)</f>
        <v>1.16008446513238</v>
      </c>
      <c r="Q222" s="0" t="n">
        <f aca="false">SQRT(1+(A222/Fz2_u)^2)</f>
        <v>2605.69021614716</v>
      </c>
      <c r="R222" s="0" t="n">
        <f aca="false">ATAN2(Fz2_u,A222)</f>
        <v>1.57041255131063</v>
      </c>
      <c r="S222" s="0" t="n">
        <f aca="false">1/SQRT(1+(A222/Fp1_u)^2)</f>
        <v>0.142126011712876</v>
      </c>
      <c r="T222" s="0" t="n">
        <f aca="false">-ATAN2(Fp1_u,A222)</f>
        <v>-1.42818742641434</v>
      </c>
      <c r="U222" s="0" t="n">
        <f aca="false">1/SQRT(1+(A222/Fp2_u)^2)</f>
        <v>0.968957543498869</v>
      </c>
      <c r="V222" s="0" t="n">
        <f aca="false">-ATAN2(Fp2_u,A222)</f>
        <v>-0.249817553791299</v>
      </c>
      <c r="X222" s="0" t="n">
        <f aca="false">20*LOG(C222*J222*O222*Q222*F222*M222*S222*U222)</f>
        <v>42.1081847517117</v>
      </c>
      <c r="Y222" s="0" t="n">
        <f aca="false">(180/Pi)*(D222+H222+N222+P222+R222+T222+V222)</f>
        <v>-189.575650842789</v>
      </c>
      <c r="Z222" s="0" t="n">
        <f aca="false">Y222+180</f>
        <v>-9.57565084278906</v>
      </c>
      <c r="AC222" s="0" t="n">
        <v>1</v>
      </c>
      <c r="AD222" s="0" t="n">
        <f aca="false">Rcea1_u*Cc1ea_u*A222*2*Pi</f>
        <v>2.2963282979616</v>
      </c>
      <c r="AE222" s="0" t="n">
        <f aca="false">-Rcea1_u*Cc1ea_u*Cc2ea_u*(A222*2*Pi)^2</f>
        <v>-0.000203438412500741</v>
      </c>
      <c r="AF222" s="0" t="n">
        <f aca="false">(Cc2ea_u+Cc1ea_u)*A222*2*Pi</f>
        <v>0.00079733621457</v>
      </c>
      <c r="AG222" s="0" t="n">
        <f aca="false">AC222*AE222/(AE222^2+AF222^2)+AD222*AF222/(AE222^2+AF222^2)</f>
        <v>2403.52952602461</v>
      </c>
      <c r="AH222" s="0" t="n">
        <f aca="false">AD222*AE222/(AE222^2+AF222^2)-AC222*AF222/(AE222^2+AF222^2)</f>
        <v>-1867.43083277122</v>
      </c>
      <c r="AJ222" s="0" t="n">
        <f aca="false">_Rfb1</f>
        <v>20000</v>
      </c>
      <c r="AK222" s="0" t="n">
        <f aca="false">_Rfb1*Rcea2_u*Cc3ea_u*A222*2*Pi</f>
        <v>139291.683588288</v>
      </c>
      <c r="AL222" s="0" t="n">
        <v>1</v>
      </c>
      <c r="AM222" s="0" t="n">
        <f aca="false">(_Rfb1+Rcea2_u)*Cc3ea_u*A222*2*Pi</f>
        <v>2605.69002425941</v>
      </c>
      <c r="AN222" s="0" t="n">
        <f aca="false">AJ222*AL222/(AL222^2+AM222^2)+AK222*AM222/(AL222^2+AM222^2)</f>
        <v>53.4596737466608</v>
      </c>
      <c r="AO222" s="0" t="n">
        <f aca="false">AK222*AL222/(AL222^2+AM222^2)-AJ222*AM222/(AL222^2+AM222^2)</f>
        <v>-7.65499354894392</v>
      </c>
      <c r="AQ222" s="0" t="n">
        <f aca="false">Eadcg/(1+(Eadcg*A222/GBP)^2)</f>
        <v>1.28797665354048</v>
      </c>
      <c r="AR222" s="0" t="n">
        <f aca="false">-(A222*Eadcg*Eadcg/GBP)/(1+(Eadcg*A222/GBP)^2)</f>
        <v>-63.8037874630881</v>
      </c>
      <c r="AT222" s="0" t="n">
        <f aca="false">-AR222*AH222+AG222*AQ222</f>
        <v>-116053.470040538</v>
      </c>
      <c r="AU222" s="0" t="n">
        <f aca="false">AQ222*AH222+AG222*AR222</f>
        <v>-155759.494354442</v>
      </c>
      <c r="AV222" s="0" t="n">
        <f aca="false">ATAN2(AT222,AU222)</f>
        <v>-2.21114196007561</v>
      </c>
      <c r="AW222" s="0" t="n">
        <f aca="false">AG222-AH222*AO222/_Rfb2+AG222*AN222/_Rfb2+AN222-AO222*AR222+AQ222*AN222</f>
        <v>2088.81496003043</v>
      </c>
      <c r="AX222" s="0" t="n">
        <f aca="false">AH222+AH222*AN222/_Rfb2+AG222*AO222/_Rfb2+AO222+AO222*AQ222+AN222*AR222</f>
        <v>-5349.07900160855</v>
      </c>
      <c r="AY222" s="0" t="n">
        <f aca="false">ATAN2(AW222,AX222)</f>
        <v>-1.19850639959022</v>
      </c>
      <c r="BA222" s="0" t="n">
        <f aca="false">SQRT(AT222^2+AU222^2)/SQRT(AW222^2+AX222^2)</f>
        <v>33.8253640238939</v>
      </c>
      <c r="BB222" s="0" t="n">
        <f aca="false">20*LOG(BA222)</f>
        <v>30.5848495822403</v>
      </c>
      <c r="BC222" s="0" t="n">
        <f aca="false">AV222-AY222</f>
        <v>-1.01263556048539</v>
      </c>
      <c r="BD222" s="0" t="n">
        <f aca="false">BC222*180/Pi-180</f>
        <v>-238.019743866975</v>
      </c>
      <c r="BF222" s="0" t="n">
        <f aca="false">20*LOG(BA222*J222*F222*C222)</f>
        <v>37.6736035724822</v>
      </c>
      <c r="BG222" s="0" t="n">
        <f aca="false">(180/Pi)*(D222+H222+BC222)</f>
        <v>-217.898746426202</v>
      </c>
      <c r="BH222" s="0" t="n">
        <f aca="false">IF(BG222&gt;180,BG222-180,BG222+180)</f>
        <v>-37.8987464262021</v>
      </c>
      <c r="BI222" s="0" t="n">
        <f aca="false">IF(BH222&gt;180,BH222-360,BH222)</f>
        <v>-37.8987464262021</v>
      </c>
      <c r="BJ222" s="0" t="n">
        <f aca="false">SUM((BF223&lt;0)*(BF222&gt;0))*A222</f>
        <v>0</v>
      </c>
      <c r="BK222" s="0" t="n">
        <f aca="false">IF(BJ222&gt;0,BI222,0)</f>
        <v>0</v>
      </c>
      <c r="BM222" s="0" t="n">
        <f aca="false">20*LOG(J222*F222*C222)</f>
        <v>7.08875399024183</v>
      </c>
      <c r="BN222" s="0" t="n">
        <f aca="false">(H222+D222)*180/Pi</f>
        <v>-159.879002559227</v>
      </c>
      <c r="BQ222" s="347" t="n">
        <f aca="false">20*LOG(BA222*7)</f>
        <v>47.4868103825255</v>
      </c>
      <c r="BR222" s="353"/>
      <c r="BS222" s="353"/>
      <c r="BT222" s="353" t="n">
        <v>13182.567</v>
      </c>
      <c r="BU222" s="353" t="n">
        <v>-4.11328</v>
      </c>
      <c r="BV222" s="353" t="n">
        <v>-198.276</v>
      </c>
      <c r="BW222" s="349"/>
      <c r="BY222" s="353"/>
      <c r="BZ222" s="353"/>
      <c r="CA222" s="353"/>
      <c r="CC222" s="353"/>
    </row>
    <row r="223" customFormat="false" ht="12.75" hidden="false" customHeight="false" outlineLevel="0" collapsed="false">
      <c r="A223" s="0" t="n">
        <f aca="false">A222+500</f>
        <v>94500</v>
      </c>
      <c r="B223" s="0" t="n">
        <f aca="false">A223/1000</f>
        <v>94.5</v>
      </c>
      <c r="C223" s="0" t="n">
        <f aca="false">SQRT((A223/Fesr)^2+1)</f>
        <v>1.00000017627605</v>
      </c>
      <c r="D223" s="0" t="n">
        <f aca="false">ATAN(A223/Fesr)</f>
        <v>0.000593760941072777</v>
      </c>
      <c r="F223" s="0" t="n">
        <f aca="false">(Ro/(Ro+Rdcr))/SQRT((A223/(Q*Fo))^2+(1-(A223^2/Fo^2))^2)</f>
        <v>0.2481803839974</v>
      </c>
      <c r="G223" s="0" t="n">
        <f aca="false">-ATAN(A223*Fo/(Q*(Fo^2-A223^2)))</f>
        <v>0.347967432305293</v>
      </c>
      <c r="H223" s="0" t="n">
        <f aca="false">IF(G223&gt;0,G223-Pi,G223)</f>
        <v>-2.79362521769471</v>
      </c>
      <c r="J223" s="0" t="n">
        <f aca="false">Vin/Vramp</f>
        <v>9</v>
      </c>
      <c r="M223" s="0" t="n">
        <f aca="false">1/(2*Pi*_Rfb1*(Cc1ea_u+Cc2ea_u)*A223)</f>
        <v>0.0623770108852661</v>
      </c>
      <c r="N223" s="0" t="n">
        <f aca="false">-Pi/2</f>
        <v>-1.570796325</v>
      </c>
      <c r="O223" s="0" t="n">
        <f aca="false">SQRT(1+(A223/Fz1_u)^2)</f>
        <v>2.51582390211555</v>
      </c>
      <c r="P223" s="0" t="n">
        <f aca="false">ATAN2(Fz1_u,A223)</f>
        <v>1.16202291349901</v>
      </c>
      <c r="Q223" s="0" t="n">
        <f aca="false">SQRT(1+(A223/Fz2_u)^2)</f>
        <v>2619.55026845241</v>
      </c>
      <c r="R223" s="0" t="n">
        <f aca="false">ATAN2(Fz2_u,A223)</f>
        <v>1.57041458186855</v>
      </c>
      <c r="S223" s="0" t="n">
        <f aca="false">1/SQRT(1+(A223/Fp1_u)^2)</f>
        <v>0.141389094339122</v>
      </c>
      <c r="T223" s="0" t="n">
        <f aca="false">-ATAN2(Fp1_u,A223)</f>
        <v>-1.42893186155342</v>
      </c>
      <c r="U223" s="0" t="n">
        <f aca="false">1/SQRT(1+(A223/Fp2_u)^2)</f>
        <v>0.968641839164244</v>
      </c>
      <c r="V223" s="0" t="n">
        <f aca="false">-ATAN2(Fp2_u,A223)</f>
        <v>-0.251091355151959</v>
      </c>
      <c r="X223" s="0" t="n">
        <f aca="false">20*LOG(C223*J223*O223*Q223*F223*M223*S223*U223)</f>
        <v>41.9904141986793</v>
      </c>
      <c r="Y223" s="0" t="n">
        <f aca="false">(180/Pi)*(D223+H223+N223+P223+R223+T223+V223)</f>
        <v>-189.73001816657</v>
      </c>
      <c r="Z223" s="0" t="n">
        <f aca="false">Y223+180</f>
        <v>-9.73001816656986</v>
      </c>
      <c r="AC223" s="0" t="n">
        <v>1</v>
      </c>
      <c r="AD223" s="0" t="n">
        <f aca="false">Rcea1_u*Cc1ea_u*A223*2*Pi</f>
        <v>2.3085428101848</v>
      </c>
      <c r="AE223" s="0" t="n">
        <f aca="false">-Rcea1_u*Cc1ea_u*Cc2ea_u*(A223*2*Pi)^2</f>
        <v>-0.000205608406884874</v>
      </c>
      <c r="AF223" s="0" t="n">
        <f aca="false">(Cc2ea_u+Cc1ea_u)*A223*2*Pi</f>
        <v>0.0008015773646475</v>
      </c>
      <c r="AG223" s="0" t="n">
        <f aca="false">AC223*AE223/(AE223^2+AF223^2)+AD223*AF223/(AE223^2+AF223^2)</f>
        <v>2401.96355220349</v>
      </c>
      <c r="AH223" s="0" t="n">
        <f aca="false">AD223*AE223/(AE223^2+AF223^2)-AC223*AF223/(AE223^2+AF223^2)</f>
        <v>-1863.6552942348</v>
      </c>
      <c r="AJ223" s="0" t="n">
        <f aca="false">_Rfb1</f>
        <v>20000</v>
      </c>
      <c r="AK223" s="0" t="n">
        <f aca="false">_Rfb1*Rcea2_u*Cc3ea_u*A223*2*Pi</f>
        <v>140032.596798864</v>
      </c>
      <c r="AL223" s="0" t="n">
        <v>1</v>
      </c>
      <c r="AM223" s="0" t="n">
        <f aca="false">(_Rfb1+Rcea2_u)*Cc3ea_u*A223*2*Pi</f>
        <v>2619.55007757994</v>
      </c>
      <c r="AN223" s="0" t="n">
        <f aca="false">AJ223*AL223/(AL223^2+AM223^2)+AK223*AM223/(AL223^2+AM223^2)</f>
        <v>53.4596427410881</v>
      </c>
      <c r="AO223" s="0" t="n">
        <f aca="false">AK223*AL223/(AL223^2+AM223^2)-AJ223*AM223/(AL223^2+AM223^2)</f>
        <v>-7.61449094941007</v>
      </c>
      <c r="AQ223" s="0" t="n">
        <f aca="false">Eadcg/(1+(Eadcg*A223/GBP)^2)</f>
        <v>1.27438880608333</v>
      </c>
      <c r="AR223" s="0" t="n">
        <f aca="false">-(A223*Eadcg*Eadcg/GBP)/(1+(Eadcg*A223/GBP)^2)</f>
        <v>-63.4664741261592</v>
      </c>
      <c r="AT223" s="0" t="n">
        <f aca="false">-AR223*AH223+AG223*AQ223</f>
        <v>-115218.595048084</v>
      </c>
      <c r="AU223" s="0" t="n">
        <f aca="false">AQ223*AH223+AG223*AR223</f>
        <v>-154819.179083271</v>
      </c>
      <c r="AV223" s="0" t="n">
        <f aca="false">ATAN2(AT223,AU223)</f>
        <v>-2.21058407679619</v>
      </c>
      <c r="AW223" s="0" t="n">
        <f aca="false">AG223-AH223*AO223/_Rfb2+AG223*AN223/_Rfb2+AN223-AO223*AR223+AQ223*AN223</f>
        <v>2091.68446955964</v>
      </c>
      <c r="AX223" s="0" t="n">
        <f aca="false">AH223+AH223*AN223/_Rfb2+AG223*AO223/_Rfb2+AO223+AO223*AQ223+AN223*AR223</f>
        <v>-5326.93267421327</v>
      </c>
      <c r="AY223" s="0" t="n">
        <f aca="false">ATAN2(AW223,AX223)</f>
        <v>-1.19663170371003</v>
      </c>
      <c r="BA223" s="0" t="n">
        <f aca="false">SQRT(AT223^2+AU223^2)/SQRT(AW223^2+AX223^2)</f>
        <v>33.7221522092334</v>
      </c>
      <c r="BB223" s="0" t="n">
        <f aca="false">20*LOG(BA223)</f>
        <v>30.5583056860567</v>
      </c>
      <c r="BC223" s="0" t="n">
        <f aca="false">AV223-AY223</f>
        <v>-1.01395237308617</v>
      </c>
      <c r="BD223" s="0" t="n">
        <f aca="false">BC223*180/Pi-180</f>
        <v>-238.095191671495</v>
      </c>
      <c r="BF223" s="0" t="n">
        <f aca="false">20*LOG(BA223*J223*F223*C223)</f>
        <v>37.5385064497475</v>
      </c>
      <c r="BG223" s="0" t="n">
        <f aca="false">(180/Pi)*(D223+H223+BC223)</f>
        <v>-218.124106373614</v>
      </c>
      <c r="BH223" s="0" t="n">
        <f aca="false">IF(BG223&gt;180,BG223-180,BG223+180)</f>
        <v>-38.124106373614</v>
      </c>
      <c r="BI223" s="0" t="n">
        <f aca="false">IF(BH223&gt;180,BH223-360,BH223)</f>
        <v>-38.124106373614</v>
      </c>
      <c r="BJ223" s="0" t="n">
        <f aca="false">SUM((BF224&lt;0)*(BF223&gt;0))*A223</f>
        <v>0</v>
      </c>
      <c r="BK223" s="0" t="n">
        <f aca="false">IF(BJ223&gt;0,BI223,0)</f>
        <v>0</v>
      </c>
      <c r="BM223" s="0" t="n">
        <f aca="false">20*LOG(J223*F223*C223)</f>
        <v>6.9802007636908</v>
      </c>
      <c r="BN223" s="0" t="n">
        <f aca="false">(H223+D223)*180/Pi</f>
        <v>-160.028914702119</v>
      </c>
      <c r="BQ223" s="347" t="n">
        <f aca="false">20*LOG(BA223*7)</f>
        <v>47.4602664863419</v>
      </c>
      <c r="BR223" s="353"/>
      <c r="BS223" s="353"/>
      <c r="BT223" s="353" t="n">
        <v>13489.629</v>
      </c>
      <c r="BU223" s="353" t="n">
        <v>-3.87796</v>
      </c>
      <c r="BV223" s="353" t="n">
        <v>-197.578</v>
      </c>
      <c r="BW223" s="349"/>
      <c r="BY223" s="353"/>
      <c r="BZ223" s="353"/>
      <c r="CA223" s="353"/>
      <c r="CC223" s="353"/>
    </row>
    <row r="224" customFormat="false" ht="12.75" hidden="false" customHeight="false" outlineLevel="0" collapsed="false">
      <c r="A224" s="0" t="n">
        <f aca="false">A223+500</f>
        <v>95000</v>
      </c>
      <c r="B224" s="0" t="n">
        <f aca="false">A224/1000</f>
        <v>95</v>
      </c>
      <c r="C224" s="0" t="n">
        <f aca="false">SQRT((A224/Fesr)^2+1)</f>
        <v>1.00000017814634</v>
      </c>
      <c r="D224" s="0" t="n">
        <f aca="false">ATAN(A224/Fesr)</f>
        <v>0.000596902532609331</v>
      </c>
      <c r="F224" s="0" t="n">
        <f aca="false">(Ro/(Ro+Rdcr))/SQRT((A224/(Q*Fo))^2+(1-(A224^2/Fo^2))^2)</f>
        <v>0.245119024627419</v>
      </c>
      <c r="G224" s="0" t="n">
        <f aca="false">-ATAN(A224*Fo/(Q*(Fo^2-A224^2)))</f>
        <v>0.345389835733073</v>
      </c>
      <c r="H224" s="0" t="n">
        <f aca="false">IF(G224&gt;0,G224-Pi,G224)</f>
        <v>-2.79620281426693</v>
      </c>
      <c r="J224" s="0" t="n">
        <f aca="false">Vin/Vramp</f>
        <v>9</v>
      </c>
      <c r="M224" s="0" t="n">
        <f aca="false">1/(2*Pi*_Rfb1*(Cc1ea_u+Cc2ea_u)*A224)</f>
        <v>0.0620487108279752</v>
      </c>
      <c r="N224" s="0" t="n">
        <f aca="false">-Pi/2</f>
        <v>-1.570796325</v>
      </c>
      <c r="O224" s="0" t="n">
        <f aca="false">SQRT(1+(A224/Fz1_u)^2)</f>
        <v>2.52703671313069</v>
      </c>
      <c r="P224" s="0" t="n">
        <f aca="false">ATAN2(Fz1_u,A224)</f>
        <v>1.16394416670521</v>
      </c>
      <c r="Q224" s="0" t="n">
        <f aca="false">SQRT(1+(A224/Fz2_u)^2)</f>
        <v>2633.41032076835</v>
      </c>
      <c r="R224" s="0" t="n">
        <f aca="false">ATAN2(Fz2_u,A224)</f>
        <v>1.57041659105218</v>
      </c>
      <c r="S224" s="0" t="n">
        <f aca="false">1/SQRT(1+(A224/Fp1_u)^2)</f>
        <v>0.140659702569299</v>
      </c>
      <c r="T224" s="0" t="n">
        <f aca="false">-ATAN2(Fp1_u,A224)</f>
        <v>-1.42966861637955</v>
      </c>
      <c r="U224" s="0" t="n">
        <f aca="false">1/SQRT(1+(A224/Fp2_u)^2)</f>
        <v>0.968324770849035</v>
      </c>
      <c r="V224" s="0" t="n">
        <f aca="false">-ATAN2(Fp2_u,A224)</f>
        <v>-0.252364324662862</v>
      </c>
      <c r="X224" s="0" t="n">
        <f aca="false">20*LOG(C224*J224*O224*Q224*F224*M224*S224*U224)</f>
        <v>41.8734638112616</v>
      </c>
      <c r="Y224" s="0" t="n">
        <f aca="false">(180/Pi)*(D224+H224+N224+P224+R224+T224+V224)</f>
        <v>-189.882477476346</v>
      </c>
      <c r="Z224" s="0" t="n">
        <f aca="false">Y224+180</f>
        <v>-9.88247747634614</v>
      </c>
      <c r="AC224" s="0" t="n">
        <v>1</v>
      </c>
      <c r="AD224" s="0" t="n">
        <f aca="false">Rcea1_u*Cc1ea_u*A224*2*Pi</f>
        <v>2.320757322408</v>
      </c>
      <c r="AE224" s="0" t="n">
        <f aca="false">-Rcea1_u*Cc1ea_u*Cc2ea_u*(A224*2*Pi)^2</f>
        <v>-0.000207789913175554</v>
      </c>
      <c r="AF224" s="0" t="n">
        <f aca="false">(Cc2ea_u+Cc1ea_u)*A224*2*Pi</f>
        <v>0.000805818514725</v>
      </c>
      <c r="AG224" s="0" t="n">
        <f aca="false">AC224*AE224/(AE224^2+AF224^2)+AD224*AF224/(AE224^2+AF224^2)</f>
        <v>2400.39132630998</v>
      </c>
      <c r="AH224" s="0" t="n">
        <f aca="false">AD224*AE224/(AE224^2+AF224^2)-AC224*AF224/(AE224^2+AF224^2)</f>
        <v>-1859.94374402379</v>
      </c>
      <c r="AJ224" s="0" t="n">
        <f aca="false">_Rfb1</f>
        <v>20000</v>
      </c>
      <c r="AK224" s="0" t="n">
        <f aca="false">_Rfb1*Rcea2_u*Cc3ea_u*A224*2*Pi</f>
        <v>140773.51000944</v>
      </c>
      <c r="AL224" s="0" t="n">
        <v>1</v>
      </c>
      <c r="AM224" s="0" t="n">
        <f aca="false">(_Rfb1+Rcea2_u)*Cc3ea_u*A224*2*Pi</f>
        <v>2633.41013090047</v>
      </c>
      <c r="AN224" s="0" t="n">
        <f aca="false">AJ224*AL224/(AL224^2+AM224^2)+AK224*AM224/(AL224^2+AM224^2)</f>
        <v>53.4596122237876</v>
      </c>
      <c r="AO224" s="0" t="n">
        <f aca="false">AK224*AL224/(AL224^2+AM224^2)-AJ224*AM224/(AL224^2+AM224^2)</f>
        <v>-7.57441469284379</v>
      </c>
      <c r="AQ224" s="0" t="n">
        <f aca="false">Eadcg/(1+(Eadcg*A224/GBP)^2)</f>
        <v>1.26101482441171</v>
      </c>
      <c r="AR224" s="0" t="n">
        <f aca="false">-(A224*Eadcg*Eadcg/GBP)/(1+(Eadcg*A224/GBP)^2)</f>
        <v>-63.1327071841723</v>
      </c>
      <c r="AT224" s="0" t="n">
        <f aca="false">-AR224*AH224+AG224*AQ224</f>
        <v>-114396.354723621</v>
      </c>
      <c r="AU224" s="0" t="n">
        <f aca="false">AQ224*AH224+AG224*AR224</f>
        <v>-153888.619365141</v>
      </c>
      <c r="AV224" s="0" t="n">
        <f aca="false">ATAN2(AT224,AU224)</f>
        <v>-2.2100414334493</v>
      </c>
      <c r="AW224" s="0" t="n">
        <f aca="false">AG224-AH224*AO224/_Rfb2+AG224*AN224/_Rfb2+AN224-AO224*AR224+AQ224*AN224</f>
        <v>2094.47719908074</v>
      </c>
      <c r="AX224" s="0" t="n">
        <f aca="false">AH224+AH224*AN224/_Rfb2+AG224*AO224/_Rfb2+AO224+AO224*AQ224+AN224*AR224</f>
        <v>-5305.0456964242</v>
      </c>
      <c r="AY224" s="0" t="n">
        <f aca="false">ATAN2(AW224,AX224)</f>
        <v>-1.19477336619754</v>
      </c>
      <c r="BA224" s="0" t="n">
        <f aca="false">SQRT(AT224^2+AU224^2)/SQRT(AW224^2+AX224^2)</f>
        <v>33.6195618090235</v>
      </c>
      <c r="BB224" s="0" t="n">
        <f aca="false">20*LOG(BA224)</f>
        <v>30.5318409725727</v>
      </c>
      <c r="BC224" s="0" t="n">
        <f aca="false">AV224-AY224</f>
        <v>-1.01526806725176</v>
      </c>
      <c r="BD224" s="0" t="n">
        <f aca="false">BC224*180/Pi-180</f>
        <v>-238.1705753944</v>
      </c>
      <c r="BF224" s="0" t="n">
        <f aca="false">20*LOG(BA224*J224*F224*C224)</f>
        <v>37.4042331051241</v>
      </c>
      <c r="BG224" s="0" t="n">
        <f aca="false">(180/Pi)*(D224+H224+BC224)</f>
        <v>-218.346995501627</v>
      </c>
      <c r="BH224" s="0" t="n">
        <f aca="false">IF(BG224&gt;180,BG224-180,BG224+180)</f>
        <v>-38.346995501627</v>
      </c>
      <c r="BI224" s="0" t="n">
        <f aca="false">IF(BH224&gt;180,BH224-360,BH224)</f>
        <v>-38.346995501627</v>
      </c>
      <c r="BJ224" s="0" t="n">
        <f aca="false">SUM((BF225&lt;0)*(BF224&gt;0))*A224</f>
        <v>0</v>
      </c>
      <c r="BK224" s="0" t="n">
        <f aca="false">IF(BJ224&gt;0,BI224,0)</f>
        <v>0</v>
      </c>
      <c r="BM224" s="0" t="n">
        <f aca="false">20*LOG(J224*F224*C224)</f>
        <v>6.87239213255142</v>
      </c>
      <c r="BN224" s="0" t="n">
        <f aca="false">(H224+D224)*180/Pi</f>
        <v>-160.176420107227</v>
      </c>
      <c r="BQ224" s="347" t="n">
        <f aca="false">20*LOG(BA224*7)</f>
        <v>47.4338017728579</v>
      </c>
      <c r="BR224" s="353"/>
      <c r="BS224" s="353"/>
      <c r="BT224" s="353" t="n">
        <v>13803.843</v>
      </c>
      <c r="BU224" s="353" t="n">
        <v>-4.03066</v>
      </c>
      <c r="BV224" s="353" t="n">
        <v>-195.646</v>
      </c>
      <c r="BW224" s="349"/>
      <c r="BY224" s="353"/>
      <c r="BZ224" s="353"/>
      <c r="CA224" s="353"/>
      <c r="CC224" s="353"/>
    </row>
    <row r="225" customFormat="false" ht="12.75" hidden="false" customHeight="false" outlineLevel="0" collapsed="false">
      <c r="A225" s="0" t="n">
        <f aca="false">A224+500</f>
        <v>95500</v>
      </c>
      <c r="B225" s="0" t="n">
        <f aca="false">A225/1000</f>
        <v>95.5</v>
      </c>
      <c r="C225" s="0" t="n">
        <f aca="false">SQRT((A225/Fesr)^2+1)</f>
        <v>1.0000001800265</v>
      </c>
      <c r="D225" s="0" t="n">
        <f aca="false">ATAN(A225/Fesr)</f>
        <v>0.000600044124134104</v>
      </c>
      <c r="F225" s="0" t="n">
        <f aca="false">(Ro/(Ro+Rdcr))/SQRT((A225/(Q*Fo))^2+(1-(A225^2/Fo^2))^2)</f>
        <v>0.242115895495954</v>
      </c>
      <c r="G225" s="0" t="n">
        <f aca="false">-ATAN(A225*Fo/(Q*(Fo^2-A225^2)))</f>
        <v>0.342853215670994</v>
      </c>
      <c r="H225" s="0" t="n">
        <f aca="false">IF(G225&gt;0,G225-Pi,G225)</f>
        <v>-2.79873943432901</v>
      </c>
      <c r="J225" s="0" t="n">
        <f aca="false">Vin/Vramp</f>
        <v>9</v>
      </c>
      <c r="M225" s="0" t="n">
        <f aca="false">1/(2*Pi*_Rfb1*(Cc1ea_u+Cc2ea_u)*A225)</f>
        <v>0.0617238484676193</v>
      </c>
      <c r="N225" s="0" t="n">
        <f aca="false">-Pi/2</f>
        <v>-1.570796325</v>
      </c>
      <c r="O225" s="0" t="n">
        <f aca="false">SQRT(1+(A225/Fz1_u)^2)</f>
        <v>2.53825876954704</v>
      </c>
      <c r="P225" s="0" t="n">
        <f aca="false">ATAN2(Fz1_u,A225)</f>
        <v>1.16584843854063</v>
      </c>
      <c r="Q225" s="0" t="n">
        <f aca="false">SQRT(1+(A225/Fz2_u)^2)</f>
        <v>2647.2703730948</v>
      </c>
      <c r="R225" s="0" t="n">
        <f aca="false">ATAN2(Fz2_u,A225)</f>
        <v>1.57041857919724</v>
      </c>
      <c r="S225" s="0" t="n">
        <f aca="false">1/SQRT(1+(A225/Fp1_u)^2)</f>
        <v>0.13993772289038</v>
      </c>
      <c r="T225" s="0" t="n">
        <f aca="false">-ATAN2(Fp1_u,A225)</f>
        <v>-1.43039780835144</v>
      </c>
      <c r="U225" s="0" t="n">
        <f aca="false">1/SQRT(1+(A225/Fp2_u)^2)</f>
        <v>0.968006342973468</v>
      </c>
      <c r="V225" s="0" t="n">
        <f aca="false">-ATAN2(Fp2_u,A225)</f>
        <v>-0.253636459017074</v>
      </c>
      <c r="X225" s="0" t="n">
        <f aca="false">20*LOG(C225*J225*O225*Q225*F225*M225*S225*U225)</f>
        <v>41.757321744408</v>
      </c>
      <c r="Y225" s="0" t="n">
        <f aca="false">(180/Pi)*(D225+H225+N225+P225+R225+T225+V225)</f>
        <v>-190.033082000746</v>
      </c>
      <c r="Z225" s="0" t="n">
        <f aca="false">Y225+180</f>
        <v>-10.0330820007464</v>
      </c>
      <c r="AC225" s="0" t="n">
        <v>1</v>
      </c>
      <c r="AD225" s="0" t="n">
        <f aca="false">Rcea1_u*Cc1ea_u*A225*2*Pi</f>
        <v>2.3329718346312</v>
      </c>
      <c r="AE225" s="0" t="n">
        <f aca="false">-Rcea1_u*Cc1ea_u*Cc2ea_u*(A225*2*Pi)^2</f>
        <v>-0.00020998293137278</v>
      </c>
      <c r="AF225" s="0" t="n">
        <f aca="false">(Cc2ea_u+Cc1ea_u)*A225*2*Pi</f>
        <v>0.0008100596648025</v>
      </c>
      <c r="AG225" s="0" t="n">
        <f aca="false">AC225*AE225/(AE225^2+AF225^2)+AD225*AF225/(AE225^2+AF225^2)</f>
        <v>2398.81287689438</v>
      </c>
      <c r="AH225" s="0" t="n">
        <f aca="false">AD225*AE225/(AE225^2+AF225^2)-AC225*AF225/(AE225^2+AF225^2)</f>
        <v>-1856.2950669463</v>
      </c>
      <c r="AJ225" s="0" t="n">
        <f aca="false">_Rfb1</f>
        <v>20000</v>
      </c>
      <c r="AK225" s="0" t="n">
        <f aca="false">_Rfb1*Rcea2_u*Cc3ea_u*A225*2*Pi</f>
        <v>141514.423220016</v>
      </c>
      <c r="AL225" s="0" t="n">
        <v>1</v>
      </c>
      <c r="AM225" s="0" t="n">
        <f aca="false">(_Rfb1+Rcea2_u)*Cc3ea_u*A225*2*Pi</f>
        <v>2647.270184221</v>
      </c>
      <c r="AN225" s="0" t="n">
        <f aca="false">AJ225*AL225/(AL225^2+AM225^2)+AK225*AM225/(AL225^2+AM225^2)</f>
        <v>53.4595821845603</v>
      </c>
      <c r="AO225" s="0" t="n">
        <f aca="false">AK225*AL225/(AL225^2+AM225^2)-AJ225*AM225/(AL225^2+AM225^2)</f>
        <v>-7.53475808276253</v>
      </c>
      <c r="AQ225" s="0" t="n">
        <f aca="false">Eadcg/(1+(Eadcg*A225/GBP)^2)</f>
        <v>1.24785024436035</v>
      </c>
      <c r="AR225" s="0" t="n">
        <f aca="false">-(A225*Eadcg*Eadcg/GBP)/(1+(Eadcg*A225/GBP)^2)</f>
        <v>-62.8024310232898</v>
      </c>
      <c r="AT225" s="0" t="n">
        <f aca="false">-AR225*AH225+AG225*AQ225</f>
        <v>-113586.483666161</v>
      </c>
      <c r="AU225" s="0" t="n">
        <f aca="false">AQ225*AH225+AG225*AR225</f>
        <v>-152967.658491833</v>
      </c>
      <c r="AV225" s="0" t="n">
        <f aca="false">ATAN2(AT225,AU225)</f>
        <v>-2.20951383057369</v>
      </c>
      <c r="AW225" s="0" t="n">
        <f aca="false">AG225-AH225*AO225/_Rfb2+AG225*AN225/_Rfb2+AN225-AO225*AR225+AQ225*AN225</f>
        <v>2097.1946469466</v>
      </c>
      <c r="AX225" s="0" t="n">
        <f aca="false">AH225+AH225*AN225/_Rfb2+AG225*AO225/_Rfb2+AO225+AO225*AQ225+AN225*AR225</f>
        <v>-5283.41385245512</v>
      </c>
      <c r="AY225" s="0" t="n">
        <f aca="false">ATAN2(AW225,AX225)</f>
        <v>-1.1929312574138</v>
      </c>
      <c r="BA225" s="0" t="n">
        <f aca="false">SQRT(AT225^2+AU225^2)/SQRT(AW225^2+AX225^2)</f>
        <v>33.5175849208518</v>
      </c>
      <c r="BB225" s="0" t="n">
        <f aca="false">20*LOG(BA225)</f>
        <v>30.5054543678201</v>
      </c>
      <c r="BC225" s="0" t="n">
        <f aca="false">AV225-AY225</f>
        <v>-1.01658257315988</v>
      </c>
      <c r="BD225" s="0" t="n">
        <f aca="false">BC225*180/Pi-180</f>
        <v>-238.245891035166</v>
      </c>
      <c r="BF225" s="0" t="n">
        <f aca="false">20*LOG(BA225*J225*F225*C225)</f>
        <v>37.2707721775796</v>
      </c>
      <c r="BG225" s="0" t="n">
        <f aca="false">(180/Pi)*(D225+H225+BC225)</f>
        <v>-218.567468766409</v>
      </c>
      <c r="BH225" s="0" t="n">
        <f aca="false">IF(BG225&gt;180,BG225-180,BG225+180)</f>
        <v>-38.5674687664093</v>
      </c>
      <c r="BI225" s="0" t="n">
        <f aca="false">IF(BH225&gt;180,BH225-360,BH225)</f>
        <v>-38.5674687664093</v>
      </c>
      <c r="BJ225" s="0" t="n">
        <f aca="false">SUM((BF226&lt;0)*(BF225&gt;0))*A225</f>
        <v>0</v>
      </c>
      <c r="BK225" s="0" t="n">
        <f aca="false">IF(BJ225&gt;0,BI225,0)</f>
        <v>0</v>
      </c>
      <c r="BM225" s="0" t="n">
        <f aca="false">20*LOG(J225*F225*C225)</f>
        <v>6.76531780975949</v>
      </c>
      <c r="BN225" s="0" t="n">
        <f aca="false">(H225+D225)*180/Pi</f>
        <v>-160.321577731243</v>
      </c>
      <c r="BQ225" s="347" t="n">
        <f aca="false">20*LOG(BA225*7)</f>
        <v>47.4074151681052</v>
      </c>
      <c r="BR225" s="353"/>
      <c r="BS225" s="353"/>
      <c r="BT225" s="353" t="n">
        <v>14125.375</v>
      </c>
      <c r="BU225" s="353" t="n">
        <v>-4.01791</v>
      </c>
      <c r="BV225" s="353" t="n">
        <v>-192.582</v>
      </c>
      <c r="BW225" s="349"/>
      <c r="BY225" s="353"/>
      <c r="BZ225" s="353"/>
      <c r="CA225" s="353"/>
      <c r="CC225" s="353"/>
    </row>
    <row r="226" customFormat="false" ht="12.75" hidden="false" customHeight="false" outlineLevel="0" collapsed="false">
      <c r="A226" s="0" t="n">
        <f aca="false">A225+500</f>
        <v>96000</v>
      </c>
      <c r="B226" s="0" t="n">
        <f aca="false">A226/1000</f>
        <v>96</v>
      </c>
      <c r="C226" s="0" t="n">
        <f aca="false">SQRT((A226/Fesr)^2+1)</f>
        <v>1.00000018191653</v>
      </c>
      <c r="D226" s="0" t="n">
        <f aca="false">ATAN(A226/Fesr)</f>
        <v>0.000603185715647032</v>
      </c>
      <c r="F226" s="0" t="n">
        <f aca="false">(Ro/(Ro+Rdcr))/SQRT((A226/(Q*Fo))^2+(1-(A226^2/Fo^2))^2)</f>
        <v>0.239169500693236</v>
      </c>
      <c r="G226" s="0" t="n">
        <f aca="false">-ATAN(A226*Fo/(Q*(Fo^2-A226^2)))</f>
        <v>0.340356576428355</v>
      </c>
      <c r="H226" s="0" t="n">
        <f aca="false">IF(G226&gt;0,G226-Pi,G226)</f>
        <v>-2.80123607357164</v>
      </c>
      <c r="J226" s="0" t="n">
        <f aca="false">Vin/Vramp</f>
        <v>9</v>
      </c>
      <c r="M226" s="0" t="n">
        <f aca="false">1/(2*Pi*_Rfb1*(Cc1ea_u+Cc2ea_u)*A226)</f>
        <v>0.0614023700901838</v>
      </c>
      <c r="N226" s="0" t="n">
        <f aca="false">-Pi/2</f>
        <v>-1.570796325</v>
      </c>
      <c r="O226" s="0" t="n">
        <f aca="false">SQRT(1+(A226/Fz1_u)^2)</f>
        <v>2.54948994927854</v>
      </c>
      <c r="P226" s="0" t="n">
        <f aca="false">ATAN2(Fz1_u,A226)</f>
        <v>1.167735939525</v>
      </c>
      <c r="Q226" s="0" t="n">
        <f aca="false">SQRT(1+(A226/Fz2_u)^2)</f>
        <v>2661.13042543161</v>
      </c>
      <c r="R226" s="0" t="n">
        <f aca="false">ATAN2(Fz2_u,A226)</f>
        <v>1.57042054663246</v>
      </c>
      <c r="S226" s="0" t="n">
        <f aca="false">1/SQRT(1+(A226/Fp1_u)^2)</f>
        <v>0.139223044036562</v>
      </c>
      <c r="T226" s="0" t="n">
        <f aca="false">-ATAN2(Fp1_u,A226)</f>
        <v>-1.43111955256089</v>
      </c>
      <c r="U226" s="0" t="n">
        <f aca="false">1/SQRT(1+(A226/Fp2_u)^2)</f>
        <v>0.967686559968733</v>
      </c>
      <c r="V226" s="0" t="n">
        <f aca="false">-ATAN2(Fp2_u,A226)</f>
        <v>-0.254907754922816</v>
      </c>
      <c r="X226" s="0" t="n">
        <f aca="false">20*LOG(C226*J226*O226*Q226*F226*M226*S226*U226)</f>
        <v>41.6419763852034</v>
      </c>
      <c r="Y226" s="0" t="n">
        <f aca="false">(180/Pi)*(D226+H226+N226+P226+R226+T226+V226)</f>
        <v>-190.181883113587</v>
      </c>
      <c r="Z226" s="0" t="n">
        <f aca="false">Y226+180</f>
        <v>-10.1818831135869</v>
      </c>
      <c r="AC226" s="0" t="n">
        <v>1</v>
      </c>
      <c r="AD226" s="0" t="n">
        <f aca="false">Rcea1_u*Cc1ea_u*A226*2*Pi</f>
        <v>2.3451863468544</v>
      </c>
      <c r="AE226" s="0" t="n">
        <f aca="false">-Rcea1_u*Cc1ea_u*Cc2ea_u*(A226*2*Pi)^2</f>
        <v>-0.000212187461476554</v>
      </c>
      <c r="AF226" s="0" t="n">
        <f aca="false">(Cc2ea_u+Cc1ea_u)*A226*2*Pi</f>
        <v>0.00081430081488</v>
      </c>
      <c r="AG226" s="0" t="n">
        <f aca="false">AC226*AE226/(AE226^2+AF226^2)+AD226*AF226/(AE226^2+AF226^2)</f>
        <v>2397.22823256095</v>
      </c>
      <c r="AH226" s="0" t="n">
        <f aca="false">AD226*AE226/(AE226^2+AF226^2)-AC226*AF226/(AE226^2+AF226^2)</f>
        <v>-1852.70817083655</v>
      </c>
      <c r="AJ226" s="0" t="n">
        <f aca="false">_Rfb1</f>
        <v>20000</v>
      </c>
      <c r="AK226" s="0" t="n">
        <f aca="false">_Rfb1*Rcea2_u*Cc3ea_u*A226*2*Pi</f>
        <v>142255.336430592</v>
      </c>
      <c r="AL226" s="0" t="n">
        <v>1</v>
      </c>
      <c r="AM226" s="0" t="n">
        <f aca="false">(_Rfb1+Rcea2_u)*Cc3ea_u*A226*2*Pi</f>
        <v>2661.13023754153</v>
      </c>
      <c r="AN226" s="0" t="n">
        <f aca="false">AJ226*AL226/(AL226^2+AM226^2)+AK226*AM226/(AL226^2+AM226^2)</f>
        <v>53.4595526134726</v>
      </c>
      <c r="AO226" s="0" t="n">
        <f aca="false">AK226*AL226/(AL226^2+AM226^2)-AJ226*AM226/(AL226^2+AM226^2)</f>
        <v>-7.49551456219371</v>
      </c>
      <c r="AQ226" s="0" t="n">
        <f aca="false">Eadcg/(1+(Eadcg*A226/GBP)^2)</f>
        <v>1.23489071762344</v>
      </c>
      <c r="AR226" s="0" t="n">
        <f aca="false">-(A226*Eadcg*Eadcg/GBP)/(1+(Eadcg*A226/GBP)^2)</f>
        <v>-62.4755911860052</v>
      </c>
      <c r="AT226" s="0" t="n">
        <f aca="false">-AR226*AH226+AG226*AQ226</f>
        <v>-112788.723375741</v>
      </c>
      <c r="AU226" s="0" t="n">
        <f aca="false">AQ226*AH226+AG226*AR226</f>
        <v>-152056.143159659</v>
      </c>
      <c r="AV226" s="0" t="n">
        <f aca="false">ATAN2(AT226,AU226)</f>
        <v>-2.20900107162602</v>
      </c>
      <c r="AW226" s="0" t="n">
        <f aca="false">AG226-AH226*AO226/_Rfb2+AG226*AN226/_Rfb2+AN226-AO226*AR226+AQ226*AN226</f>
        <v>2099.83827343673</v>
      </c>
      <c r="AX226" s="0" t="n">
        <f aca="false">AH226+AH226*AN226/_Rfb2+AG226*AO226/_Rfb2+AO226+AO226*AQ226+AN226*AR226</f>
        <v>-5262.0330148995</v>
      </c>
      <c r="AY226" s="0" t="n">
        <f aca="false">ATAN2(AW226,AX226)</f>
        <v>-1.19110524913287</v>
      </c>
      <c r="BA226" s="0" t="n">
        <f aca="false">SQRT(AT226^2+AU226^2)/SQRT(AW226^2+AX226^2)</f>
        <v>33.4162138330378</v>
      </c>
      <c r="BB226" s="0" t="n">
        <f aca="false">20*LOG(BA226)</f>
        <v>30.479144827025</v>
      </c>
      <c r="BC226" s="0" t="n">
        <f aca="false">AV226-AY226</f>
        <v>-1.01789582249315</v>
      </c>
      <c r="BD226" s="0" t="n">
        <f aca="false">BC226*180/Pi-180</f>
        <v>-238.321134679496</v>
      </c>
      <c r="BF226" s="0" t="n">
        <f aca="false">20*LOG(BA226*J226*F226*C226)</f>
        <v>37.1381125332533</v>
      </c>
      <c r="BG226" s="0" t="n">
        <f aca="false">(180/Pi)*(D226+H226+BC226)</f>
        <v>-218.785579302538</v>
      </c>
      <c r="BH226" s="0" t="n">
        <f aca="false">IF(BG226&gt;180,BG226-180,BG226+180)</f>
        <v>-38.7855793025381</v>
      </c>
      <c r="BI226" s="0" t="n">
        <f aca="false">IF(BH226&gt;180,BH226-360,BH226)</f>
        <v>-38.7855793025381</v>
      </c>
      <c r="BJ226" s="0" t="n">
        <f aca="false">SUM((BF227&lt;0)*(BF226&gt;0))*A226</f>
        <v>0</v>
      </c>
      <c r="BK226" s="0" t="n">
        <f aca="false">IF(BJ226&gt;0,BI226,0)</f>
        <v>0</v>
      </c>
      <c r="BM226" s="0" t="n">
        <f aca="false">20*LOG(J226*F226*C226)</f>
        <v>6.6589677062283</v>
      </c>
      <c r="BN226" s="0" t="n">
        <f aca="false">(H226+D226)*180/Pi</f>
        <v>-160.464444623042</v>
      </c>
      <c r="BQ226" s="347" t="n">
        <f aca="false">20*LOG(BA226*7)</f>
        <v>47.3811056273101</v>
      </c>
      <c r="BR226" s="353"/>
      <c r="BS226" s="353"/>
      <c r="BT226" s="353" t="n">
        <v>14454.398</v>
      </c>
      <c r="BU226" s="353" t="n">
        <v>-3.96527</v>
      </c>
      <c r="BV226" s="353" t="n">
        <v>-192.254</v>
      </c>
      <c r="BW226" s="349"/>
      <c r="BY226" s="353"/>
      <c r="BZ226" s="353"/>
      <c r="CA226" s="353"/>
      <c r="CC226" s="353"/>
    </row>
    <row r="227" customFormat="false" ht="12.75" hidden="false" customHeight="false" outlineLevel="0" collapsed="false">
      <c r="A227" s="0" t="n">
        <f aca="false">A226+500</f>
        <v>96500</v>
      </c>
      <c r="B227" s="0" t="n">
        <f aca="false">A227/1000</f>
        <v>96.5</v>
      </c>
      <c r="C227" s="0" t="n">
        <f aca="false">SQRT((A227/Fesr)^2+1)</f>
        <v>1.00000018381643</v>
      </c>
      <c r="D227" s="0" t="n">
        <f aca="false">ATAN(A227/Fesr)</f>
        <v>0.000606327307148053</v>
      </c>
      <c r="F227" s="0" t="n">
        <f aca="false">(Ro/(Ro+Rdcr))/SQRT((A227/(Q*Fo))^2+(1-(A227^2/Fo^2))^2)</f>
        <v>0.23627839225656</v>
      </c>
      <c r="G227" s="0" t="n">
        <f aca="false">-ATAN(A227*Fo/(Q*(Fo^2-A227^2)))</f>
        <v>0.337898954295679</v>
      </c>
      <c r="H227" s="0" t="n">
        <f aca="false">IF(G227&gt;0,G227-Pi,G227)</f>
        <v>-2.80369369570432</v>
      </c>
      <c r="J227" s="0" t="n">
        <f aca="false">Vin/Vramp</f>
        <v>9</v>
      </c>
      <c r="M227" s="0" t="n">
        <f aca="false">1/(2*Pi*_Rfb1*(Cc1ea_u+Cc2ea_u)*A227)</f>
        <v>0.0610842230948979</v>
      </c>
      <c r="N227" s="0" t="n">
        <f aca="false">-Pi/2</f>
        <v>-1.570796325</v>
      </c>
      <c r="O227" s="0" t="n">
        <f aca="false">SQRT(1+(A227/Fz1_u)^2)</f>
        <v>2.56073013228255</v>
      </c>
      <c r="P227" s="0" t="n">
        <f aca="false">ATAN2(Fz1_u,A227)</f>
        <v>1.16960687696428</v>
      </c>
      <c r="Q227" s="0" t="n">
        <f aca="false">SQRT(1+(A227/Fz2_u)^2)</f>
        <v>2674.99047777862</v>
      </c>
      <c r="R227" s="0" t="n">
        <f aca="false">ATAN2(Fz2_u,A227)</f>
        <v>1.57042249367975</v>
      </c>
      <c r="S227" s="0" t="n">
        <f aca="false">1/SQRT(1+(A227/Fp1_u)^2)</f>
        <v>0.138515556934557</v>
      </c>
      <c r="T227" s="0" t="n">
        <f aca="false">-ATAN2(Fp1_u,A227)</f>
        <v>-1.43183396179161</v>
      </c>
      <c r="U227" s="0" t="n">
        <f aca="false">1/SQRT(1+(A227/Fp2_u)^2)</f>
        <v>0.967365426276833</v>
      </c>
      <c r="V227" s="0" t="n">
        <f aca="false">-ATAN2(Fp2_u,A227)</f>
        <v>-0.256178209103484</v>
      </c>
      <c r="X227" s="0" t="n">
        <f aca="false">20*LOG(C227*J227*O227*Q227*F227*M227*S227*U227)</f>
        <v>41.5274163478243</v>
      </c>
      <c r="Y227" s="0" t="n">
        <f aca="false">(180/Pi)*(D227+H227+N227+P227+R227+T227+V227)</f>
        <v>-190.328930409448</v>
      </c>
      <c r="Z227" s="0" t="n">
        <f aca="false">Y227+180</f>
        <v>-10.3289304094481</v>
      </c>
      <c r="AC227" s="0" t="n">
        <v>1</v>
      </c>
      <c r="AD227" s="0" t="n">
        <f aca="false">Rcea1_u*Cc1ea_u*A227*2*Pi</f>
        <v>2.3574008590776</v>
      </c>
      <c r="AE227" s="0" t="n">
        <f aca="false">-Rcea1_u*Cc1ea_u*Cc2ea_u*(A227*2*Pi)^2</f>
        <v>-0.000214403503486875</v>
      </c>
      <c r="AF227" s="0" t="n">
        <f aca="false">(Cc2ea_u+Cc1ea_u)*A227*2*Pi</f>
        <v>0.0008185419649575</v>
      </c>
      <c r="AG227" s="0" t="n">
        <f aca="false">AC227*AE227/(AE227^2+AF227^2)+AD227*AF227/(AE227^2+AF227^2)</f>
        <v>2395.63742196674</v>
      </c>
      <c r="AH227" s="0" t="n">
        <f aca="false">AD227*AE227/(AE227^2+AF227^2)-AC227*AF227/(AE227^2+AF227^2)</f>
        <v>-1849.18198596272</v>
      </c>
      <c r="AJ227" s="0" t="n">
        <f aca="false">_Rfb1</f>
        <v>20000</v>
      </c>
      <c r="AK227" s="0" t="n">
        <f aca="false">_Rfb1*Rcea2_u*Cc3ea_u*A227*2*Pi</f>
        <v>142996.249641168</v>
      </c>
      <c r="AL227" s="0" t="n">
        <v>1</v>
      </c>
      <c r="AM227" s="0" t="n">
        <f aca="false">(_Rfb1+Rcea2_u)*Cc3ea_u*A227*2*Pi</f>
        <v>2674.99029086206</v>
      </c>
      <c r="AN227" s="0" t="n">
        <f aca="false">AJ227*AL227/(AL227^2+AM227^2)+AK227*AM227/(AL227^2+AM227^2)</f>
        <v>53.4595235008471</v>
      </c>
      <c r="AO227" s="0" t="n">
        <f aca="false">AK227*AL227/(AL227^2+AM227^2)-AJ227*AM227/(AL227^2+AM227^2)</f>
        <v>-7.45667771006042</v>
      </c>
      <c r="AQ227" s="0" t="n">
        <f aca="false">Eadcg/(1+(Eadcg*A227/GBP)^2)</f>
        <v>1.22213200816544</v>
      </c>
      <c r="AR227" s="0" t="n">
        <f aca="false">-(A227*Eadcg*Eadcg/GBP)/(1+(Eadcg*A227/GBP)^2)</f>
        <v>-62.1521343412578</v>
      </c>
      <c r="AT227" s="0" t="n">
        <f aca="false">-AR227*AH227+AG227*AQ227</f>
        <v>-112002.822039644</v>
      </c>
      <c r="AU227" s="0" t="n">
        <f aca="false">AQ227*AH227+AG227*AR227</f>
        <v>-151153.923376989</v>
      </c>
      <c r="AV227" s="0" t="n">
        <f aca="false">ATAN2(AT227,AU227)</f>
        <v>-2.20850296293421</v>
      </c>
      <c r="AW227" s="0" t="n">
        <f aca="false">AG227-AH227*AO227/_Rfb2+AG227*AN227/_Rfb2+AN227-AO227*AR227+AQ227*AN227</f>
        <v>2102.40950193726</v>
      </c>
      <c r="AX227" s="0" t="n">
        <f aca="false">AH227+AH227*AN227/_Rfb2+AG227*AO227/_Rfb2+AO227+AO227*AQ227+AN227*AR227</f>
        <v>-5240.89914242185</v>
      </c>
      <c r="AY227" s="0" t="n">
        <f aca="false">ATAN2(AW227,AX227)</f>
        <v>-1.18929521451181</v>
      </c>
      <c r="BA227" s="0" t="n">
        <f aca="false">SQRT(AT227^2+AU227^2)/SQRT(AW227^2+AX227^2)</f>
        <v>33.3154410186371</v>
      </c>
      <c r="BB227" s="0" t="n">
        <f aca="false">20*LOG(BA227)</f>
        <v>30.4529113337387</v>
      </c>
      <c r="BC227" s="0" t="n">
        <f aca="false">AV227-AY227</f>
        <v>-1.0192077484224</v>
      </c>
      <c r="BD227" s="0" t="n">
        <f aca="false">BC227*180/Pi-180</f>
        <v>-238.396302498362</v>
      </c>
      <c r="BF227" s="0" t="n">
        <f aca="false">20*LOG(BA227*J227*F227*C227)</f>
        <v>37.0062432603877</v>
      </c>
      <c r="BG227" s="0" t="n">
        <f aca="false">(180/Pi)*(D227+H227+BC227)</f>
        <v>-219.001378497471</v>
      </c>
      <c r="BH227" s="0" t="n">
        <f aca="false">IF(BG227&gt;180,BG227-180,BG227+180)</f>
        <v>-39.0013784974711</v>
      </c>
      <c r="BI227" s="0" t="n">
        <f aca="false">IF(BH227&gt;180,BH227-360,BH227)</f>
        <v>-39.0013784974711</v>
      </c>
      <c r="BJ227" s="0" t="n">
        <f aca="false">SUM((BF228&lt;0)*(BF227&gt;0))*A227</f>
        <v>0</v>
      </c>
      <c r="BK227" s="0" t="n">
        <f aca="false">IF(BJ227&gt;0,BI227,0)</f>
        <v>0</v>
      </c>
      <c r="BM227" s="0" t="n">
        <f aca="false">20*LOG(J227*F227*C227)</f>
        <v>6.55333192664898</v>
      </c>
      <c r="BN227" s="0" t="n">
        <f aca="false">(H227+D227)*180/Pi</f>
        <v>-160.605075999109</v>
      </c>
      <c r="BQ227" s="347" t="n">
        <f aca="false">20*LOG(BA227*7)</f>
        <v>47.3548721340238</v>
      </c>
      <c r="BR227" s="353"/>
      <c r="BS227" s="353"/>
      <c r="BT227" s="353" t="n">
        <v>14791.084</v>
      </c>
      <c r="BU227" s="353" t="n">
        <v>-3.95839</v>
      </c>
      <c r="BV227" s="353" t="n">
        <v>-191.026</v>
      </c>
      <c r="BW227" s="349"/>
      <c r="BY227" s="353"/>
      <c r="BZ227" s="353"/>
      <c r="CA227" s="353"/>
      <c r="CC227" s="353"/>
    </row>
    <row r="228" customFormat="false" ht="12.75" hidden="false" customHeight="false" outlineLevel="0" collapsed="false">
      <c r="A228" s="0" t="n">
        <f aca="false">A227+500</f>
        <v>97000</v>
      </c>
      <c r="B228" s="0" t="n">
        <f aca="false">A228/1000</f>
        <v>97</v>
      </c>
      <c r="C228" s="0" t="n">
        <f aca="false">SQRT((A228/Fesr)^2+1)</f>
        <v>1.0000001857262</v>
      </c>
      <c r="D228" s="0" t="n">
        <f aca="false">ATAN(A228/Fesr)</f>
        <v>0.000609468898637106</v>
      </c>
      <c r="F228" s="0" t="n">
        <f aca="false">(Ro/(Ro+Rdcr))/SQRT((A228/(Q*Fo))^2+(1-(A228^2/Fo^2))^2)</f>
        <v>0.233441168356678</v>
      </c>
      <c r="G228" s="0" t="n">
        <f aca="false">-ATAN(A228*Fo/(Q*(Fo^2-A228^2)))</f>
        <v>0.33547941628885</v>
      </c>
      <c r="H228" s="0" t="n">
        <f aca="false">IF(G228&gt;0,G228-Pi,G228)</f>
        <v>-2.80611323371115</v>
      </c>
      <c r="J228" s="0" t="n">
        <f aca="false">Vin/Vramp</f>
        <v>9</v>
      </c>
      <c r="M228" s="0" t="n">
        <f aca="false">1/(2*Pi*_Rfb1*(Cc1ea_u+Cc2ea_u)*A228)</f>
        <v>0.0607693559655427</v>
      </c>
      <c r="N228" s="0" t="n">
        <f aca="false">-Pi/2</f>
        <v>-1.570796325</v>
      </c>
      <c r="O228" s="0" t="n">
        <f aca="false">SQRT(1+(A228/Fz1_u)^2)</f>
        <v>2.57197920051952</v>
      </c>
      <c r="P228" s="0" t="n">
        <f aca="false">ATAN2(Fz1_u,A228)</f>
        <v>1.17146145500587</v>
      </c>
      <c r="Q228" s="0" t="n">
        <f aca="false">SQRT(1+(A228/Fz2_u)^2)</f>
        <v>2688.85053013566</v>
      </c>
      <c r="R228" s="0" t="n">
        <f aca="false">ATAN2(Fz2_u,A228)</f>
        <v>1.57042442065439</v>
      </c>
      <c r="S228" s="0" t="n">
        <f aca="false">1/SQRT(1+(A228/Fp1_u)^2)</f>
        <v>0.137815154650443</v>
      </c>
      <c r="T228" s="0" t="n">
        <f aca="false">-ATAN2(Fp1_u,A228)</f>
        <v>-1.4325411465765</v>
      </c>
      <c r="U228" s="0" t="n">
        <f aca="false">1/SQRT(1+(A228/Fp2_u)^2)</f>
        <v>0.967042946350427</v>
      </c>
      <c r="V228" s="0" t="n">
        <f aca="false">-ATAN2(Fp2_u,A228)</f>
        <v>-0.25744781829768</v>
      </c>
      <c r="X228" s="0" t="n">
        <f aca="false">20*LOG(C228*J228*O228*Q228*F228*M228*S228*U228)</f>
        <v>41.4136304685756</v>
      </c>
      <c r="Y228" s="0" t="n">
        <f aca="false">(180/Pi)*(D228+H228+N228+P228+R228+T228+V228)</f>
        <v>-190.474271775737</v>
      </c>
      <c r="Z228" s="0" t="n">
        <f aca="false">Y228+180</f>
        <v>-10.4742717757367</v>
      </c>
      <c r="AC228" s="0" t="n">
        <v>1</v>
      </c>
      <c r="AD228" s="0" t="n">
        <f aca="false">Rcea1_u*Cc1ea_u*A228*2*Pi</f>
        <v>2.3696153713008</v>
      </c>
      <c r="AE228" s="0" t="n">
        <f aca="false">-Rcea1_u*Cc1ea_u*Cc2ea_u*(A228*2*Pi)^2</f>
        <v>-0.000216631057403743</v>
      </c>
      <c r="AF228" s="0" t="n">
        <f aca="false">(Cc2ea_u+Cc1ea_u)*A228*2*Pi</f>
        <v>0.000822783115035</v>
      </c>
      <c r="AG228" s="0" t="n">
        <f aca="false">AC228*AE228/(AE228^2+AF228^2)+AD228*AF228/(AE228^2+AF228^2)</f>
        <v>2394.04047382045</v>
      </c>
      <c r="AH228" s="0" t="n">
        <f aca="false">AD228*AE228/(AE228^2+AF228^2)-AC228*AF228/(AE228^2+AF228^2)</f>
        <v>-1845.71546445321</v>
      </c>
      <c r="AJ228" s="0" t="n">
        <f aca="false">_Rfb1</f>
        <v>20000</v>
      </c>
      <c r="AK228" s="0" t="n">
        <f aca="false">_Rfb1*Rcea2_u*Cc3ea_u*A228*2*Pi</f>
        <v>143737.162851744</v>
      </c>
      <c r="AL228" s="0" t="n">
        <v>1</v>
      </c>
      <c r="AM228" s="0" t="n">
        <f aca="false">(_Rfb1+Rcea2_u)*Cc3ea_u*A228*2*Pi</f>
        <v>2688.85034418259</v>
      </c>
      <c r="AN228" s="0" t="n">
        <f aca="false">AJ228*AL228/(AL228^2+AM228^2)+AK228*AM228/(AL228^2+AM228^2)</f>
        <v>53.4594948372555</v>
      </c>
      <c r="AO228" s="0" t="n">
        <f aca="false">AK228*AL228/(AL228^2+AM228^2)-AJ228*AM228/(AL228^2+AM228^2)</f>
        <v>-7.41824123767904</v>
      </c>
      <c r="AQ228" s="0" t="n">
        <f aca="false">Eadcg/(1+(Eadcg*A228/GBP)^2)</f>
        <v>1.20956998876088</v>
      </c>
      <c r="AR228" s="0" t="n">
        <f aca="false">-(A228*Eadcg*Eadcg/GBP)/(1+(Eadcg*A228/GBP)^2)</f>
        <v>-61.8320082554674</v>
      </c>
      <c r="AT228" s="0" t="n">
        <f aca="false">-AR228*AH228+AG228*AQ228</f>
        <v>-111228.534326303</v>
      </c>
      <c r="AU228" s="0" t="n">
        <f aca="false">AQ228*AH228+AG228*AR228</f>
        <v>-150260.852374784</v>
      </c>
      <c r="AV228" s="0" t="n">
        <f aca="false">ATAN2(AT228,AU228)</f>
        <v>-2.20801931365155</v>
      </c>
      <c r="AW228" s="0" t="n">
        <f aca="false">AG228-AH228*AO228/_Rfb2+AG228*AN228/_Rfb2+AN228-AO228*AR228+AQ228*AN228</f>
        <v>2104.90972007848</v>
      </c>
      <c r="AX228" s="0" t="n">
        <f aca="false">AH228+AH228*AN228/_Rfb2+AG228*AO228/_Rfb2+AO228+AO228*AQ228+AN228*AR228</f>
        <v>-5220.00827752142</v>
      </c>
      <c r="AY228" s="0" t="n">
        <f aca="false">ATAN2(AW228,AX228)</f>
        <v>-1.18750102806181</v>
      </c>
      <c r="BA228" s="0" t="n">
        <f aca="false">SQRT(AT228^2+AU228^2)/SQRT(AW228^2+AX228^2)</f>
        <v>33.2152591296526</v>
      </c>
      <c r="BB228" s="0" t="n">
        <f aca="false">20*LOG(BA228)</f>
        <v>30.4267528989951</v>
      </c>
      <c r="BC228" s="0" t="n">
        <f aca="false">AV228-AY228</f>
        <v>-1.02051828558974</v>
      </c>
      <c r="BD228" s="0" t="n">
        <f aca="false">BC228*180/Pi-180</f>
        <v>-238.471390747032</v>
      </c>
      <c r="BF228" s="0" t="n">
        <f aca="false">20*LOG(BA228*J228*F228*C228)</f>
        <v>36.8751536643436</v>
      </c>
      <c r="BG228" s="0" t="n">
        <f aca="false">(180/Pi)*(D228+H228+BC228)</f>
        <v>-219.214916062528</v>
      </c>
      <c r="BH228" s="0" t="n">
        <f aca="false">IF(BG228&gt;180,BG228-180,BG228+180)</f>
        <v>-39.2149160625282</v>
      </c>
      <c r="BI228" s="0" t="n">
        <f aca="false">IF(BH228&gt;180,BH228-360,BH228)</f>
        <v>-39.2149160625282</v>
      </c>
      <c r="BJ228" s="0" t="n">
        <f aca="false">SUM((BF229&lt;0)*(BF228&gt;0))*A228</f>
        <v>0</v>
      </c>
      <c r="BK228" s="0" t="n">
        <f aca="false">IF(BJ228&gt;0,BI228,0)</f>
        <v>0</v>
      </c>
      <c r="BM228" s="0" t="n">
        <f aca="false">20*LOG(J228*F228*C228)</f>
        <v>6.44840076534849</v>
      </c>
      <c r="BN228" s="0" t="n">
        <f aca="false">(H228+D228)*180/Pi</f>
        <v>-160.743525315496</v>
      </c>
      <c r="BQ228" s="347" t="n">
        <f aca="false">20*LOG(BA228*7)</f>
        <v>47.3287136992803</v>
      </c>
      <c r="BR228" s="353"/>
      <c r="BS228" s="353"/>
      <c r="BT228" s="353" t="n">
        <v>15135.612</v>
      </c>
      <c r="BU228" s="353" t="n">
        <v>-3.87922</v>
      </c>
      <c r="BV228" s="353" t="n">
        <v>-189.453</v>
      </c>
      <c r="BW228" s="349"/>
      <c r="BY228" s="353"/>
      <c r="BZ228" s="353"/>
      <c r="CA228" s="353"/>
      <c r="CC228" s="353"/>
    </row>
    <row r="229" customFormat="false" ht="12.75" hidden="false" customHeight="false" outlineLevel="0" collapsed="false">
      <c r="A229" s="0" t="n">
        <f aca="false">A228+500</f>
        <v>97500</v>
      </c>
      <c r="B229" s="0" t="n">
        <f aca="false">A229/1000</f>
        <v>97.5</v>
      </c>
      <c r="C229" s="0" t="n">
        <f aca="false">SQRT((A229/Fesr)^2+1)</f>
        <v>1.00000018764584</v>
      </c>
      <c r="D229" s="0" t="n">
        <f aca="false">ATAN(A229/Fesr)</f>
        <v>0.000612610490114129</v>
      </c>
      <c r="F229" s="0" t="n">
        <f aca="false">(Ro/(Ro+Rdcr))/SQRT((A229/(Q*Fo))^2+(1-(A229^2/Fo^2))^2)</f>
        <v>0.230656471561588</v>
      </c>
      <c r="G229" s="0" t="n">
        <f aca="false">-ATAN(A229*Fo/(Q*(Fo^2-A229^2)))</f>
        <v>0.333097058950689</v>
      </c>
      <c r="H229" s="0" t="n">
        <f aca="false">IF(G229&gt;0,G229-Pi,G229)</f>
        <v>-2.80849559104931</v>
      </c>
      <c r="J229" s="0" t="n">
        <f aca="false">Vin/Vramp</f>
        <v>9</v>
      </c>
      <c r="M229" s="0" t="n">
        <f aca="false">1/(2*Pi*_Rfb1*(Cc1ea_u+Cc2ea_u)*A229)</f>
        <v>0.0604577182426425</v>
      </c>
      <c r="N229" s="0" t="n">
        <f aca="false">-Pi/2</f>
        <v>-1.570796325</v>
      </c>
      <c r="O229" s="0" t="n">
        <f aca="false">SQRT(1+(A229/Fz1_u)^2)</f>
        <v>2.58323703791347</v>
      </c>
      <c r="P229" s="0" t="n">
        <f aca="false">ATAN2(Fz1_u,A229)</f>
        <v>1.17329987469282</v>
      </c>
      <c r="Q229" s="0" t="n">
        <f aca="false">SQRT(1+(A229/Fz2_u)^2)</f>
        <v>2702.71058250258</v>
      </c>
      <c r="R229" s="0" t="n">
        <f aca="false">ATAN2(Fz2_u,A229)</f>
        <v>1.5704263278652</v>
      </c>
      <c r="S229" s="0" t="n">
        <f aca="false">1/SQRT(1+(A229/Fp1_u)^2)</f>
        <v>0.137121732338049</v>
      </c>
      <c r="T229" s="0" t="n">
        <f aca="false">-ATAN2(Fp1_u,A229)</f>
        <v>-1.43324121525305</v>
      </c>
      <c r="U229" s="0" t="n">
        <f aca="false">1/SQRT(1+(A229/Fp2_u)^2)</f>
        <v>0.966719124652679</v>
      </c>
      <c r="V229" s="0" t="n">
        <f aca="false">-ATAN2(Fp2_u,A229)</f>
        <v>-0.258716579259241</v>
      </c>
      <c r="X229" s="0" t="n">
        <f aca="false">20*LOG(C229*J229*O229*Q229*F229*M229*S229*U229)</f>
        <v>41.3006078010108</v>
      </c>
      <c r="Y229" s="0" t="n">
        <f aca="false">(180/Pi)*(D229+H229+N229+P229+R229+T229+V229)</f>
        <v>-190.617953461416</v>
      </c>
      <c r="Z229" s="0" t="n">
        <f aca="false">Y229+180</f>
        <v>-10.6179534614155</v>
      </c>
      <c r="AC229" s="0" t="n">
        <v>1</v>
      </c>
      <c r="AD229" s="0" t="n">
        <f aca="false">Rcea1_u*Cc1ea_u*A229*2*Pi</f>
        <v>2.381829883524</v>
      </c>
      <c r="AE229" s="0" t="n">
        <f aca="false">-Rcea1_u*Cc1ea_u*Cc2ea_u*(A229*2*Pi)^2</f>
        <v>-0.000218870123227159</v>
      </c>
      <c r="AF229" s="0" t="n">
        <f aca="false">(Cc2ea_u+Cc1ea_u)*A229*2*Pi</f>
        <v>0.0008270242651125</v>
      </c>
      <c r="AG229" s="0" t="n">
        <f aca="false">AC229*AE229/(AE229^2+AF229^2)+AD229*AF229/(AE229^2+AF229^2)</f>
        <v>2392.43741688126</v>
      </c>
      <c r="AH229" s="0" t="n">
        <f aca="false">AD229*AE229/(AE229^2+AF229^2)-AC229*AF229/(AE229^2+AF229^2)</f>
        <v>-1842.30757974049</v>
      </c>
      <c r="AJ229" s="0" t="n">
        <f aca="false">_Rfb1</f>
        <v>20000</v>
      </c>
      <c r="AK229" s="0" t="n">
        <f aca="false">_Rfb1*Rcea2_u*Cc3ea_u*A229*2*Pi</f>
        <v>144478.07606232</v>
      </c>
      <c r="AL229" s="0" t="n">
        <v>1</v>
      </c>
      <c r="AM229" s="0" t="n">
        <f aca="false">(_Rfb1+Rcea2_u)*Cc3ea_u*A229*2*Pi</f>
        <v>2702.71039750312</v>
      </c>
      <c r="AN229" s="0" t="n">
        <f aca="false">AJ229*AL229/(AL229^2+AM229^2)+AK229*AM229/(AL229^2+AM229^2)</f>
        <v>53.4594666135105</v>
      </c>
      <c r="AO229" s="0" t="n">
        <f aca="false">AK229*AL229/(AL229^2+AM229^2)-AJ229*AM229/(AL229^2+AM229^2)</f>
        <v>-7.38019898536447</v>
      </c>
      <c r="AQ229" s="0" t="n">
        <f aca="false">Eadcg/(1+(Eadcg*A229/GBP)^2)</f>
        <v>1.19720063765795</v>
      </c>
      <c r="AR229" s="0" t="n">
        <f aca="false">-(A229*Eadcg*Eadcg/GBP)/(1+(Eadcg*A229/GBP)^2)</f>
        <v>-61.5151617644595</v>
      </c>
      <c r="AT229" s="0" t="n">
        <f aca="false">-AR229*AH229+AG229*AQ229</f>
        <v>-110465.621186579</v>
      </c>
      <c r="AU229" s="0" t="n">
        <f aca="false">AQ229*AH229+AG229*AR229</f>
        <v>-149376.786520024</v>
      </c>
      <c r="AV229" s="0" t="n">
        <f aca="false">ATAN2(AT229,AU229)</f>
        <v>-2.20754993571136</v>
      </c>
      <c r="AW229" s="0" t="n">
        <f aca="false">AG229-AH229*AO229/_Rfb2+AG229*AN229/_Rfb2+AN229-AO229*AR229+AQ229*AN229</f>
        <v>2107.3402808316</v>
      </c>
      <c r="AX229" s="0" t="n">
        <f aca="false">AH229+AH229*AN229/_Rfb2+AG229*AO229/_Rfb2+AO229+AO229*AQ229+AN229*AR229</f>
        <v>-5199.3565443654</v>
      </c>
      <c r="AY229" s="0" t="n">
        <f aca="false">ATAN2(AW229,AX229)</f>
        <v>-1.18572256562018</v>
      </c>
      <c r="BA229" s="0" t="n">
        <f aca="false">SQRT(AT229^2+AU229^2)/SQRT(AW229^2+AX229^2)</f>
        <v>33.1156609914452</v>
      </c>
      <c r="BB229" s="0" t="n">
        <f aca="false">20*LOG(BA229)</f>
        <v>30.4006685604936</v>
      </c>
      <c r="BC229" s="0" t="n">
        <f aca="false">AV229-AY229</f>
        <v>-1.02182737009118</v>
      </c>
      <c r="BD229" s="0" t="n">
        <f aca="false">BC229*180/Pi-180</f>
        <v>-238.546395764076</v>
      </c>
      <c r="BF229" s="0" t="n">
        <f aca="false">20*LOG(BA229*J229*F229*C229)</f>
        <v>36.7448332627025</v>
      </c>
      <c r="BG229" s="0" t="n">
        <f aca="false">(180/Pi)*(D229+H229+BC229)</f>
        <v>-219.426240100564</v>
      </c>
      <c r="BH229" s="0" t="n">
        <f aca="false">IF(BG229&gt;180,BG229-180,BG229+180)</f>
        <v>-39.4262401005641</v>
      </c>
      <c r="BI229" s="0" t="n">
        <f aca="false">IF(BH229&gt;180,BH229-360,BH229)</f>
        <v>-39.4262401005641</v>
      </c>
      <c r="BJ229" s="0" t="n">
        <f aca="false">SUM((BF230&lt;0)*(BF229&gt;0))*A229</f>
        <v>0</v>
      </c>
      <c r="BK229" s="0" t="n">
        <f aca="false">IF(BJ229&gt;0,BI229,0)</f>
        <v>0</v>
      </c>
      <c r="BM229" s="0" t="n">
        <f aca="false">20*LOG(J229*F229*C229)</f>
        <v>6.34416470220887</v>
      </c>
      <c r="BN229" s="0" t="n">
        <f aca="false">(H229+D229)*180/Pi</f>
        <v>-160.879844336488</v>
      </c>
      <c r="BQ229" s="347" t="n">
        <f aca="false">20*LOG(BA229*7)</f>
        <v>47.3026293607787</v>
      </c>
      <c r="BR229" s="353"/>
      <c r="BS229" s="353"/>
      <c r="BT229" s="353" t="n">
        <v>15488.166</v>
      </c>
      <c r="BU229" s="353" t="n">
        <v>-3.98229</v>
      </c>
      <c r="BV229" s="353" t="n">
        <v>-188.481</v>
      </c>
      <c r="BW229" s="349"/>
      <c r="BY229" s="353"/>
      <c r="BZ229" s="353"/>
      <c r="CA229" s="353"/>
      <c r="CC229" s="353"/>
    </row>
    <row r="230" customFormat="false" ht="12.75" hidden="false" customHeight="false" outlineLevel="0" collapsed="false">
      <c r="A230" s="0" t="n">
        <f aca="false">A229+500</f>
        <v>98000</v>
      </c>
      <c r="B230" s="0" t="n">
        <f aca="false">A230/1000</f>
        <v>98</v>
      </c>
      <c r="C230" s="0" t="n">
        <f aca="false">SQRT((A230/Fesr)^2+1)</f>
        <v>1.00000018957534</v>
      </c>
      <c r="D230" s="0" t="n">
        <f aca="false">ATAN(A230/Fesr)</f>
        <v>0.000615752081579059</v>
      </c>
      <c r="F230" s="0" t="n">
        <f aca="false">(Ro/(Ro+Rdcr))/SQRT((A230/(Q*Fo))^2+(1-(A230^2/Fo^2))^2)</f>
        <v>0.227922987174151</v>
      </c>
      <c r="G230" s="0" t="n">
        <f aca="false">-ATAN(A230*Fo/(Q*(Fo^2-A230^2)))</f>
        <v>0.330751007207021</v>
      </c>
      <c r="H230" s="0" t="n">
        <f aca="false">IF(G230&gt;0,G230-Pi,G230)</f>
        <v>-2.81084164279298</v>
      </c>
      <c r="J230" s="0" t="n">
        <f aca="false">Vin/Vramp</f>
        <v>9</v>
      </c>
      <c r="M230" s="0" t="n">
        <f aca="false">1/(2*Pi*_Rfb1*(Cc1ea_u+Cc2ea_u)*A230)</f>
        <v>0.0601492604965066</v>
      </c>
      <c r="N230" s="0" t="n">
        <f aca="false">-Pi/2</f>
        <v>-1.570796325</v>
      </c>
      <c r="O230" s="0" t="n">
        <f aca="false">SQRT(1+(A230/Fz1_u)^2)</f>
        <v>2.59450353031338</v>
      </c>
      <c r="P230" s="0" t="n">
        <f aca="false">ATAN2(Fz1_u,A230)</f>
        <v>1.17512233401706</v>
      </c>
      <c r="Q230" s="0" t="n">
        <f aca="false">SQRT(1+(A230/Fz2_u)^2)</f>
        <v>2716.57063487924</v>
      </c>
      <c r="R230" s="0" t="n">
        <f aca="false">ATAN2(Fz2_u,A230)</f>
        <v>1.57042821561467</v>
      </c>
      <c r="S230" s="0" t="n">
        <f aca="false">1/SQRT(1+(A230/Fp1_u)^2)</f>
        <v>0.136435187188798</v>
      </c>
      <c r="T230" s="0" t="n">
        <f aca="false">-ATAN2(Fp1_u,A230)</f>
        <v>-1.43393427401728</v>
      </c>
      <c r="U230" s="0" t="n">
        <f aca="false">1/SQRT(1+(A230/Fp2_u)^2)</f>
        <v>0.9663939656571</v>
      </c>
      <c r="V230" s="0" t="n">
        <f aca="false">-ATAN2(Fp2_u,A230)</f>
        <v>-0.259984488757263</v>
      </c>
      <c r="X230" s="0" t="n">
        <f aca="false">20*LOG(C230*J230*O230*Q230*F230*M230*S230*U230)</f>
        <v>41.1883376111394</v>
      </c>
      <c r="Y230" s="0" t="n">
        <f aca="false">(180/Pi)*(D230+H230+N230+P230+R230+T230+V230)</f>
        <v>-190.760020142573</v>
      </c>
      <c r="Z230" s="0" t="n">
        <f aca="false">Y230+180</f>
        <v>-10.7600201425728</v>
      </c>
      <c r="AC230" s="0" t="n">
        <v>1</v>
      </c>
      <c r="AD230" s="0" t="n">
        <f aca="false">Rcea1_u*Cc1ea_u*A230*2*Pi</f>
        <v>2.3940443957472</v>
      </c>
      <c r="AE230" s="0" t="n">
        <f aca="false">-Rcea1_u*Cc1ea_u*Cc2ea_u*(A230*2*Pi)^2</f>
        <v>-0.000221120700957121</v>
      </c>
      <c r="AF230" s="0" t="n">
        <f aca="false">(Cc2ea_u+Cc1ea_u)*A230*2*Pi</f>
        <v>0.00083126541519</v>
      </c>
      <c r="AG230" s="0" t="n">
        <f aca="false">AC230*AE230/(AE230^2+AF230^2)+AD230*AF230/(AE230^2+AF230^2)</f>
        <v>2390.82827995765</v>
      </c>
      <c r="AH230" s="0" t="n">
        <f aca="false">AD230*AE230/(AE230^2+AF230^2)-AC230*AF230/(AE230^2+AF230^2)</f>
        <v>-1838.95732602197</v>
      </c>
      <c r="AJ230" s="0" t="n">
        <f aca="false">_Rfb1</f>
        <v>20000</v>
      </c>
      <c r="AK230" s="0" t="n">
        <f aca="false">_Rfb1*Rcea2_u*Cc3ea_u*A230*2*Pi</f>
        <v>145218.989272896</v>
      </c>
      <c r="AL230" s="0" t="n">
        <v>1</v>
      </c>
      <c r="AM230" s="0" t="n">
        <f aca="false">(_Rfb1+Rcea2_u)*Cc3ea_u*A230*2*Pi</f>
        <v>2716.57045082364</v>
      </c>
      <c r="AN230" s="0" t="n">
        <f aca="false">AJ230*AL230/(AL230^2+AM230^2)+AK230*AM230/(AL230^2+AM230^2)</f>
        <v>53.4594388206584</v>
      </c>
      <c r="AO230" s="0" t="n">
        <f aca="false">AK230*AL230/(AL230^2+AM230^2)-AJ230*AM230/(AL230^2+AM230^2)</f>
        <v>-7.34254491913939</v>
      </c>
      <c r="AQ230" s="0" t="n">
        <f aca="false">Eadcg/(1+(Eadcg*A230/GBP)^2)</f>
        <v>1.18502003536085</v>
      </c>
      <c r="AR230" s="0" t="n">
        <f aca="false">-(A230*Eadcg*Eadcg/GBP)/(1+(Eadcg*A230/GBP)^2)</f>
        <v>-61.2015447462464</v>
      </c>
      <c r="AT230" s="0" t="n">
        <f aca="false">-AR230*AH230+AG230*AQ230</f>
        <v>-109713.849662114</v>
      </c>
      <c r="AU230" s="0" t="n">
        <f aca="false">AQ230*AH230+AG230*AR230</f>
        <v>-148501.585231929</v>
      </c>
      <c r="AV230" s="0" t="n">
        <f aca="false">ATAN2(AT230,AU230)</f>
        <v>-2.20709464378248</v>
      </c>
      <c r="AW230" s="0" t="n">
        <f aca="false">AG230-AH230*AO230/_Rfb2+AG230*AN230/_Rfb2+AN230-AO230*AR230+AQ230*AN230</f>
        <v>2109.70250356648</v>
      </c>
      <c r="AX230" s="0" t="n">
        <f aca="false">AH230+AH230*AN230/_Rfb2+AG230*AO230/_Rfb2+AO230+AO230*AQ230+AN230*AR230</f>
        <v>-5178.94014668928</v>
      </c>
      <c r="AY230" s="0" t="n">
        <f aca="false">ATAN2(AW230,AX230)</f>
        <v>-1.18395970432341</v>
      </c>
      <c r="BA230" s="0" t="n">
        <f aca="false">SQRT(AT230^2+AU230^2)/SQRT(AW230^2+AX230^2)</f>
        <v>33.0166395973366</v>
      </c>
      <c r="BB230" s="0" t="n">
        <f aca="false">20*LOG(BA230)</f>
        <v>30.3746573818065</v>
      </c>
      <c r="BC230" s="0" t="n">
        <f aca="false">AV230-AY230</f>
        <v>-1.02313493945907</v>
      </c>
      <c r="BD230" s="0" t="n">
        <f aca="false">BC230*180/Pi-180</f>
        <v>-238.621313970363</v>
      </c>
      <c r="BF230" s="0" t="n">
        <f aca="false">20*LOG(BA230*J230*F230*C230)</f>
        <v>36.6152717804573</v>
      </c>
      <c r="BG230" s="0" t="n">
        <f aca="false">(180/Pi)*(D230+H230+BC230)</f>
        <v>-219.635397170504</v>
      </c>
      <c r="BH230" s="0" t="n">
        <f aca="false">IF(BG230&gt;180,BG230-180,BG230+180)</f>
        <v>-39.6353971705037</v>
      </c>
      <c r="BI230" s="0" t="n">
        <f aca="false">IF(BH230&gt;180,BH230-360,BH230)</f>
        <v>-39.6353971705037</v>
      </c>
      <c r="BJ230" s="0" t="n">
        <f aca="false">SUM((BF231&lt;0)*(BF230&gt;0))*A230</f>
        <v>0</v>
      </c>
      <c r="BK230" s="0" t="n">
        <f aca="false">IF(BJ230&gt;0,BI230,0)</f>
        <v>0</v>
      </c>
      <c r="BM230" s="0" t="n">
        <f aca="false">20*LOG(J230*F230*C230)</f>
        <v>6.24061439865082</v>
      </c>
      <c r="BN230" s="0" t="n">
        <f aca="false">(H230+D230)*180/Pi</f>
        <v>-161.014083200141</v>
      </c>
      <c r="BQ230" s="347" t="n">
        <f aca="false">20*LOG(BA230*7)</f>
        <v>47.2766181820916</v>
      </c>
      <c r="BR230" s="353"/>
      <c r="BS230" s="353"/>
      <c r="BT230" s="353" t="n">
        <v>15848.932</v>
      </c>
      <c r="BU230" s="353" t="n">
        <v>-3.94504</v>
      </c>
      <c r="BV230" s="353" t="n">
        <v>-186.144</v>
      </c>
      <c r="BW230" s="349"/>
      <c r="BY230" s="353"/>
      <c r="BZ230" s="353"/>
      <c r="CA230" s="353"/>
      <c r="CC230" s="353"/>
    </row>
    <row r="231" customFormat="false" ht="12.75" hidden="false" customHeight="false" outlineLevel="0" collapsed="false">
      <c r="A231" s="0" t="n">
        <f aca="false">A230+500</f>
        <v>98500</v>
      </c>
      <c r="B231" s="0" t="n">
        <f aca="false">A231/1000</f>
        <v>98.5</v>
      </c>
      <c r="C231" s="0" t="n">
        <f aca="false">SQRT((A231/Fesr)^2+1)</f>
        <v>1.00000019151472</v>
      </c>
      <c r="D231" s="0" t="n">
        <f aca="false">ATAN(A231/Fesr)</f>
        <v>0.000618893673031835</v>
      </c>
      <c r="F231" s="0" t="n">
        <f aca="false">(Ro/(Ro+Rdcr))/SQRT((A231/(Q*Fo))^2+(1-(A231^2/Fo^2))^2)</f>
        <v>0.225239441640139</v>
      </c>
      <c r="G231" s="0" t="n">
        <f aca="false">-ATAN(A231*Fo/(Q*(Fo^2-A231^2)))</f>
        <v>0.32844041327444</v>
      </c>
      <c r="H231" s="0" t="n">
        <f aca="false">IF(G231&gt;0,G231-Pi,G231)</f>
        <v>-2.81315223672556</v>
      </c>
      <c r="J231" s="0" t="n">
        <f aca="false">Vin/Vramp</f>
        <v>9</v>
      </c>
      <c r="M231" s="0" t="n">
        <f aca="false">1/(2*Pi*_Rfb1*(Cc1ea_u+Cc2ea_u)*A231)</f>
        <v>0.0598439343010928</v>
      </c>
      <c r="N231" s="0" t="n">
        <f aca="false">-Pi/2</f>
        <v>-1.570796325</v>
      </c>
      <c r="O231" s="0" t="n">
        <f aca="false">SQRT(1+(A231/Fz1_u)^2)</f>
        <v>2.60577856545542</v>
      </c>
      <c r="P231" s="0" t="n">
        <f aca="false">ATAN2(Fz1_u,A231)</f>
        <v>1.17692902797179</v>
      </c>
      <c r="Q231" s="0" t="n">
        <f aca="false">SQRT(1+(A231/Fz2_u)^2)</f>
        <v>2730.43068726547</v>
      </c>
      <c r="R231" s="0" t="n">
        <f aca="false">ATAN2(Fz2_u,A231)</f>
        <v>1.57043008419917</v>
      </c>
      <c r="S231" s="0" t="n">
        <f aca="false">1/SQRT(1+(A231/Fp1_u)^2)</f>
        <v>0.135755418382978</v>
      </c>
      <c r="T231" s="0" t="n">
        <f aca="false">-ATAN2(Fp1_u,A231)</f>
        <v>-1.43462042697603</v>
      </c>
      <c r="U231" s="0" t="n">
        <f aca="false">1/SQRT(1+(A231/Fp2_u)^2)</f>
        <v>0.966067473847398</v>
      </c>
      <c r="V231" s="0" t="n">
        <f aca="false">-ATAN2(Fp2_u,A231)</f>
        <v>-0.261251543576126</v>
      </c>
      <c r="X231" s="0" t="n">
        <f aca="false">20*LOG(C231*J231*O231*Q231*F231*M231*S231*U231)</f>
        <v>41.076809372721</v>
      </c>
      <c r="Y231" s="0" t="n">
        <f aca="false">(180/Pi)*(D231+H231+N231+P231+R231+T231+V231)</f>
        <v>-190.900514984993</v>
      </c>
      <c r="Z231" s="0" t="n">
        <f aca="false">Y231+180</f>
        <v>-10.9005149849933</v>
      </c>
      <c r="AC231" s="0" t="n">
        <v>1</v>
      </c>
      <c r="AD231" s="0" t="n">
        <f aca="false">Rcea1_u*Cc1ea_u*A231*2*Pi</f>
        <v>2.4062589079704</v>
      </c>
      <c r="AE231" s="0" t="n">
        <f aca="false">-Rcea1_u*Cc1ea_u*Cc2ea_u*(A231*2*Pi)^2</f>
        <v>-0.00022338279059363</v>
      </c>
      <c r="AF231" s="0" t="n">
        <f aca="false">(Cc2ea_u+Cc1ea_u)*A231*2*Pi</f>
        <v>0.0008355065652675</v>
      </c>
      <c r="AG231" s="0" t="n">
        <f aca="false">AC231*AE231/(AE231^2+AF231^2)+AD231*AF231/(AE231^2+AF231^2)</f>
        <v>2389.21309190628</v>
      </c>
      <c r="AH231" s="0" t="n">
        <f aca="false">AD231*AE231/(AE231^2+AF231^2)-AC231*AF231/(AE231^2+AF231^2)</f>
        <v>-1835.6637177373</v>
      </c>
      <c r="AJ231" s="0" t="n">
        <f aca="false">_Rfb1</f>
        <v>20000</v>
      </c>
      <c r="AK231" s="0" t="n">
        <f aca="false">_Rfb1*Rcea2_u*Cc3ea_u*A231*2*Pi</f>
        <v>145959.902483472</v>
      </c>
      <c r="AL231" s="0" t="n">
        <v>1</v>
      </c>
      <c r="AM231" s="0" t="n">
        <f aca="false">(_Rfb1+Rcea2_u)*Cc3ea_u*A231*2*Pi</f>
        <v>2730.43050414417</v>
      </c>
      <c r="AN231" s="0" t="n">
        <f aca="false">AJ231*AL231/(AL231^2+AM231^2)+AK231*AM231/(AL231^2+AM231^2)</f>
        <v>53.4594114499726</v>
      </c>
      <c r="AO231" s="0" t="n">
        <f aca="false">AK231*AL231/(AL231^2+AM231^2)-AJ231*AM231/(AL231^2+AM231^2)</f>
        <v>-7.3052731275437</v>
      </c>
      <c r="AQ231" s="0" t="n">
        <f aca="false">Eadcg/(1+(Eadcg*A231/GBP)^2)</f>
        <v>1.17302436152603</v>
      </c>
      <c r="AR231" s="0" t="n">
        <f aca="false">-(A231*Eadcg*Eadcg/GBP)/(1+(Eadcg*A231/GBP)^2)</f>
        <v>-60.8911080946354</v>
      </c>
      <c r="AT231" s="0" t="n">
        <f aca="false">-AR231*AH231+AG231*AQ231</f>
        <v>-108972.992700459</v>
      </c>
      <c r="AU231" s="0" t="n">
        <f aca="false">AQ231*AH231+AG231*AR231</f>
        <v>-147635.110900859</v>
      </c>
      <c r="AV231" s="0" t="n">
        <f aca="false">ATAN2(AT231,AU231)</f>
        <v>-2.20665325522531</v>
      </c>
      <c r="AW231" s="0" t="n">
        <f aca="false">AG231-AH231*AO231/_Rfb2+AG231*AN231/_Rfb2+AN231-AO231*AR231+AQ231*AN231</f>
        <v>2111.99767507189</v>
      </c>
      <c r="AX231" s="0" t="n">
        <f aca="false">AH231+AH231*AN231/_Rfb2+AG231*AO231/_Rfb2+AO231+AO231*AQ231+AN231*AR231</f>
        <v>-5158.75536576189</v>
      </c>
      <c r="AY231" s="0" t="n">
        <f aca="false">ATAN2(AW231,AX231)</f>
        <v>-1.18221232258098</v>
      </c>
      <c r="BA231" s="0" t="n">
        <f aca="false">SQRT(AT231^2+AU231^2)/SQRT(AW231^2+AX231^2)</f>
        <v>32.9181881033965</v>
      </c>
      <c r="BB231" s="0" t="n">
        <f aca="false">20*LOG(BA231)</f>
        <v>30.3487184516111</v>
      </c>
      <c r="BC231" s="0" t="n">
        <f aca="false">AV231-AY231</f>
        <v>-1.02444093264432</v>
      </c>
      <c r="BD231" s="0" t="n">
        <f aca="false">BC231*180/Pi-180</f>
        <v>-238.696141868036</v>
      </c>
      <c r="BF231" s="0" t="n">
        <f aca="false">20*LOG(BA231*J231*F231*C231)</f>
        <v>36.4864591452949</v>
      </c>
      <c r="BG231" s="0" t="n">
        <f aca="false">(180/Pi)*(D231+H231+BC231)</f>
        <v>-219.842432348902</v>
      </c>
      <c r="BH231" s="0" t="n">
        <f aca="false">IF(BG231&gt;180,BG231-180,BG231+180)</f>
        <v>-39.8424323489022</v>
      </c>
      <c r="BI231" s="0" t="n">
        <f aca="false">IF(BH231&gt;180,BH231-360,BH231)</f>
        <v>-39.8424323489022</v>
      </c>
      <c r="BJ231" s="0" t="n">
        <f aca="false">SUM((BF232&lt;0)*(BF231&gt;0))*A231</f>
        <v>0</v>
      </c>
      <c r="BK231" s="0" t="n">
        <f aca="false">IF(BJ231&gt;0,BI231,0)</f>
        <v>0</v>
      </c>
      <c r="BM231" s="0" t="n">
        <f aca="false">20*LOG(J231*F231*C231)</f>
        <v>6.13774069368385</v>
      </c>
      <c r="BN231" s="0" t="n">
        <f aca="false">(H231+D231)*180/Pi</f>
        <v>-161.146290480867</v>
      </c>
      <c r="BQ231" s="347" t="n">
        <f aca="false">20*LOG(BA231*7)</f>
        <v>47.2506792518962</v>
      </c>
      <c r="BR231" s="353"/>
      <c r="BS231" s="353"/>
      <c r="BT231" s="353" t="n">
        <v>16218.101</v>
      </c>
      <c r="BU231" s="353" t="n">
        <v>-3.96397</v>
      </c>
      <c r="BV231" s="353" t="n">
        <v>-185.626</v>
      </c>
      <c r="BW231" s="349"/>
      <c r="BY231" s="353"/>
      <c r="BZ231" s="353"/>
      <c r="CA231" s="353"/>
      <c r="CC231" s="353"/>
    </row>
    <row r="232" customFormat="false" ht="12.75" hidden="false" customHeight="false" outlineLevel="0" collapsed="false">
      <c r="A232" s="0" t="n">
        <f aca="false">A231+500</f>
        <v>99000</v>
      </c>
      <c r="B232" s="0" t="n">
        <f aca="false">A232/1000</f>
        <v>99</v>
      </c>
      <c r="C232" s="0" t="n">
        <f aca="false">SQRT((A232/Fesr)^2+1)</f>
        <v>1.00000019346397</v>
      </c>
      <c r="D232" s="0" t="n">
        <f aca="false">ATAN(A232/Fesr)</f>
        <v>0.000622035264472394</v>
      </c>
      <c r="F232" s="0" t="n">
        <f aca="false">(Ro/(Ro+Rdcr))/SQRT((A232/(Q*Fo))^2+(1-(A232^2/Fo^2))^2)</f>
        <v>0.222604601023467</v>
      </c>
      <c r="G232" s="0" t="n">
        <f aca="false">-ATAN(A232*Fo/(Q*(Fo^2-A232^2)))</f>
        <v>0.326164455617126</v>
      </c>
      <c r="H232" s="0" t="n">
        <f aca="false">IF(G232&gt;0,G232-Pi,G232)</f>
        <v>-2.81542819438287</v>
      </c>
      <c r="J232" s="0" t="n">
        <f aca="false">Vin/Vramp</f>
        <v>9</v>
      </c>
      <c r="M232" s="0" t="n">
        <f aca="false">1/(2*Pi*_Rfb1*(Cc1ea_u+Cc2ea_u)*A232)</f>
        <v>0.0595416922086631</v>
      </c>
      <c r="N232" s="0" t="n">
        <f aca="false">-Pi/2</f>
        <v>-1.570796325</v>
      </c>
      <c r="O232" s="0" t="n">
        <f aca="false">SQRT(1+(A232/Fz1_u)^2)</f>
        <v>2.61706203292603</v>
      </c>
      <c r="P232" s="0" t="n">
        <f aca="false">ATAN2(Fz1_u,A232)</f>
        <v>1.17872014860287</v>
      </c>
      <c r="Q232" s="0" t="n">
        <f aca="false">SQRT(1+(A232/Fz2_u)^2)</f>
        <v>2744.29073966115</v>
      </c>
      <c r="R232" s="0" t="n">
        <f aca="false">ATAN2(Fz2_u,A232)</f>
        <v>1.57043193390909</v>
      </c>
      <c r="S232" s="0" t="n">
        <f aca="false">1/SQRT(1+(A232/Fp1_u)^2)</f>
        <v>0.135082327042391</v>
      </c>
      <c r="T232" s="0" t="n">
        <f aca="false">-ATAN2(Fp1_u,A232)</f>
        <v>-1.43529977619775</v>
      </c>
      <c r="U232" s="0" t="n">
        <f aca="false">1/SQRT(1+(A232/Fp2_u)^2)</f>
        <v>0.965739653717317</v>
      </c>
      <c r="V232" s="0" t="n">
        <f aca="false">-ATAN2(Fp2_u,A232)</f>
        <v>-0.262517740515523</v>
      </c>
      <c r="X232" s="0" t="n">
        <f aca="false">20*LOG(C232*J232*O232*Q232*F232*M232*S232*U232)</f>
        <v>40.9660127626495</v>
      </c>
      <c r="Y232" s="0" t="n">
        <f aca="false">(180/Pi)*(D232+H232+N232+P232+R232+T232+V232)</f>
        <v>-191.039479703885</v>
      </c>
      <c r="Z232" s="0" t="n">
        <f aca="false">Y232+180</f>
        <v>-11.039479703885</v>
      </c>
      <c r="AC232" s="0" t="n">
        <v>1</v>
      </c>
      <c r="AD232" s="0" t="n">
        <f aca="false">Rcea1_u*Cc1ea_u*A232*2*Pi</f>
        <v>2.4184734201936</v>
      </c>
      <c r="AE232" s="0" t="n">
        <f aca="false">-Rcea1_u*Cc1ea_u*Cc2ea_u*(A232*2*Pi)^2</f>
        <v>-0.000225656392136687</v>
      </c>
      <c r="AF232" s="0" t="n">
        <f aca="false">(Cc2ea_u+Cc1ea_u)*A232*2*Pi</f>
        <v>0.000839747715345</v>
      </c>
      <c r="AG232" s="0" t="n">
        <f aca="false">AC232*AE232/(AE232^2+AF232^2)+AD232*AF232/(AE232^2+AF232^2)</f>
        <v>2387.59188163083</v>
      </c>
      <c r="AH232" s="0" t="n">
        <f aca="false">AD232*AE232/(AE232^2+AF232^2)-AC232*AF232/(AE232^2+AF232^2)</f>
        <v>-1832.4257890615</v>
      </c>
      <c r="AJ232" s="0" t="n">
        <f aca="false">_Rfb1</f>
        <v>20000</v>
      </c>
      <c r="AK232" s="0" t="n">
        <f aca="false">_Rfb1*Rcea2_u*Cc3ea_u*A232*2*Pi</f>
        <v>146700.815694048</v>
      </c>
      <c r="AL232" s="0" t="n">
        <v>1</v>
      </c>
      <c r="AM232" s="0" t="n">
        <f aca="false">(_Rfb1+Rcea2_u)*Cc3ea_u*A232*2*Pi</f>
        <v>2744.2905574647</v>
      </c>
      <c r="AN232" s="0" t="n">
        <f aca="false">AJ232*AL232/(AL232^2+AM232^2)+AK232*AM232/(AL232^2+AM232^2)</f>
        <v>53.459384492946</v>
      </c>
      <c r="AO232" s="0" t="n">
        <f aca="false">AK232*AL232/(AL232^2+AM232^2)-AJ232*AM232/(AL232^2+AM232^2)</f>
        <v>-7.26837781854067</v>
      </c>
      <c r="AQ232" s="0" t="n">
        <f aca="false">Eadcg/(1+(Eadcg*A232/GBP)^2)</f>
        <v>1.16120989196779</v>
      </c>
      <c r="AR232" s="0" t="n">
        <f aca="false">-(A232*Eadcg*Eadcg/GBP)/(1+(Eadcg*A232/GBP)^2)</f>
        <v>-60.5838036936353</v>
      </c>
      <c r="AT232" s="0" t="n">
        <f aca="false">-AR232*AH232+AG232*AQ232</f>
        <v>-108242.828976725</v>
      </c>
      <c r="AU232" s="0" t="n">
        <f aca="false">AQ232*AH232+AG232*AR232</f>
        <v>-146777.228809795</v>
      </c>
      <c r="AV232" s="0" t="n">
        <f aca="false">ATAN2(AT232,AU232)</f>
        <v>-2.20622559004855</v>
      </c>
      <c r="AW232" s="0" t="n">
        <f aca="false">AG232-AH232*AO232/_Rfb2+AG232*AN232/_Rfb2+AN232-AO232*AR232+AQ232*AN232</f>
        <v>2114.2270505397</v>
      </c>
      <c r="AX232" s="0" t="n">
        <f aca="false">AH232+AH232*AN232/_Rfb2+AG232*AO232/_Rfb2+AO232+AO232*AQ232+AN232*AR232</f>
        <v>-5138.79855841268</v>
      </c>
      <c r="AY232" s="0" t="n">
        <f aca="false">ATAN2(AW232,AX232)</f>
        <v>-1.18048030005021</v>
      </c>
      <c r="BA232" s="0" t="n">
        <f aca="false">SQRT(AT232^2+AU232^2)/SQRT(AW232^2+AX232^2)</f>
        <v>32.820299823409</v>
      </c>
      <c r="BB232" s="0" t="n">
        <f aca="false">20*LOG(BA232)</f>
        <v>30.3228508829444</v>
      </c>
      <c r="BC232" s="0" t="n">
        <f aca="false">AV232-AY232</f>
        <v>-1.02574528999834</v>
      </c>
      <c r="BD232" s="0" t="n">
        <f aca="false">BC232*180/Pi-180</f>
        <v>-238.770876039483</v>
      </c>
      <c r="BF232" s="0" t="n">
        <f aca="false">20*LOG(BA232*J232*F232*C232)</f>
        <v>36.3583854829694</v>
      </c>
      <c r="BG232" s="0" t="n">
        <f aca="false">(180/Pi)*(D232+H232+BC232)</f>
        <v>-220.047389288683</v>
      </c>
      <c r="BH232" s="0" t="n">
        <f aca="false">IF(BG232&gt;180,BG232-180,BG232+180)</f>
        <v>-40.0473892886827</v>
      </c>
      <c r="BI232" s="0" t="n">
        <f aca="false">IF(BH232&gt;180,BH232-360,BH232)</f>
        <v>-40.0473892886827</v>
      </c>
      <c r="BJ232" s="0" t="n">
        <f aca="false">SUM((BF233&lt;0)*(BF232&gt;0))*A232</f>
        <v>0</v>
      </c>
      <c r="BK232" s="0" t="n">
        <f aca="false">IF(BJ232&gt;0,BI232,0)</f>
        <v>0</v>
      </c>
      <c r="BM232" s="0" t="n">
        <f aca="false">20*LOG(J232*F232*C232)</f>
        <v>6.03553460002504</v>
      </c>
      <c r="BN232" s="0" t="n">
        <f aca="false">(H232+D232)*180/Pi</f>
        <v>-161.276513249199</v>
      </c>
      <c r="BQ232" s="347" t="n">
        <f aca="false">20*LOG(BA232*7)</f>
        <v>47.2248116832295</v>
      </c>
      <c r="BR232" s="353"/>
      <c r="BS232" s="353"/>
      <c r="BT232" s="353" t="n">
        <v>16595.869</v>
      </c>
      <c r="BU232" s="353" t="n">
        <v>-3.91065</v>
      </c>
      <c r="BV232" s="353" t="n">
        <v>-184.431</v>
      </c>
      <c r="BW232" s="349"/>
      <c r="BY232" s="353"/>
      <c r="BZ232" s="353"/>
      <c r="CA232" s="353"/>
      <c r="CC232" s="353"/>
    </row>
    <row r="233" customFormat="false" ht="12.75" hidden="false" customHeight="false" outlineLevel="0" collapsed="false">
      <c r="A233" s="0" t="n">
        <f aca="false">A232+500</f>
        <v>99500</v>
      </c>
      <c r="B233" s="0" t="n">
        <f aca="false">A233/1000</f>
        <v>99.5</v>
      </c>
      <c r="C233" s="0" t="n">
        <f aca="false">SQRT((A233/Fesr)^2+1)</f>
        <v>1.00000019542308</v>
      </c>
      <c r="D233" s="0" t="n">
        <f aca="false">ATAN(A233/Fesr)</f>
        <v>0.000625176855900675</v>
      </c>
      <c r="F233" s="0" t="n">
        <f aca="false">(Ro/(Ro+Rdcr))/SQRT((A233/(Q*Fo))^2+(1-(A233^2/Fo^2))^2)</f>
        <v>0.220017269545537</v>
      </c>
      <c r="G233" s="0" t="n">
        <f aca="false">-ATAN(A233*Fo/(Q*(Fo^2-A233^2)))</f>
        <v>0.323922337950251</v>
      </c>
      <c r="H233" s="0" t="n">
        <f aca="false">IF(G233&gt;0,G233-Pi,G233)</f>
        <v>-2.81767031204975</v>
      </c>
      <c r="J233" s="0" t="n">
        <f aca="false">Vin/Vramp</f>
        <v>9</v>
      </c>
      <c r="M233" s="0" t="n">
        <f aca="false">1/(2*Pi*_Rfb1*(Cc1ea_u+Cc2ea_u)*A233)</f>
        <v>0.0592424877252024</v>
      </c>
      <c r="N233" s="0" t="n">
        <f aca="false">-Pi/2</f>
        <v>-1.570796325</v>
      </c>
      <c r="O233" s="0" t="n">
        <f aca="false">SQRT(1+(A233/Fz1_u)^2)</f>
        <v>2.62835382412579</v>
      </c>
      <c r="P233" s="0" t="n">
        <f aca="false">ATAN2(Fz1_u,A233)</f>
        <v>1.18049588505931</v>
      </c>
      <c r="Q233" s="0" t="n">
        <f aca="false">SQRT(1+(A233/Fz2_u)^2)</f>
        <v>2758.15079206612</v>
      </c>
      <c r="R233" s="0" t="n">
        <f aca="false">ATAN2(Fz2_u,A233)</f>
        <v>1.57043376502895</v>
      </c>
      <c r="S233" s="0" t="n">
        <f aca="false">1/SQRT(1+(A233/Fp1_u)^2)</f>
        <v>0.134415816184324</v>
      </c>
      <c r="T233" s="0" t="n">
        <f aca="false">-ATAN2(Fp1_u,A233)</f>
        <v>-1.43597242176182</v>
      </c>
      <c r="U233" s="0" t="n">
        <f aca="false">1/SQRT(1+(A233/Fp2_u)^2)</f>
        <v>0.965410509770491</v>
      </c>
      <c r="V233" s="0" t="n">
        <f aca="false">-ATAN2(Fp2_u,A233)</f>
        <v>-0.263783076390481</v>
      </c>
      <c r="X233" s="0" t="n">
        <f aca="false">20*LOG(C233*J233*O233*Q233*F233*M233*S233*U233)</f>
        <v>40.8559376564273</v>
      </c>
      <c r="Y233" s="0" t="n">
        <f aca="false">(180/Pi)*(D233+H233+N233+P233+R233+T233+V233)</f>
        <v>-191.176954620905</v>
      </c>
      <c r="Z233" s="0" t="n">
        <f aca="false">Y233+180</f>
        <v>-11.1769546209052</v>
      </c>
      <c r="AC233" s="0" t="n">
        <v>1</v>
      </c>
      <c r="AD233" s="0" t="n">
        <f aca="false">Rcea1_u*Cc1ea_u*A233*2*Pi</f>
        <v>2.4306879324168</v>
      </c>
      <c r="AE233" s="0" t="n">
        <f aca="false">-Rcea1_u*Cc1ea_u*Cc2ea_u*(A233*2*Pi)^2</f>
        <v>-0.000227941505586291</v>
      </c>
      <c r="AF233" s="0" t="n">
        <f aca="false">(Cc2ea_u+Cc1ea_u)*A233*2*Pi</f>
        <v>0.0008439888654225</v>
      </c>
      <c r="AG233" s="0" t="n">
        <f aca="false">AC233*AE233/(AE233^2+AF233^2)+AD233*AF233/(AE233^2+AF233^2)</f>
        <v>2385.96467808082</v>
      </c>
      <c r="AH233" s="0" t="n">
        <f aca="false">AD233*AE233/(AE233^2+AF233^2)-AC233*AF233/(AE233^2+AF233^2)</f>
        <v>-1829.24259341336</v>
      </c>
      <c r="AJ233" s="0" t="n">
        <f aca="false">_Rfb1</f>
        <v>20000</v>
      </c>
      <c r="AK233" s="0" t="n">
        <f aca="false">_Rfb1*Rcea2_u*Cc3ea_u*A233*2*Pi</f>
        <v>147441.728904624</v>
      </c>
      <c r="AL233" s="0" t="n">
        <v>1</v>
      </c>
      <c r="AM233" s="0" t="n">
        <f aca="false">(_Rfb1+Rcea2_u)*Cc3ea_u*A233*2*Pi</f>
        <v>2758.15061078523</v>
      </c>
      <c r="AN233" s="0" t="n">
        <f aca="false">AJ233*AL233/(AL233^2+AM233^2)+AK233*AM233/(AL233^2+AM233^2)</f>
        <v>53.4593579412846</v>
      </c>
      <c r="AO233" s="0" t="n">
        <f aca="false">AK233*AL233/(AL233^2+AM233^2)-AJ233*AM233/(AL233^2+AM233^2)</f>
        <v>-7.23185331651633</v>
      </c>
      <c r="AQ233" s="0" t="n">
        <f aca="false">Eadcg/(1+(Eadcg*A233/GBP)^2)</f>
        <v>1.14957299576882</v>
      </c>
      <c r="AR233" s="0" t="n">
        <f aca="false">-(A233*Eadcg*Eadcg/GBP)/(1+(Eadcg*A233/GBP)^2)</f>
        <v>-60.2795843926317</v>
      </c>
      <c r="AT233" s="0" t="n">
        <f aca="false">-AR233*AH233+AG233*AQ233</f>
        <v>-107523.142721477</v>
      </c>
      <c r="AU233" s="0" t="n">
        <f aca="false">AQ233*AH233+AG233*AR233</f>
        <v>-145927.807058309</v>
      </c>
      <c r="AV233" s="0" t="n">
        <f aca="false">ATAN2(AT233,AU233)</f>
        <v>-2.20581147086665</v>
      </c>
      <c r="AW233" s="0" t="n">
        <f aca="false">AG233-AH233*AO233/_Rfb2+AG233*AN233/_Rfb2+AN233-AO233*AR233+AQ233*AN233</f>
        <v>2116.39185451466</v>
      </c>
      <c r="AX233" s="0" t="n">
        <f aca="false">AH233+AH233*AN233/_Rfb2+AG233*AO233/_Rfb2+AO233+AO233*AQ233+AN233*AR233</f>
        <v>-5119.06615511932</v>
      </c>
      <c r="AY233" s="0" t="n">
        <f aca="false">ATAN2(AW233,AX233)</f>
        <v>-1.17876351761177</v>
      </c>
      <c r="BA233" s="0" t="n">
        <f aca="false">SQRT(AT233^2+AU233^2)/SQRT(AW233^2+AX233^2)</f>
        <v>32.7229682240097</v>
      </c>
      <c r="BB233" s="0" t="n">
        <f aca="false">20*LOG(BA233)</f>
        <v>30.2970538124807</v>
      </c>
      <c r="BC233" s="0" t="n">
        <f aca="false">AV233-AY233</f>
        <v>-1.02704795325488</v>
      </c>
      <c r="BD233" s="0" t="n">
        <f aca="false">BC233*180/Pi-180</f>
        <v>-238.845513146295</v>
      </c>
      <c r="BF233" s="0" t="n">
        <f aca="false">20*LOG(BA233*J233*F233*C233)</f>
        <v>36.2310411127688</v>
      </c>
      <c r="BG233" s="0" t="n">
        <f aca="false">(180/Pi)*(D233+H233+BC233)</f>
        <v>-220.250310275195</v>
      </c>
      <c r="BH233" s="0" t="n">
        <f aca="false">IF(BG233&gt;180,BG233-180,BG233+180)</f>
        <v>-40.2503102751949</v>
      </c>
      <c r="BI233" s="0" t="n">
        <f aca="false">IF(BH233&gt;180,BH233-360,BH233)</f>
        <v>-40.2503102751949</v>
      </c>
      <c r="BJ233" s="0" t="n">
        <f aca="false">SUM((BF234&lt;0)*(BF233&gt;0))*A233</f>
        <v>0</v>
      </c>
      <c r="BK233" s="0" t="n">
        <f aca="false">IF(BJ233&gt;0,BI233,0)</f>
        <v>0</v>
      </c>
      <c r="BM233" s="0" t="n">
        <f aca="false">20*LOG(J233*F233*C233)</f>
        <v>5.93398730028807</v>
      </c>
      <c r="BN233" s="0" t="n">
        <f aca="false">(H233+D233)*180/Pi</f>
        <v>-161.4047971289</v>
      </c>
      <c r="BQ233" s="347" t="n">
        <f aca="false">20*LOG(BA233*7)</f>
        <v>47.1990146127659</v>
      </c>
      <c r="BR233" s="353"/>
      <c r="BS233" s="353"/>
      <c r="BT233" s="353" t="n">
        <v>16982.437</v>
      </c>
      <c r="BU233" s="353" t="n">
        <v>-3.94888</v>
      </c>
      <c r="BV233" s="353" t="n">
        <v>-182.722</v>
      </c>
      <c r="BW233" s="349"/>
      <c r="BY233" s="353"/>
      <c r="BZ233" s="353"/>
      <c r="CA233" s="353"/>
      <c r="CC233" s="353"/>
    </row>
    <row r="234" customFormat="false" ht="12.75" hidden="false" customHeight="false" outlineLevel="0" collapsed="false">
      <c r="A234" s="0" t="n">
        <f aca="false">A233+500</f>
        <v>100000</v>
      </c>
      <c r="B234" s="0" t="n">
        <f aca="false">A234/1000</f>
        <v>100</v>
      </c>
      <c r="C234" s="0" t="n">
        <f aca="false">SQRT((A234/Fesr)^2+1)</f>
        <v>1.00000019739207</v>
      </c>
      <c r="D234" s="0" t="n">
        <f aca="false">ATAN(A234/Fesr)</f>
        <v>0.000628318447316615</v>
      </c>
      <c r="F234" s="0" t="n">
        <f aca="false">(Ro/(Ro+Rdcr))/SQRT((A234/(Q*Fo))^2+(1-(A234^2/Fo^2))^2)</f>
        <v>0.217476288185751</v>
      </c>
      <c r="G234" s="0" t="n">
        <f aca="false">-ATAN(A234*Fo/(Q*(Fo^2-A234^2)))</f>
        <v>0.321713288287599</v>
      </c>
      <c r="H234" s="0" t="n">
        <f aca="false">IF(G234&gt;0,G234-Pi,G234)</f>
        <v>-2.8198793617124</v>
      </c>
      <c r="J234" s="0" t="n">
        <f aca="false">Vin/Vramp</f>
        <v>9</v>
      </c>
      <c r="M234" s="0" t="n">
        <f aca="false">1/(2*Pi*_Rfb1*(Cc1ea_u+Cc2ea_u)*A234)</f>
        <v>0.0589462752865764</v>
      </c>
      <c r="N234" s="0" t="n">
        <f aca="false">-Pi/2</f>
        <v>-1.570796325</v>
      </c>
      <c r="O234" s="0" t="n">
        <f aca="false">SQRT(1+(A234/Fz1_u)^2)</f>
        <v>2.63965383223408</v>
      </c>
      <c r="P234" s="0" t="n">
        <f aca="false">ATAN2(Fz1_u,A234)</f>
        <v>1.18225642364291</v>
      </c>
      <c r="Q234" s="0" t="n">
        <f aca="false">SQRT(1+(A234/Fz2_u)^2)</f>
        <v>2772.01084448024</v>
      </c>
      <c r="R234" s="0" t="n">
        <f aca="false">ATAN2(Fz2_u,A234)</f>
        <v>1.57043557783763</v>
      </c>
      <c r="S234" s="0" t="n">
        <f aca="false">1/SQRT(1+(A234/Fp1_u)^2)</f>
        <v>0.133755790676821</v>
      </c>
      <c r="T234" s="0" t="n">
        <f aca="false">-ATAN2(Fp1_u,A234)</f>
        <v>-1.43663846180647</v>
      </c>
      <c r="U234" s="0" t="n">
        <f aca="false">1/SQRT(1+(A234/Fp2_u)^2)</f>
        <v>0.965080046520285</v>
      </c>
      <c r="V234" s="0" t="n">
        <f aca="false">-ATAN2(Fp2_u,A234)</f>
        <v>-0.265047548031386</v>
      </c>
      <c r="X234" s="0" t="n">
        <f aca="false">20*LOG(C234*J234*O234*Q234*F234*M234*S234*U234)</f>
        <v>40.7465741237297</v>
      </c>
      <c r="Y234" s="0" t="n">
        <f aca="false">(180/Pi)*(D234+H234+N234+P234+R234+T234+V234)</f>
        <v>-191.312978718623</v>
      </c>
      <c r="Z234" s="0" t="n">
        <f aca="false">Y234+180</f>
        <v>-11.3129787186228</v>
      </c>
      <c r="AC234" s="0" t="n">
        <v>1</v>
      </c>
      <c r="AD234" s="0" t="n">
        <f aca="false">Rcea1_u*Cc1ea_u*A234*2*Pi</f>
        <v>2.44290244464</v>
      </c>
      <c r="AE234" s="0" t="n">
        <f aca="false">-Rcea1_u*Cc1ea_u*Cc2ea_u*(A234*2*Pi)^2</f>
        <v>-0.000230238130942442</v>
      </c>
      <c r="AF234" s="0" t="n">
        <f aca="false">(Cc2ea_u+Cc1ea_u)*A234*2*Pi</f>
        <v>0.0008482300155</v>
      </c>
      <c r="AG234" s="0" t="n">
        <f aca="false">AC234*AE234/(AE234^2+AF234^2)+AD234*AF234/(AE234^2+AF234^2)</f>
        <v>2384.33151025048</v>
      </c>
      <c r="AH234" s="0" t="n">
        <f aca="false">AD234*AE234/(AE234^2+AF234^2)-AC234*AF234/(AE234^2+AF234^2)</f>
        <v>-1826.11320297854</v>
      </c>
      <c r="AJ234" s="0" t="n">
        <f aca="false">_Rfb1</f>
        <v>20000</v>
      </c>
      <c r="AK234" s="0" t="n">
        <f aca="false">_Rfb1*Rcea2_u*Cc3ea_u*A234*2*Pi</f>
        <v>148182.6421152</v>
      </c>
      <c r="AL234" s="0" t="n">
        <v>1</v>
      </c>
      <c r="AM234" s="0" t="n">
        <f aca="false">(_Rfb1+Rcea2_u)*Cc3ea_u*A234*2*Pi</f>
        <v>2772.01066410576</v>
      </c>
      <c r="AN234" s="0" t="n">
        <f aca="false">AJ234*AL234/(AL234^2+AM234^2)+AK234*AM234/(AL234^2+AM234^2)</f>
        <v>53.4593317869016</v>
      </c>
      <c r="AO234" s="0" t="n">
        <f aca="false">AK234*AL234/(AL234^2+AM234^2)-AJ234*AM234/(AL234^2+AM234^2)</f>
        <v>-7.19569405936892</v>
      </c>
      <c r="AQ234" s="0" t="n">
        <f aca="false">Eadcg/(1+(Eadcg*A234/GBP)^2)</f>
        <v>1.13811013249157</v>
      </c>
      <c r="AR234" s="0" t="n">
        <f aca="false">-(A234*Eadcg*Eadcg/GBP)/(1+(Eadcg*A234/GBP)^2)</f>
        <v>-59.9784039823057</v>
      </c>
      <c r="AT234" s="0" t="n">
        <f aca="false">-AR234*AH234+AG234*AQ234</f>
        <v>-106813.723554634</v>
      </c>
      <c r="AU234" s="0" t="n">
        <f aca="false">AQ234*AH234+AG234*AR234</f>
        <v>-145086.716488931</v>
      </c>
      <c r="AV234" s="0" t="n">
        <f aca="false">ATAN2(AT234,AU234)</f>
        <v>-2.20541072285784</v>
      </c>
      <c r="AW234" s="0" t="n">
        <f aca="false">AG234-AH234*AO234/_Rfb2+AG234*AN234/_Rfb2+AN234-AO234*AR234+AQ234*AN234</f>
        <v>2118.4932818109</v>
      </c>
      <c r="AX234" s="0" t="n">
        <f aca="false">AH234+AH234*AN234/_Rfb2+AG234*AO234/_Rfb2+AO234+AO234*AQ234+AN234*AR234</f>
        <v>-5099.55465815314</v>
      </c>
      <c r="AY234" s="0" t="n">
        <f aca="false">ATAN2(AW234,AX234)</f>
        <v>-1.17706185734614</v>
      </c>
      <c r="BA234" s="0" t="n">
        <f aca="false">SQRT(AT234^2+AU234^2)/SQRT(AW234^2+AX234^2)</f>
        <v>32.6261869199892</v>
      </c>
      <c r="BB234" s="0" t="n">
        <f aca="false">20*LOG(BA234)</f>
        <v>30.2713263998312</v>
      </c>
      <c r="BC234" s="0" t="n">
        <f aca="false">AV234-AY234</f>
        <v>-1.0283488655117</v>
      </c>
      <c r="BD234" s="0" t="n">
        <f aca="false">BC234*180/Pi-180</f>
        <v>-238.920049928213</v>
      </c>
      <c r="BF234" s="0" t="n">
        <f aca="false">20*LOG(BA234*J234*F234*C234)</f>
        <v>36.1044165430746</v>
      </c>
      <c r="BG234" s="0" t="n">
        <f aca="false">(180/Pi)*(D234+H234+BC234)</f>
        <v>-220.451236279732</v>
      </c>
      <c r="BH234" s="0" t="n">
        <f aca="false">IF(BG234&gt;180,BG234-180,BG234+180)</f>
        <v>-40.4512362797324</v>
      </c>
      <c r="BI234" s="0" t="n">
        <f aca="false">IF(BH234&gt;180,BH234-360,BH234)</f>
        <v>-40.4512362797324</v>
      </c>
      <c r="BJ234" s="0" t="n">
        <f aca="false">SUM((BF235&lt;0)*(BF234&gt;0))*A234</f>
        <v>0</v>
      </c>
      <c r="BK234" s="0" t="n">
        <f aca="false">IF(BJ234&gt;0,BI234,0)</f>
        <v>0</v>
      </c>
      <c r="BM234" s="0" t="n">
        <f aca="false">20*LOG(J234*F234*C234)</f>
        <v>5.83309014324347</v>
      </c>
      <c r="BN234" s="0" t="n">
        <f aca="false">(H234+D234)*180/Pi</f>
        <v>-161.53118635152</v>
      </c>
      <c r="BQ234" s="347" t="n">
        <f aca="false">20*LOG(BA234*7)</f>
        <v>47.1732872001163</v>
      </c>
      <c r="BR234" s="353"/>
      <c r="BS234" s="353"/>
      <c r="BT234" s="353" t="n">
        <v>17378.008</v>
      </c>
      <c r="BU234" s="353" t="n">
        <v>-3.80289</v>
      </c>
      <c r="BV234" s="353" t="n">
        <v>-181.726</v>
      </c>
      <c r="BW234" s="349"/>
      <c r="BY234" s="353"/>
      <c r="BZ234" s="353"/>
      <c r="CA234" s="353"/>
      <c r="CC234" s="353"/>
    </row>
    <row r="235" customFormat="false" ht="12.75" hidden="false" customHeight="false" outlineLevel="0" collapsed="false">
      <c r="A235" s="0" t="n">
        <f aca="false">A234+5000</f>
        <v>105000</v>
      </c>
      <c r="B235" s="0" t="n">
        <f aca="false">A235/1000</f>
        <v>105</v>
      </c>
      <c r="C235" s="0" t="n">
        <f aca="false">SQRT((A235/Fesr)^2+1)</f>
        <v>1.00000021762475</v>
      </c>
      <c r="D235" s="0" t="n">
        <f aca="false">ATAN(A235/Fesr)</f>
        <v>0.000659734360783649</v>
      </c>
      <c r="F235" s="0" t="n">
        <f aca="false">(Ro/(Ro+Rdcr))/SQRT((A235/(Q*Fo))^2+(1-(A235^2/Fo^2))^2)</f>
        <v>0.194384502538821</v>
      </c>
      <c r="G235" s="0" t="n">
        <f aca="false">-ATAN(A235*Fo/(Q*(Fo^2-A235^2)))</f>
        <v>0.301287359248225</v>
      </c>
      <c r="H235" s="0" t="n">
        <f aca="false">IF(G235&gt;0,G235-Pi,G235)</f>
        <v>-2.84030529075177</v>
      </c>
      <c r="J235" s="0" t="n">
        <f aca="false">Vin/Vramp</f>
        <v>9</v>
      </c>
      <c r="M235" s="0" t="n">
        <f aca="false">1/(2*Pi*_Rfb1*(Cc1ea_u+Cc2ea_u)*A235)</f>
        <v>0.0561393097967395</v>
      </c>
      <c r="N235" s="0" t="n">
        <f aca="false">-Pi/2</f>
        <v>-1.570796325</v>
      </c>
      <c r="O235" s="0" t="n">
        <f aca="false">SQRT(1+(A235/Fz1_u)^2)</f>
        <v>2.75308354764543</v>
      </c>
      <c r="P235" s="0" t="n">
        <f aca="false">ATAN2(Fz1_u,A235)</f>
        <v>1.19906497211575</v>
      </c>
      <c r="Q235" s="0" t="n">
        <f aca="false">SQRT(1+(A235/Fz2_u)^2)</f>
        <v>2910.61136909627</v>
      </c>
      <c r="R235" s="0" t="n">
        <f aca="false">ATAN2(Fz2_u,A235)</f>
        <v>1.57045275635801</v>
      </c>
      <c r="S235" s="0" t="n">
        <f aca="false">1/SQRT(1+(A235/Fp1_u)^2)</f>
        <v>0.127492540576091</v>
      </c>
      <c r="T235" s="0" t="n">
        <f aca="false">-ATAN2(Fp1_u,A235)</f>
        <v>-1.44295585051647</v>
      </c>
      <c r="U235" s="0" t="n">
        <f aca="false">1/SQRT(1+(A235/Fp2_u)^2)</f>
        <v>0.96170385192448</v>
      </c>
      <c r="V235" s="0" t="n">
        <f aca="false">-ATAN2(Fp2_u,A235)</f>
        <v>-0.277644045279509</v>
      </c>
      <c r="X235" s="0" t="n">
        <f aca="false">20*LOG(C235*J235*O235*Q235*F235*M235*S235*U235)</f>
        <v>39.6900210779379</v>
      </c>
      <c r="Y235" s="0" t="n">
        <f aca="false">(180/Pi)*(D235+H235+N235+P235+R235+T235+V235)</f>
        <v>-192.601140943075</v>
      </c>
      <c r="Z235" s="0" t="n">
        <f aca="false">Y235+180</f>
        <v>-12.6011409430746</v>
      </c>
      <c r="AC235" s="0" t="n">
        <v>1</v>
      </c>
      <c r="AD235" s="0" t="n">
        <f aca="false">Rcea1_u*Cc1ea_u*A235*2*Pi</f>
        <v>2.565047566872</v>
      </c>
      <c r="AE235" s="0" t="n">
        <f aca="false">-Rcea1_u*Cc1ea_u*Cc2ea_u*(A235*2*Pi)^2</f>
        <v>-0.000253837539364042</v>
      </c>
      <c r="AF235" s="0" t="n">
        <f aca="false">(Cc2ea_u+Cc1ea_u)*A235*2*Pi</f>
        <v>0.000890641516275</v>
      </c>
      <c r="AG235" s="0" t="n">
        <f aca="false">AC235*AE235/(AE235^2+AF235^2)+AD235*AF235/(AE235^2+AF235^2)</f>
        <v>2367.67820494434</v>
      </c>
      <c r="AH235" s="0" t="n">
        <f aca="false">AD235*AE235/(AE235^2+AF235^2)-AC235*AF235/(AE235^2+AF235^2)</f>
        <v>-1797.58699801572</v>
      </c>
      <c r="AJ235" s="0" t="n">
        <f aca="false">_Rfb1</f>
        <v>20000</v>
      </c>
      <c r="AK235" s="0" t="n">
        <f aca="false">_Rfb1*Rcea2_u*Cc3ea_u*A235*2*Pi</f>
        <v>155591.77422096</v>
      </c>
      <c r="AL235" s="0" t="n">
        <v>1</v>
      </c>
      <c r="AM235" s="0" t="n">
        <f aca="false">(_Rfb1+Rcea2_u)*Cc3ea_u*A235*2*Pi</f>
        <v>2910.61119731105</v>
      </c>
      <c r="AN235" s="0" t="n">
        <f aca="false">AJ235*AL235/(AL235^2+AM235^2)+AK235*AM235/(AL235^2+AM235^2)</f>
        <v>53.459090450402</v>
      </c>
      <c r="AO235" s="0" t="n">
        <f aca="false">AK235*AL235/(AL235^2+AM235^2)-AJ235*AM235/(AL235^2+AM235^2)</f>
        <v>-6.85304204421982</v>
      </c>
      <c r="AQ235" s="0" t="n">
        <f aca="false">Eadcg/(1+(Eadcg*A235/GBP)^2)</f>
        <v>1.03233398511795</v>
      </c>
      <c r="AR235" s="0" t="n">
        <f aca="false">-(A235*Eadcg*Eadcg/GBP)/(1+(Eadcg*A235/GBP)^2)</f>
        <v>-57.1242010665019</v>
      </c>
      <c r="AT235" s="0" t="n">
        <f aca="false">-AR235*AH235+AG235*AQ235</f>
        <v>-100241.486432392</v>
      </c>
      <c r="AU235" s="0" t="n">
        <f aca="false">AQ235*AH235+AG235*AR235</f>
        <v>-137107.435989272</v>
      </c>
      <c r="AV235" s="0" t="n">
        <f aca="false">ATAN2(AT235,AU235)</f>
        <v>-2.20210194887928</v>
      </c>
      <c r="AW235" s="0" t="n">
        <f aca="false">AG235-AH235*AO235/_Rfb2+AG235*AN235/_Rfb2+AN235-AO235*AR235+AQ235*AN235</f>
        <v>2136.26512244699</v>
      </c>
      <c r="AX235" s="0" t="n">
        <f aca="false">AH235+AH235*AN235/_Rfb2+AG235*AO235/_Rfb2+AO235+AO235*AQ235+AN235*AR235</f>
        <v>-4915.86792387698</v>
      </c>
      <c r="AY235" s="0" t="n">
        <f aca="false">ATAN2(AW235,AX235)</f>
        <v>-1.1608518461702</v>
      </c>
      <c r="BA235" s="0" t="n">
        <f aca="false">SQRT(AT235^2+AU235^2)/SQRT(AW235^2+AX235^2)</f>
        <v>31.6873326699117</v>
      </c>
      <c r="BB235" s="0" t="n">
        <f aca="false">20*LOG(BA235)</f>
        <v>30.0177136664234</v>
      </c>
      <c r="BC235" s="0" t="n">
        <f aca="false">AV235-AY235</f>
        <v>-1.04125010270907</v>
      </c>
      <c r="BD235" s="0" t="n">
        <f aca="false">BC235*180/Pi-180</f>
        <v>-239.659236370964</v>
      </c>
      <c r="BF235" s="0" t="n">
        <f aca="false">20*LOG(BA235*J235*F235*C235)</f>
        <v>34.8757984953286</v>
      </c>
      <c r="BG235" s="0" t="n">
        <f aca="false">(180/Pi)*(D235+H235+BC235)</f>
        <v>-222.358942251158</v>
      </c>
      <c r="BH235" s="0" t="n">
        <f aca="false">IF(BG235&gt;180,BG235-180,BG235+180)</f>
        <v>-42.3589422511577</v>
      </c>
      <c r="BI235" s="0" t="n">
        <f aca="false">IF(BH235&gt;180,BH235-360,BH235)</f>
        <v>-42.3589422511577</v>
      </c>
      <c r="BJ235" s="0" t="n">
        <f aca="false">SUM((BF236&lt;0)*(BF235&gt;0))*A235</f>
        <v>0</v>
      </c>
      <c r="BK235" s="0" t="n">
        <f aca="false">IF(BJ235&gt;0,BI235,0)</f>
        <v>0</v>
      </c>
      <c r="BM235" s="0" t="n">
        <f aca="false">20*LOG(J235*F235*C235)</f>
        <v>4.85808482890517</v>
      </c>
      <c r="BN235" s="0" t="n">
        <f aca="false">(H235+D235)*180/Pi</f>
        <v>-162.699705880194</v>
      </c>
      <c r="BQ235" s="347" t="n">
        <f aca="false">20*LOG(BA235*7)</f>
        <v>46.9196744667085</v>
      </c>
      <c r="BR235" s="353"/>
      <c r="BS235" s="353"/>
      <c r="BT235" s="353" t="n">
        <v>17782.794</v>
      </c>
      <c r="BU235" s="353" t="n">
        <v>-3.84742</v>
      </c>
      <c r="BV235" s="353" t="n">
        <v>-180.351</v>
      </c>
      <c r="BW235" s="349"/>
      <c r="BY235" s="353"/>
      <c r="BZ235" s="353"/>
      <c r="CA235" s="353"/>
      <c r="CC235" s="353"/>
    </row>
    <row r="236" customFormat="false" ht="12.75" hidden="false" customHeight="false" outlineLevel="0" collapsed="false">
      <c r="A236" s="0" t="n">
        <f aca="false">A235+5000</f>
        <v>110000</v>
      </c>
      <c r="B236" s="0" t="n">
        <f aca="false">A236/1000</f>
        <v>110</v>
      </c>
      <c r="C236" s="0" t="n">
        <f aca="false">SQRT((A236/Fesr)^2+1)</f>
        <v>1.0000002388444</v>
      </c>
      <c r="D236" s="0" t="n">
        <f aca="false">ATAN(A236/Fesr)</f>
        <v>0.000691150272948421</v>
      </c>
      <c r="F236" s="0" t="n">
        <f aca="false">(Ro/(Ro+Rdcr))/SQRT((A236/(Q*Fo))^2+(1-(A236^2/Fo^2))^2)</f>
        <v>0.174880485332167</v>
      </c>
      <c r="G236" s="0" t="n">
        <f aca="false">-ATAN(A236*Fo/(Q*(Fo^2-A236^2)))</f>
        <v>0.283468945663715</v>
      </c>
      <c r="H236" s="0" t="n">
        <f aca="false">IF(G236&gt;0,G236-Pi,G236)</f>
        <v>-2.85812370433629</v>
      </c>
      <c r="J236" s="0" t="n">
        <f aca="false">Vin/Vramp</f>
        <v>9</v>
      </c>
      <c r="M236" s="0" t="n">
        <f aca="false">1/(2*Pi*_Rfb1*(Cc1ea_u+Cc2ea_u)*A236)</f>
        <v>0.0535875229877968</v>
      </c>
      <c r="N236" s="0" t="n">
        <f aca="false">-Pi/2</f>
        <v>-1.570796325</v>
      </c>
      <c r="O236" s="0" t="n">
        <f aca="false">SQRT(1+(A236/Fz1_u)^2)</f>
        <v>2.86722942025468</v>
      </c>
      <c r="P236" s="0" t="n">
        <f aca="false">ATAN2(Fz1_u,A236)</f>
        <v>1.21453929396785</v>
      </c>
      <c r="Q236" s="0" t="n">
        <f aca="false">SQRT(1+(A236/Fz2_u)^2)</f>
        <v>3049.21189449314</v>
      </c>
      <c r="R236" s="0" t="n">
        <f aca="false">ATAN2(Fz2_u,A236)</f>
        <v>1.57046837319491</v>
      </c>
      <c r="S236" s="0" t="n">
        <f aca="false">1/SQRT(1+(A236/Fp1_u)^2)</f>
        <v>0.121785391069973</v>
      </c>
      <c r="T236" s="0" t="n">
        <f aca="false">-ATAN2(Fp1_u,A236)</f>
        <v>-1.44870786151874</v>
      </c>
      <c r="U236" s="0" t="n">
        <f aca="false">1/SQRT(1+(A236/Fp2_u)^2)</f>
        <v>0.958200758066533</v>
      </c>
      <c r="V236" s="0" t="n">
        <f aca="false">-ATAN2(Fp2_u,A236)</f>
        <v>-0.290150747413731</v>
      </c>
      <c r="X236" s="0" t="n">
        <f aca="false">20*LOG(C236*J236*O236*Q236*F236*M236*S236*U236)</f>
        <v>38.6949880093834</v>
      </c>
      <c r="Y236" s="0" t="n">
        <f aca="false">(180/Pi)*(D236+H236+N236+P236+R236+T236+V236)</f>
        <v>-193.77889993152</v>
      </c>
      <c r="Z236" s="0" t="n">
        <f aca="false">Y236+180</f>
        <v>-13.7788999315203</v>
      </c>
      <c r="AC236" s="0" t="n">
        <v>1</v>
      </c>
      <c r="AD236" s="0" t="n">
        <f aca="false">Rcea1_u*Cc1ea_u*A236*2*Pi</f>
        <v>2.687192689104</v>
      </c>
      <c r="AE236" s="0" t="n">
        <f aca="false">-Rcea1_u*Cc1ea_u*Cc2ea_u*(A236*2*Pi)^2</f>
        <v>-0.000278588138440354</v>
      </c>
      <c r="AF236" s="0" t="n">
        <f aca="false">(Cc2ea_u+Cc1ea_u)*A236*2*Pi</f>
        <v>0.00093305301705</v>
      </c>
      <c r="AG236" s="0" t="n">
        <f aca="false">AC236*AE236/(AE236^2+AF236^2)+AD236*AF236/(AE236^2+AF236^2)</f>
        <v>2350.46065346375</v>
      </c>
      <c r="AH236" s="0" t="n">
        <f aca="false">AD236*AE236/(AE236^2+AF236^2)-AC236*AF236/(AE236^2+AF236^2)</f>
        <v>-1773.54386909087</v>
      </c>
      <c r="AJ236" s="0" t="n">
        <f aca="false">_Rfb1</f>
        <v>20000</v>
      </c>
      <c r="AK236" s="0" t="n">
        <f aca="false">_Rfb1*Rcea2_u*Cc3ea_u*A236*2*Pi</f>
        <v>163000.90632672</v>
      </c>
      <c r="AL236" s="0" t="n">
        <v>1</v>
      </c>
      <c r="AM236" s="0" t="n">
        <f aca="false">(_Rfb1+Rcea2_u)*Cc3ea_u*A236*2*Pi</f>
        <v>3049.21173051634</v>
      </c>
      <c r="AN236" s="0" t="n">
        <f aca="false">AJ236*AL236/(AL236^2+AM236^2)+AK236*AM236/(AL236^2+AM236^2)</f>
        <v>53.4588812693958</v>
      </c>
      <c r="AO236" s="0" t="n">
        <f aca="false">AK236*AL236/(AL236^2+AM236^2)-AJ236*AM236/(AL236^2+AM236^2)</f>
        <v>-6.54154020172058</v>
      </c>
      <c r="AQ236" s="0" t="n">
        <f aca="false">Eadcg/(1+(Eadcg*A236/GBP)^2)</f>
        <v>0.940645646439384</v>
      </c>
      <c r="AR236" s="0" t="n">
        <f aca="false">-(A236*Eadcg*Eadcg/GBP)/(1+(Eadcg*A236/GBP)^2)</f>
        <v>-54.5292281240911</v>
      </c>
      <c r="AT236" s="0" t="n">
        <f aca="false">-AR236*AH236+AG236*AQ236</f>
        <v>-94499.0276449314</v>
      </c>
      <c r="AU236" s="0" t="n">
        <f aca="false">AQ236*AH236+AG236*AR236</f>
        <v>-129837.081488655</v>
      </c>
      <c r="AV236" s="0" t="n">
        <f aca="false">ATAN2(AT236,AU236)</f>
        <v>-2.19995551592416</v>
      </c>
      <c r="AW236" s="0" t="n">
        <f aca="false">AG236-AH236*AO236/_Rfb2+AG236*AN236/_Rfb2+AN236-AO236*AR236+AQ236*AN236</f>
        <v>2148.82334053742</v>
      </c>
      <c r="AX236" s="0" t="n">
        <f aca="false">AH236+AH236*AN236/_Rfb2+AG236*AO236/_Rfb2+AO236+AO236*AQ236+AN236*AR236</f>
        <v>-4750.89449939338</v>
      </c>
      <c r="AY236" s="0" t="n">
        <f aca="false">ATAN2(AW236,AX236)</f>
        <v>-1.14603245656113</v>
      </c>
      <c r="BA236" s="0" t="n">
        <f aca="false">SQRT(AT236^2+AU236^2)/SQRT(AW236^2+AX236^2)</f>
        <v>30.797427630794</v>
      </c>
      <c r="BB236" s="0" t="n">
        <f aca="false">20*LOG(BA236)</f>
        <v>29.7702888674075</v>
      </c>
      <c r="BC236" s="0" t="n">
        <f aca="false">AV236-AY236</f>
        <v>-1.05392305936303</v>
      </c>
      <c r="BD236" s="0" t="n">
        <f aca="false">BC236*180/Pi-180</f>
        <v>-240.385343302018</v>
      </c>
      <c r="BF236" s="0" t="n">
        <f aca="false">20*LOG(BA236*J236*F236*C236)</f>
        <v>33.7099681281877</v>
      </c>
      <c r="BG236" s="0" t="n">
        <f aca="false">(180/Pi)*(D236+H236+BC236)</f>
        <v>-224.10416908021</v>
      </c>
      <c r="BH236" s="0" t="n">
        <f aca="false">IF(BG236&gt;180,BG236-180,BG236+180)</f>
        <v>-44.1041690802105</v>
      </c>
      <c r="BI236" s="0" t="n">
        <f aca="false">IF(BH236&gt;180,BH236-360,BH236)</f>
        <v>-44.1041690802105</v>
      </c>
      <c r="BJ236" s="0" t="n">
        <f aca="false">SUM((BF237&lt;0)*(BF236&gt;0))*A236</f>
        <v>0</v>
      </c>
      <c r="BK236" s="0" t="n">
        <f aca="false">IF(BJ236&gt;0,BI236,0)</f>
        <v>0</v>
      </c>
      <c r="BM236" s="0" t="n">
        <f aca="false">20*LOG(J236*F236*C236)</f>
        <v>3.93967926078019</v>
      </c>
      <c r="BN236" s="0" t="n">
        <f aca="false">(H236+D236)*180/Pi</f>
        <v>-163.718825778193</v>
      </c>
      <c r="BQ236" s="347" t="n">
        <f aca="false">20*LOG(BA236*7)</f>
        <v>46.6722496676926</v>
      </c>
      <c r="BR236" s="353"/>
      <c r="BS236" s="353"/>
      <c r="BT236" s="353" t="n">
        <v>18197.009</v>
      </c>
      <c r="BU236" s="353" t="n">
        <v>-3.83032</v>
      </c>
      <c r="BV236" s="353" t="n">
        <v>-179.43</v>
      </c>
      <c r="BY236" s="353"/>
      <c r="BZ236" s="353"/>
      <c r="CA236" s="353"/>
      <c r="CC236" s="353"/>
    </row>
    <row r="237" customFormat="false" ht="12.75" hidden="false" customHeight="false" outlineLevel="0" collapsed="false">
      <c r="A237" s="0" t="n">
        <f aca="false">A236+5000</f>
        <v>115000</v>
      </c>
      <c r="B237" s="0" t="n">
        <f aca="false">A237/1000</f>
        <v>115</v>
      </c>
      <c r="C237" s="0" t="n">
        <f aca="false">SQRT((A237/Fesr)^2+1)</f>
        <v>1.000000261051</v>
      </c>
      <c r="D237" s="0" t="n">
        <f aca="false">ATAN(A237/Fesr)</f>
        <v>0.000722566183748917</v>
      </c>
      <c r="F237" s="0" t="n">
        <f aca="false">(Ro/(Ro+Rdcr))/SQRT((A237/(Q*Fo))^2+(1-(A237^2/Fo^2))^2)</f>
        <v>0.158245078087703</v>
      </c>
      <c r="G237" s="0" t="n">
        <f aca="false">-ATAN(A237*Fo/(Q*(Fo^2-A237^2)))</f>
        <v>0.267775053964958</v>
      </c>
      <c r="H237" s="0" t="n">
        <f aca="false">IF(G237&gt;0,G237-Pi,G237)</f>
        <v>-2.87381759603504</v>
      </c>
      <c r="J237" s="0" t="n">
        <f aca="false">Vin/Vramp</f>
        <v>9</v>
      </c>
      <c r="M237" s="0" t="n">
        <f aca="false">1/(2*Pi*_Rfb1*(Cc1ea_u+Cc2ea_u)*A237)</f>
        <v>0.0512576306839795</v>
      </c>
      <c r="N237" s="0" t="n">
        <f aca="false">-Pi/2</f>
        <v>-1.570796325</v>
      </c>
      <c r="O237" s="0" t="n">
        <f aca="false">SQRT(1+(A237/Fz1_u)^2)</f>
        <v>2.98200921162262</v>
      </c>
      <c r="P237" s="0" t="n">
        <f aca="false">ATAN2(Fz1_u,A237)</f>
        <v>1.22882558446257</v>
      </c>
      <c r="Q237" s="0" t="n">
        <f aca="false">SQRT(1+(A237/Fz2_u)^2)</f>
        <v>3187.812420569</v>
      </c>
      <c r="R237" s="0" t="n">
        <f aca="false">ATAN2(Fz2_u,A237)</f>
        <v>1.57048263204613</v>
      </c>
      <c r="S237" s="0" t="n">
        <f aca="false">1/SQRT(1+(A237/Fp1_u)^2)</f>
        <v>0.116563930128468</v>
      </c>
      <c r="T237" s="0" t="n">
        <f aca="false">-ATAN2(Fp1_u,A237)</f>
        <v>-1.45396680764103</v>
      </c>
      <c r="U237" s="0" t="n">
        <f aca="false">1/SQRT(1+(A237/Fp2_u)^2)</f>
        <v>0.954575415012378</v>
      </c>
      <c r="V237" s="0" t="n">
        <f aca="false">-ATAN2(Fp2_u,A237)</f>
        <v>-0.302564741346701</v>
      </c>
      <c r="X237" s="0" t="n">
        <f aca="false">20*LOG(C237*J237*O237*Q237*F237*M237*S237*U237)</f>
        <v>37.7541505481635</v>
      </c>
      <c r="Y237" s="0" t="n">
        <f aca="false">(180/Pi)*(D237+H237+N237+P237+R237+T237+V237)</f>
        <v>-194.869517446655</v>
      </c>
      <c r="Z237" s="0" t="n">
        <f aca="false">Y237+180</f>
        <v>-14.8695174466552</v>
      </c>
      <c r="AC237" s="0" t="n">
        <v>1</v>
      </c>
      <c r="AD237" s="0" t="n">
        <f aca="false">Rcea1_u*Cc1ea_u*A237*2*Pi</f>
        <v>2.809337811336</v>
      </c>
      <c r="AE237" s="0" t="n">
        <f aca="false">-Rcea1_u*Cc1ea_u*Cc2ea_u*(A237*2*Pi)^2</f>
        <v>-0.000304489928171379</v>
      </c>
      <c r="AF237" s="0" t="n">
        <f aca="false">(Cc2ea_u+Cc1ea_u)*A237*2*Pi</f>
        <v>0.000975464517825</v>
      </c>
      <c r="AG237" s="0" t="n">
        <f aca="false">AC237*AE237/(AE237^2+AF237^2)+AD237*AF237/(AE237^2+AF237^2)</f>
        <v>2332.7084107419</v>
      </c>
      <c r="AH237" s="0" t="n">
        <f aca="false">AD237*AE237/(AE237^2+AF237^2)-AC237*AF237/(AE237^2+AF237^2)</f>
        <v>-1753.304384915</v>
      </c>
      <c r="AJ237" s="0" t="n">
        <f aca="false">_Rfb1</f>
        <v>20000</v>
      </c>
      <c r="AK237" s="0" t="n">
        <f aca="false">_Rfb1*Rcea2_u*Cc3ea_u*A237*2*Pi</f>
        <v>170410.03843248</v>
      </c>
      <c r="AL237" s="0" t="n">
        <v>1</v>
      </c>
      <c r="AM237" s="0" t="n">
        <f aca="false">(_Rfb1+Rcea2_u)*Cc3ea_u*A237*2*Pi</f>
        <v>3187.81226372162</v>
      </c>
      <c r="AN237" s="0" t="n">
        <f aca="false">AJ237*AL237/(AL237^2+AM237^2)+AK237*AM237/(AL237^2+AM237^2)</f>
        <v>53.4586987751263</v>
      </c>
      <c r="AO237" s="0" t="n">
        <f aca="false">AK237*AL237/(AL237^2+AM237^2)-AJ237*AM237/(AL237^2+AM237^2)</f>
        <v>-6.25712546758892</v>
      </c>
      <c r="AQ237" s="0" t="n">
        <f aca="false">Eadcg/(1+(Eadcg*A237/GBP)^2)</f>
        <v>0.860650310450272</v>
      </c>
      <c r="AR237" s="0" t="n">
        <f aca="false">-(A237*Eadcg*Eadcg/GBP)/(1+(Eadcg*A237/GBP)^2)</f>
        <v>-52.1597120648387</v>
      </c>
      <c r="AT237" s="0" t="n">
        <f aca="false">-AR237*AH237+AG237*AQ237</f>
        <v>-89444.2056612908</v>
      </c>
      <c r="AU237" s="0" t="n">
        <f aca="false">AQ237*AH237+AG237*AR237</f>
        <v>-123182.380998716</v>
      </c>
      <c r="AV237" s="0" t="n">
        <f aca="false">ATAN2(AT237,AU237)</f>
        <v>-2.19883301892791</v>
      </c>
      <c r="AW237" s="0" t="n">
        <f aca="false">AG237-AH237*AO237/_Rfb2+AG237*AN237/_Rfb2+AN237-AO237*AR237+AQ237*AN237</f>
        <v>2156.98630230444</v>
      </c>
      <c r="AX237" s="0" t="n">
        <f aca="false">AH237+AH237*AN237/_Rfb2+AG237*AO237/_Rfb2+AO237+AO237*AQ237+AN237*AR237</f>
        <v>-4602.08348191115</v>
      </c>
      <c r="AY237" s="0" t="n">
        <f aca="false">ATAN2(AW237,AX237)</f>
        <v>-1.1325025822813</v>
      </c>
      <c r="BA237" s="0" t="n">
        <f aca="false">SQRT(AT237^2+AU237^2)/SQRT(AW237^2+AX237^2)</f>
        <v>29.95194495328</v>
      </c>
      <c r="BB237" s="0" t="n">
        <f aca="false">20*LOG(BA237)</f>
        <v>29.5285005779466</v>
      </c>
      <c r="BC237" s="0" t="n">
        <f aca="false">AV237-AY237</f>
        <v>-1.06633043664661</v>
      </c>
      <c r="BD237" s="0" t="n">
        <f aca="false">BC237*180/Pi-180</f>
        <v>-241.096233656005</v>
      </c>
      <c r="BF237" s="0" t="n">
        <f aca="false">20*LOG(BA237*J237*F237*C237)</f>
        <v>32.5999572540986</v>
      </c>
      <c r="BG237" s="0" t="n">
        <f aca="false">(180/Pi)*(D237+H237+BC237)</f>
        <v>-225.712453194599</v>
      </c>
      <c r="BH237" s="0" t="n">
        <f aca="false">IF(BG237&gt;180,BG237-180,BG237+180)</f>
        <v>-45.7124531945993</v>
      </c>
      <c r="BI237" s="0" t="n">
        <f aca="false">IF(BH237&gt;180,BH237-360,BH237)</f>
        <v>-45.7124531945993</v>
      </c>
      <c r="BJ237" s="0" t="n">
        <f aca="false">SUM((BF238&lt;0)*(BF237&gt;0))*A237</f>
        <v>0</v>
      </c>
      <c r="BK237" s="0" t="n">
        <f aca="false">IF(BJ237&gt;0,BI237,0)</f>
        <v>0</v>
      </c>
      <c r="BM237" s="0" t="n">
        <f aca="false">20*LOG(J237*F237*C237)</f>
        <v>3.07145667615204</v>
      </c>
      <c r="BN237" s="0" t="n">
        <f aca="false">(H237+D237)*180/Pi</f>
        <v>-164.616219538594</v>
      </c>
      <c r="BQ237" s="347" t="n">
        <f aca="false">20*LOG(BA237*7)</f>
        <v>46.4304613782317</v>
      </c>
      <c r="BR237" s="353"/>
      <c r="BS237" s="353"/>
      <c r="BT237" s="353" t="n">
        <v>18620.871</v>
      </c>
      <c r="BU237" s="353" t="n">
        <v>-3.77474</v>
      </c>
      <c r="BV237" s="353" t="n">
        <v>-178.091</v>
      </c>
      <c r="BY237" s="353"/>
      <c r="BZ237" s="353"/>
      <c r="CA237" s="353"/>
      <c r="CC237" s="353"/>
    </row>
    <row r="238" customFormat="false" ht="12.75" hidden="false" customHeight="false" outlineLevel="0" collapsed="false">
      <c r="A238" s="0" t="n">
        <f aca="false">A237+5000</f>
        <v>120000</v>
      </c>
      <c r="B238" s="0" t="n">
        <f aca="false">A238/1000</f>
        <v>120</v>
      </c>
      <c r="C238" s="0" t="n">
        <f aca="false">SQRT((A238/Fesr)^2+1)</f>
        <v>1.00000028424457</v>
      </c>
      <c r="D238" s="0" t="n">
        <f aca="false">ATAN(A238/Fesr)</f>
        <v>0.000753982093123126</v>
      </c>
      <c r="F238" s="0" t="n">
        <f aca="false">(Ro/(Ro+Rdcr))/SQRT((A238/(Q*Fo))^2+(1-(A238^2/Fo^2))^2)</f>
        <v>0.143932423309009</v>
      </c>
      <c r="G238" s="0" t="n">
        <f aca="false">-ATAN(A238*Fo/(Q*(Fo^2-A238^2)))</f>
        <v>0.253836031611934</v>
      </c>
      <c r="H238" s="0" t="n">
        <f aca="false">IF(G238&gt;0,G238-Pi,G238)</f>
        <v>-2.88775661838807</v>
      </c>
      <c r="J238" s="0" t="n">
        <f aca="false">Vin/Vramp</f>
        <v>9</v>
      </c>
      <c r="M238" s="0" t="n">
        <f aca="false">1/(2*Pi*_Rfb1*(Cc1ea_u+Cc2ea_u)*A238)</f>
        <v>0.049121896072147</v>
      </c>
      <c r="N238" s="0" t="n">
        <f aca="false">-Pi/2</f>
        <v>-1.570796325</v>
      </c>
      <c r="O238" s="0" t="n">
        <f aca="false">SQRT(1+(A238/Fz1_u)^2)</f>
        <v>3.09735244843083</v>
      </c>
      <c r="P238" s="0" t="n">
        <f aca="false">ATAN2(Fz1_u,A238)</f>
        <v>1.24205038652353</v>
      </c>
      <c r="Q238" s="0" t="n">
        <f aca="false">SQRT(1+(A238/Fz2_u)^2)</f>
        <v>3326.41294723898</v>
      </c>
      <c r="R238" s="0" t="n">
        <f aca="false">ATAN2(Fz2_u,A238)</f>
        <v>1.57049570265985</v>
      </c>
      <c r="S238" s="0" t="n">
        <f aca="false">1/SQRT(1+(A238/Fp1_u)^2)</f>
        <v>0.111769074604444</v>
      </c>
      <c r="T238" s="0" t="n">
        <f aca="false">-ATAN2(Fp1_u,A238)</f>
        <v>-1.45879322490648</v>
      </c>
      <c r="U238" s="0" t="n">
        <f aca="false">1/SQRT(1+(A238/Fp2_u)^2)</f>
        <v>0.950832536923175</v>
      </c>
      <c r="V238" s="0" t="n">
        <f aca="false">-ATAN2(Fp2_u,A238)</f>
        <v>-0.314883271258479</v>
      </c>
      <c r="X238" s="0" t="n">
        <f aca="false">20*LOG(C238*J238*O238*Q238*F238*M238*S238*U238)</f>
        <v>36.8613774210435</v>
      </c>
      <c r="Y238" s="0" t="n">
        <f aca="false">(180/Pi)*(D238+H238+N238+P238+R238+T238+V238)</f>
        <v>-195.890223479411</v>
      </c>
      <c r="Z238" s="0" t="n">
        <f aca="false">Y238+180</f>
        <v>-15.8902234794106</v>
      </c>
      <c r="AC238" s="0" t="n">
        <v>1</v>
      </c>
      <c r="AD238" s="0" t="n">
        <f aca="false">Rcea1_u*Cc1ea_u*A238*2*Pi</f>
        <v>2.931482933568</v>
      </c>
      <c r="AE238" s="0" t="n">
        <f aca="false">-Rcea1_u*Cc1ea_u*Cc2ea_u*(A238*2*Pi)^2</f>
        <v>-0.000331542908557116</v>
      </c>
      <c r="AF238" s="0" t="n">
        <f aca="false">(Cc2ea_u+Cc1ea_u)*A238*2*Pi</f>
        <v>0.0010178760186</v>
      </c>
      <c r="AG238" s="0" t="n">
        <f aca="false">AC238*AE238/(AE238^2+AF238^2)+AD238*AF238/(AE238^2+AF238^2)</f>
        <v>2314.45123397571</v>
      </c>
      <c r="AH238" s="0" t="n">
        <f aca="false">AD238*AE238/(AE238^2+AF238^2)-AC238*AF238/(AE238^2+AF238^2)</f>
        <v>-1736.30173177352</v>
      </c>
      <c r="AJ238" s="0" t="n">
        <f aca="false">_Rfb1</f>
        <v>20000</v>
      </c>
      <c r="AK238" s="0" t="n">
        <f aca="false">_Rfb1*Rcea2_u*Cc3ea_u*A238*2*Pi</f>
        <v>177819.17053824</v>
      </c>
      <c r="AL238" s="0" t="n">
        <v>1</v>
      </c>
      <c r="AM238" s="0" t="n">
        <f aca="false">(_Rfb1+Rcea2_u)*Cc3ea_u*A238*2*Pi</f>
        <v>3326.41279692691</v>
      </c>
      <c r="AN238" s="0" t="n">
        <f aca="false">AJ238*AL238/(AL238^2+AM238^2)+AK238*AM238/(AL238^2+AM238^2)</f>
        <v>53.4585386138718</v>
      </c>
      <c r="AO238" s="0" t="n">
        <f aca="false">AK238*AL238/(AL238^2+AM238^2)-AJ238*AM238/(AL238^2+AM238^2)</f>
        <v>-5.99641195458773</v>
      </c>
      <c r="AQ238" s="0" t="n">
        <f aca="false">Eadcg/(1+(Eadcg*A238/GBP)^2)</f>
        <v>0.790441191175376</v>
      </c>
      <c r="AR238" s="0" t="n">
        <f aca="false">-(A238*Eadcg*Eadcg/GBP)/(1+(Eadcg*A238/GBP)^2)</f>
        <v>-49.9875009299308</v>
      </c>
      <c r="AT238" s="0" t="n">
        <f aca="false">-AR238*AH238+AG238*AQ238</f>
        <v>-84963.9468413681</v>
      </c>
      <c r="AU238" s="0" t="n">
        <f aca="false">AQ238*AH238+AG238*AR238</f>
        <v>-117066.077619743</v>
      </c>
      <c r="AV238" s="0" t="n">
        <f aca="false">ATAN2(AT238,AU238)</f>
        <v>-2.19861407936628</v>
      </c>
      <c r="AW238" s="0" t="n">
        <f aca="false">AG238-AH238*AO238/_Rfb2+AG238*AN238/_Rfb2+AN238-AO238*AR238+AQ238*AN238</f>
        <v>2161.41197546393</v>
      </c>
      <c r="AX238" s="0" t="n">
        <f aca="false">AH238+AH238*AN238/_Rfb2+AG238*AO238/_Rfb2+AO238+AO238*AQ238+AN238*AR238</f>
        <v>-4467.31105370941</v>
      </c>
      <c r="AY238" s="0" t="n">
        <f aca="false">ATAN2(AW238,AX238)</f>
        <v>-1.12016949045369</v>
      </c>
      <c r="BA238" s="0" t="n">
        <f aca="false">SQRT(AT238^2+AU238^2)/SQRT(AW238^2+AX238^2)</f>
        <v>29.1471366746167</v>
      </c>
      <c r="BB238" s="0" t="n">
        <f aca="false">20*LOG(BA238)</f>
        <v>29.29191794863</v>
      </c>
      <c r="BC238" s="0" t="n">
        <f aca="false">AV238-AY238</f>
        <v>-1.07844458891259</v>
      </c>
      <c r="BD238" s="0" t="n">
        <f aca="false">BC238*180/Pi-180</f>
        <v>-241.790323454018</v>
      </c>
      <c r="BF238" s="0" t="n">
        <f aca="false">20*LOG(BA238*J238*F238*C238)</f>
        <v>31.5399433548418</v>
      </c>
      <c r="BG238" s="0" t="n">
        <f aca="false">(180/Pi)*(D238+H238+BC238)</f>
        <v>-227.203390145873</v>
      </c>
      <c r="BH238" s="0" t="n">
        <f aca="false">IF(BG238&gt;180,BG238-180,BG238+180)</f>
        <v>-47.2033901458727</v>
      </c>
      <c r="BI238" s="0" t="n">
        <f aca="false">IF(BH238&gt;180,BH238-360,BH238)</f>
        <v>-47.2033901458727</v>
      </c>
      <c r="BJ238" s="0" t="n">
        <f aca="false">SUM((BF239&lt;0)*(BF238&gt;0))*A238</f>
        <v>0</v>
      </c>
      <c r="BK238" s="0" t="n">
        <f aca="false">IF(BJ238&gt;0,BI238,0)</f>
        <v>0</v>
      </c>
      <c r="BM238" s="0" t="n">
        <f aca="false">20*LOG(J238*F238*C238)</f>
        <v>2.24802540621177</v>
      </c>
      <c r="BN238" s="0" t="n">
        <f aca="false">(H238+D238)*180/Pi</f>
        <v>-165.413066691854</v>
      </c>
      <c r="BQ238" s="347" t="n">
        <f aca="false">20*LOG(BA238*7)</f>
        <v>46.1938787489151</v>
      </c>
      <c r="BR238" s="353"/>
      <c r="BS238" s="353"/>
      <c r="BT238" s="353" t="n">
        <v>19054.607</v>
      </c>
      <c r="BU238" s="353" t="n">
        <v>-3.73125</v>
      </c>
      <c r="BV238" s="353" t="n">
        <v>-176.916</v>
      </c>
      <c r="BY238" s="353"/>
      <c r="BZ238" s="353"/>
      <c r="CA238" s="353"/>
      <c r="CC238" s="353"/>
    </row>
    <row r="239" customFormat="false" ht="12.75" hidden="false" customHeight="false" outlineLevel="0" collapsed="false">
      <c r="A239" s="0" t="n">
        <f aca="false">A238+5000</f>
        <v>125000</v>
      </c>
      <c r="B239" s="0" t="n">
        <f aca="false">A239/1000</f>
        <v>125</v>
      </c>
      <c r="C239" s="0" t="n">
        <f aca="false">SQRT((A239/Fesr)^2+1)</f>
        <v>1.00000030842509</v>
      </c>
      <c r="D239" s="0" t="n">
        <f aca="false">ATAN(A239/Fesr)</f>
        <v>0.000785398001009036</v>
      </c>
      <c r="F239" s="0" t="n">
        <f aca="false">(Ro/(Ro+Rdcr))/SQRT((A239/(Q*Fo))^2+(1-(A239^2/Fo^2))^2)</f>
        <v>0.131521968038568</v>
      </c>
      <c r="G239" s="0" t="n">
        <f aca="false">-ATAN(A239*Fo/(Q*(Fo^2-A239^2)))</f>
        <v>0.241364181185324</v>
      </c>
      <c r="H239" s="0" t="n">
        <f aca="false">IF(G239&gt;0,G239-Pi,G239)</f>
        <v>-2.90022846881468</v>
      </c>
      <c r="J239" s="0" t="n">
        <f aca="false">Vin/Vramp</f>
        <v>9</v>
      </c>
      <c r="M239" s="0" t="n">
        <f aca="false">1/(2*Pi*_Rfb1*(Cc1ea_u+Cc2ea_u)*A239)</f>
        <v>0.0471570202292612</v>
      </c>
      <c r="N239" s="0" t="n">
        <f aca="false">-Pi/2</f>
        <v>-1.570796325</v>
      </c>
      <c r="O239" s="0" t="n">
        <f aca="false">SQRT(1+(A239/Fz1_u)^2)</f>
        <v>3.21319845374805</v>
      </c>
      <c r="P239" s="0" t="n">
        <f aca="false">ATAN2(Fz1_u,A239)</f>
        <v>1.25432361603546</v>
      </c>
      <c r="Q239" s="0" t="n">
        <f aca="false">SQRT(1+(A239/Fz2_u)^2)</f>
        <v>3465.01347443179</v>
      </c>
      <c r="R239" s="0" t="n">
        <f aca="false">ATAN2(Fz2_u,A239)</f>
        <v>1.57050772762457</v>
      </c>
      <c r="S239" s="0" t="n">
        <f aca="false">1/SQRT(1+(A239/Fp1_u)^2)</f>
        <v>0.107350894143137</v>
      </c>
      <c r="T239" s="0" t="n">
        <f aca="false">-ATAN2(Fp1_u,A239)</f>
        <v>-1.4632381668621</v>
      </c>
      <c r="U239" s="0" t="n">
        <f aca="false">1/SQRT(1+(A239/Fp2_u)^2)</f>
        <v>0.946976887423703</v>
      </c>
      <c r="V239" s="0" t="n">
        <f aca="false">-ATAN2(Fp2_u,A239)</f>
        <v>-0.327103739386527</v>
      </c>
      <c r="X239" s="0" t="n">
        <f aca="false">20*LOG(C239*J239*O239*Q239*F239*M239*S239*U239)</f>
        <v>36.0114963966614</v>
      </c>
      <c r="Y239" s="0" t="n">
        <f aca="false">(180/Pi)*(D239+H239+N239+P239+R239+T239+V239)</f>
        <v>-196.853972303637</v>
      </c>
      <c r="Z239" s="0" t="n">
        <f aca="false">Y239+180</f>
        <v>-16.8539723036366</v>
      </c>
      <c r="AC239" s="0" t="n">
        <v>1</v>
      </c>
      <c r="AD239" s="0" t="n">
        <f aca="false">Rcea1_u*Cc1ea_u*A239*2*Pi</f>
        <v>3.0536280558</v>
      </c>
      <c r="AE239" s="0" t="n">
        <f aca="false">-Rcea1_u*Cc1ea_u*Cc2ea_u*(A239*2*Pi)^2</f>
        <v>-0.000359747079597565</v>
      </c>
      <c r="AF239" s="0" t="n">
        <f aca="false">(Cc2ea_u+Cc1ea_u)*A239*2*Pi</f>
        <v>0.001060287519375</v>
      </c>
      <c r="AG239" s="0" t="n">
        <f aca="false">AC239*AE239/(AE239^2+AF239^2)+AD239*AF239/(AE239^2+AF239^2)</f>
        <v>2295.71897680559</v>
      </c>
      <c r="AH239" s="0" t="n">
        <f aca="false">AD239*AE239/(AE239^2+AF239^2)-AC239*AF239/(AE239^2+AF239^2)</f>
        <v>-1722.059501897</v>
      </c>
      <c r="AJ239" s="0" t="n">
        <f aca="false">_Rfb1</f>
        <v>20000</v>
      </c>
      <c r="AK239" s="0" t="n">
        <f aca="false">_Rfb1*Rcea2_u*Cc3ea_u*A239*2*Pi</f>
        <v>185228.302644</v>
      </c>
      <c r="AL239" s="0" t="n">
        <v>1</v>
      </c>
      <c r="AM239" s="0" t="n">
        <f aca="false">(_Rfb1+Rcea2_u)*Cc3ea_u*A239*2*Pi</f>
        <v>3465.0133301322</v>
      </c>
      <c r="AN239" s="0" t="n">
        <f aca="false">AJ239*AL239/(AL239^2+AM239^2)+AK239*AM239/(AL239^2+AM239^2)</f>
        <v>53.4583972848526</v>
      </c>
      <c r="AO239" s="0" t="n">
        <f aca="false">AK239*AL239/(AL239^2+AM239^2)-AJ239*AM239/(AL239^2+AM239^2)</f>
        <v>-5.75655551719166</v>
      </c>
      <c r="AQ239" s="0" t="n">
        <f aca="false">Eadcg/(1+(Eadcg*A239/GBP)^2)</f>
        <v>0.728484879028629</v>
      </c>
      <c r="AR239" s="0" t="n">
        <f aca="false">-(A239*Eadcg*Eadcg/GBP)/(1+(Eadcg*A239/GBP)^2)</f>
        <v>-47.988941406011</v>
      </c>
      <c r="AT239" s="0" t="n">
        <f aca="false">-AR239*AH239+AG239*AQ239</f>
        <v>-80967.4159730978</v>
      </c>
      <c r="AU239" s="0" t="n">
        <f aca="false">AQ239*AH239+AG239*AR239</f>
        <v>-111423.617770511</v>
      </c>
      <c r="AV239" s="0" t="n">
        <f aca="false">ATAN2(AT239,AU239)</f>
        <v>-2.19919367717418</v>
      </c>
      <c r="AW239" s="0" t="n">
        <f aca="false">AG239-AH239*AO239/_Rfb2+AG239*AN239/_Rfb2+AN239-AO239*AR239+AQ239*AN239</f>
        <v>2162.63554945005</v>
      </c>
      <c r="AX239" s="0" t="n">
        <f aca="false">AH239+AH239*AN239/_Rfb2+AG239*AO239/_Rfb2+AO239+AO239*AQ239+AN239*AR239</f>
        <v>-4344.79480465989</v>
      </c>
      <c r="AY239" s="0" t="n">
        <f aca="false">ATAN2(AW239,AX239)</f>
        <v>-1.10894776678274</v>
      </c>
      <c r="BA239" s="0" t="n">
        <f aca="false">SQRT(AT239^2+AU239^2)/SQRT(AW239^2+AX239^2)</f>
        <v>28.3798428687563</v>
      </c>
      <c r="BB239" s="0" t="n">
        <f aca="false">20*LOG(BA239)</f>
        <v>29.0601997312233</v>
      </c>
      <c r="BC239" s="0" t="n">
        <f aca="false">AV239-AY239</f>
        <v>-1.09024591039144</v>
      </c>
      <c r="BD239" s="0" t="n">
        <f aca="false">BC239*180/Pi-180</f>
        <v>-242.466489368206</v>
      </c>
      <c r="BF239" s="0" t="n">
        <f aca="false">20*LOG(BA239*J239*F239*C239)</f>
        <v>30.5250185757911</v>
      </c>
      <c r="BG239" s="0" t="n">
        <f aca="false">(180/Pi)*(D239+H239+BC239)</f>
        <v>-228.592340454107</v>
      </c>
      <c r="BH239" s="0" t="n">
        <f aca="false">IF(BG239&gt;180,BG239-180,BG239+180)</f>
        <v>-48.5923404541068</v>
      </c>
      <c r="BI239" s="0" t="n">
        <f aca="false">IF(BH239&gt;180,BH239-360,BH239)</f>
        <v>-48.5923404541068</v>
      </c>
      <c r="BJ239" s="0" t="n">
        <f aca="false">SUM((BF240&lt;0)*(BF239&gt;0))*A239</f>
        <v>0</v>
      </c>
      <c r="BK239" s="0" t="n">
        <f aca="false">IF(BJ239&gt;0,BI239,0)</f>
        <v>0</v>
      </c>
      <c r="BM239" s="0" t="n">
        <f aca="false">20*LOG(J239*F239*C239)</f>
        <v>1.46481884456783</v>
      </c>
      <c r="BN239" s="0" t="n">
        <f aca="false">(H239+D239)*180/Pi</f>
        <v>-166.125851085901</v>
      </c>
      <c r="BQ239" s="347" t="n">
        <f aca="false">20*LOG(BA239*7)</f>
        <v>45.9621605315085</v>
      </c>
      <c r="BR239" s="353"/>
      <c r="BS239" s="353"/>
      <c r="BT239" s="353" t="n">
        <v>19498.446</v>
      </c>
      <c r="BU239" s="353" t="n">
        <v>-3.72432</v>
      </c>
      <c r="BV239" s="353" t="n">
        <v>-175.511</v>
      </c>
      <c r="BY239" s="353"/>
      <c r="BZ239" s="353"/>
      <c r="CA239" s="353"/>
      <c r="CC239" s="353"/>
    </row>
    <row r="240" customFormat="false" ht="12.75" hidden="false" customHeight="false" outlineLevel="0" collapsed="false">
      <c r="A240" s="0" t="n">
        <f aca="false">A239+5000</f>
        <v>130000</v>
      </c>
      <c r="B240" s="0" t="n">
        <f aca="false">A240/1000</f>
        <v>130</v>
      </c>
      <c r="C240" s="0" t="n">
        <f aca="false">SQRT((A240/Fesr)^2+1)</f>
        <v>1.00000033359257</v>
      </c>
      <c r="D240" s="0" t="n">
        <f aca="false">ATAN(A240/Fesr)</f>
        <v>0.000816813907344634</v>
      </c>
      <c r="F240" s="0" t="n">
        <f aca="false">(Ro/(Ro+Rdcr))/SQRT((A240/(Q*Fo))^2+(1-(A240^2/Fo^2))^2)</f>
        <v>0.120685279119582</v>
      </c>
      <c r="G240" s="0" t="n">
        <f aca="false">-ATAN(A240*Fo/(Q*(Fo^2-A240^2)))</f>
        <v>0.230132209055055</v>
      </c>
      <c r="H240" s="0" t="n">
        <f aca="false">IF(G240&gt;0,G240-Pi,G240)</f>
        <v>-2.91146044094495</v>
      </c>
      <c r="J240" s="0" t="n">
        <f aca="false">Vin/Vramp</f>
        <v>9</v>
      </c>
      <c r="M240" s="0" t="n">
        <f aca="false">1/(2*Pi*_Rfb1*(Cc1ea_u+Cc2ea_u)*A240)</f>
        <v>0.0453432886819819</v>
      </c>
      <c r="N240" s="0" t="n">
        <f aca="false">-Pi/2</f>
        <v>-1.570796325</v>
      </c>
      <c r="O240" s="0" t="n">
        <f aca="false">SQRT(1+(A240/Fz1_u)^2)</f>
        <v>3.32949474820242</v>
      </c>
      <c r="P240" s="0" t="n">
        <f aca="false">ATAN2(Fz1_u,A240)</f>
        <v>1.26574108081733</v>
      </c>
      <c r="Q240" s="0" t="n">
        <f aca="false">SQRT(1+(A240/Fz2_u)^2)</f>
        <v>3603.61400208709</v>
      </c>
      <c r="R240" s="0" t="n">
        <f aca="false">ATAN2(Fz2_u,A240)</f>
        <v>1.57051882759208</v>
      </c>
      <c r="S240" s="0" t="n">
        <f aca="false">1/SQRT(1+(A240/Fp1_u)^2)</f>
        <v>0.103266915057662</v>
      </c>
      <c r="T240" s="0" t="n">
        <f aca="false">-ATAN2(Fp1_u,A240)</f>
        <v>-1.46734498463598</v>
      </c>
      <c r="U240" s="0" t="n">
        <f aca="false">1/SQRT(1+(A240/Fp2_u)^2)</f>
        <v>0.943013265375338</v>
      </c>
      <c r="V240" s="0" t="n">
        <f aca="false">-ATAN2(Fp2_u,A240)</f>
        <v>-0.339223706265917</v>
      </c>
      <c r="X240" s="0" t="n">
        <f aca="false">20*LOG(C240*J240*O240*Q240*F240*M240*S240*U240)</f>
        <v>35.2001114888954</v>
      </c>
      <c r="Y240" s="0" t="n">
        <f aca="false">(180/Pi)*(D240+H240+N240+P240+R240+T240+V240)</f>
        <v>-197.770634654183</v>
      </c>
      <c r="Z240" s="0" t="n">
        <f aca="false">Y240+180</f>
        <v>-17.770634654183</v>
      </c>
      <c r="AC240" s="0" t="n">
        <v>1</v>
      </c>
      <c r="AD240" s="0" t="n">
        <f aca="false">Rcea1_u*Cc1ea_u*A240*2*Pi</f>
        <v>3.175773178032</v>
      </c>
      <c r="AE240" s="0" t="n">
        <f aca="false">-Rcea1_u*Cc1ea_u*Cc2ea_u*(A240*2*Pi)^2</f>
        <v>-0.000389102441292726</v>
      </c>
      <c r="AF240" s="0" t="n">
        <f aca="false">(Cc2ea_u+Cc1ea_u)*A240*2*Pi</f>
        <v>0.00110269902015</v>
      </c>
      <c r="AG240" s="0" t="n">
        <f aca="false">AC240*AE240/(AE240^2+AF240^2)+AD240*AF240/(AE240^2+AF240^2)</f>
        <v>2276.54148780508</v>
      </c>
      <c r="AH240" s="0" t="n">
        <f aca="false">AD240*AE240/(AE240^2+AF240^2)-AC240*AF240/(AE240^2+AF240^2)</f>
        <v>-1710.17459537835</v>
      </c>
      <c r="AJ240" s="0" t="n">
        <f aca="false">_Rfb1</f>
        <v>20000</v>
      </c>
      <c r="AK240" s="0" t="n">
        <f aca="false">_Rfb1*Rcea2_u*Cc3ea_u*A240*2*Pi</f>
        <v>192637.43474976</v>
      </c>
      <c r="AL240" s="0" t="n">
        <v>1</v>
      </c>
      <c r="AM240" s="0" t="n">
        <f aca="false">(_Rfb1+Rcea2_u)*Cc3ea_u*A240*2*Pi</f>
        <v>3603.61386333749</v>
      </c>
      <c r="AN240" s="0" t="n">
        <f aca="false">AJ240*AL240/(AL240^2+AM240^2)+AK240*AM240/(AL240^2+AM240^2)</f>
        <v>53.458271947293</v>
      </c>
      <c r="AO240" s="0" t="n">
        <f aca="false">AK240*AL240/(AL240^2+AM240^2)-AJ240*AM240/(AL240^2+AM240^2)</f>
        <v>-5.53514957054228</v>
      </c>
      <c r="AQ240" s="0" t="n">
        <f aca="false">Eadcg/(1+(Eadcg*A240/GBP)^2)</f>
        <v>0.673536927940133</v>
      </c>
      <c r="AR240" s="0" t="n">
        <f aca="false">-(A240*Eadcg*Eadcg/GBP)/(1+(Eadcg*A240/GBP)^2)</f>
        <v>-46.1440149331785</v>
      </c>
      <c r="AT240" s="0" t="n">
        <f aca="false">-AR240*AH240+AG240*AQ240</f>
        <v>-77380.9873074567</v>
      </c>
      <c r="AU240" s="0" t="n">
        <f aca="false">AQ240*AH240+AG240*AR240</f>
        <v>-106200.63015249</v>
      </c>
      <c r="AV240" s="0" t="n">
        <f aca="false">ATAN2(AT240,AU240)</f>
        <v>-2.20047990623603</v>
      </c>
      <c r="AW240" s="0" t="n">
        <f aca="false">AG240-AH240*AO240/_Rfb2+AG240*AN240/_Rfb2+AN240-AO240*AR240+AQ240*AN240</f>
        <v>2161.09711137201</v>
      </c>
      <c r="AX240" s="0" t="n">
        <f aca="false">AH240+AH240*AN240/_Rfb2+AG240*AO240/_Rfb2+AO240+AO240*AQ240+AN240*AR240</f>
        <v>-4233.02796093017</v>
      </c>
      <c r="AY240" s="0" t="n">
        <f aca="false">ATAN2(AW240,AX240)</f>
        <v>-1.0987584961407</v>
      </c>
      <c r="BA240" s="0" t="n">
        <f aca="false">SQRT(AT240^2+AU240^2)/SQRT(AW240^2+AX240^2)</f>
        <v>27.6473536213693</v>
      </c>
      <c r="BB240" s="0" t="n">
        <f aca="false">20*LOG(BA240)</f>
        <v>28.8330713474329</v>
      </c>
      <c r="BC240" s="0" t="n">
        <f aca="false">AV240-AY240</f>
        <v>-1.10172141009533</v>
      </c>
      <c r="BD240" s="0" t="n">
        <f aca="false">BC240*180/Pi-180</f>
        <v>-243.123987069794</v>
      </c>
      <c r="BF240" s="0" t="n">
        <f aca="false">20*LOG(BA240*J240*F240*C240)</f>
        <v>29.5510104178133</v>
      </c>
      <c r="BG240" s="0" t="n">
        <f aca="false">(180/Pi)*(D240+H240+BC240)</f>
        <v>-229.891582756258</v>
      </c>
      <c r="BH240" s="0" t="n">
        <f aca="false">IF(BG240&gt;180,BG240-180,BG240+180)</f>
        <v>-49.8915827562585</v>
      </c>
      <c r="BI240" s="0" t="n">
        <f aca="false">IF(BH240&gt;180,BH240-360,BH240)</f>
        <v>-49.8915827562585</v>
      </c>
      <c r="BJ240" s="0" t="n">
        <f aca="false">SUM((BF241&lt;0)*(BF240&gt;0))*A240</f>
        <v>0</v>
      </c>
      <c r="BK240" s="0" t="n">
        <f aca="false">IF(BJ240&gt;0,BI240,0)</f>
        <v>0</v>
      </c>
      <c r="BM240" s="0" t="n">
        <f aca="false">20*LOG(J240*F240*C240)</f>
        <v>0.717939070380471</v>
      </c>
      <c r="BN240" s="0" t="n">
        <f aca="false">(H240+D240)*180/Pi</f>
        <v>-166.767595686464</v>
      </c>
      <c r="BQ240" s="347" t="n">
        <f aca="false">20*LOG(BA240*7)</f>
        <v>45.735032147718</v>
      </c>
      <c r="BR240" s="353"/>
      <c r="BS240" s="353"/>
      <c r="BT240" s="353" t="n">
        <v>19952.623</v>
      </c>
      <c r="BU240" s="353" t="n">
        <v>-3.67421</v>
      </c>
      <c r="BV240" s="353" t="n">
        <v>-174.244</v>
      </c>
      <c r="BY240" s="353"/>
      <c r="BZ240" s="353"/>
      <c r="CA240" s="353"/>
      <c r="CC240" s="353"/>
    </row>
    <row r="241" customFormat="false" ht="12.75" hidden="false" customHeight="false" outlineLevel="0" collapsed="false">
      <c r="A241" s="0" t="n">
        <f aca="false">A240+5000</f>
        <v>135000</v>
      </c>
      <c r="B241" s="0" t="n">
        <f aca="false">A241/1000</f>
        <v>135</v>
      </c>
      <c r="C241" s="0" t="n">
        <f aca="false">SQRT((A241/Fesr)^2+1)</f>
        <v>1.00000035974701</v>
      </c>
      <c r="D241" s="0" t="n">
        <f aca="false">ATAN(A241/Fesr)</f>
        <v>0.000848229812067907</v>
      </c>
      <c r="F241" s="0" t="n">
        <f aca="false">(Ro/(Ro+Rdcr))/SQRT((A241/(Q*Fo))^2+(1-(A241^2/Fo^2))^2)</f>
        <v>0.111162690326401</v>
      </c>
      <c r="G241" s="0" t="n">
        <f aca="false">-ATAN(A241*Fo/(Q*(Fo^2-A241^2)))</f>
        <v>0.219958114937481</v>
      </c>
      <c r="H241" s="0" t="n">
        <f aca="false">IF(G241&gt;0,G241-Pi,G241)</f>
        <v>-2.92163453506252</v>
      </c>
      <c r="J241" s="0" t="n">
        <f aca="false">Vin/Vramp</f>
        <v>9</v>
      </c>
      <c r="M241" s="0" t="n">
        <f aca="false">1/(2*Pi*_Rfb1*(Cc1ea_u+Cc2ea_u)*A241)</f>
        <v>0.0436639076196863</v>
      </c>
      <c r="N241" s="0" t="n">
        <f aca="false">-Pi/2</f>
        <v>-1.570796325</v>
      </c>
      <c r="O241" s="0" t="n">
        <f aca="false">SQRT(1+(A241/Fz1_u)^2)</f>
        <v>3.44619574534242</v>
      </c>
      <c r="P241" s="0" t="n">
        <f aca="false">ATAN2(Fz1_u,A241)</f>
        <v>1.27638658059537</v>
      </c>
      <c r="Q241" s="0" t="n">
        <f aca="false">SQRT(1+(A241/Fz2_u)^2)</f>
        <v>3742.2145301535</v>
      </c>
      <c r="R241" s="0" t="n">
        <f aca="false">ATAN2(Fz2_u,A241)</f>
        <v>1.57052910533983</v>
      </c>
      <c r="S241" s="0" t="n">
        <f aca="false">1/SQRT(1+(A241/Fp1_u)^2)</f>
        <v>0.0994807857897252</v>
      </c>
      <c r="T241" s="0" t="n">
        <f aca="false">-ATAN2(Fp1_u,A241)</f>
        <v>-1.47115072188937</v>
      </c>
      <c r="U241" s="0" t="n">
        <f aca="false">1/SQRT(1+(A241/Fp2_u)^2)</f>
        <v>0.938946491116862</v>
      </c>
      <c r="V241" s="0" t="n">
        <f aca="false">-ATAN2(Fp2_u,A241)</f>
        <v>-0.351240890443838</v>
      </c>
      <c r="X241" s="0" t="n">
        <f aca="false">20*LOG(C241*J241*O241*Q241*F241*M241*S241*U241)</f>
        <v>34.4234597409748</v>
      </c>
      <c r="Y241" s="0" t="n">
        <f aca="false">(180/Pi)*(D241+H241+N241+P241+R241+T241+V241)</f>
        <v>-198.647822847663</v>
      </c>
      <c r="Z241" s="0" t="n">
        <f aca="false">Y241+180</f>
        <v>-18.6478228476631</v>
      </c>
      <c r="AC241" s="0" t="n">
        <v>1</v>
      </c>
      <c r="AD241" s="0" t="n">
        <f aca="false">Rcea1_u*Cc1ea_u*A241*2*Pi</f>
        <v>3.297918300264</v>
      </c>
      <c r="AE241" s="0" t="n">
        <f aca="false">-Rcea1_u*Cc1ea_u*Cc2ea_u*(A241*2*Pi)^2</f>
        <v>-0.0004196089936426</v>
      </c>
      <c r="AF241" s="0" t="n">
        <f aca="false">(Cc2ea_u+Cc1ea_u)*A241*2*Pi</f>
        <v>0.001145110520925</v>
      </c>
      <c r="AG241" s="0" t="n">
        <f aca="false">AC241*AE241/(AE241^2+AF241^2)+AD241*AF241/(AE241^2+AF241^2)</f>
        <v>2256.94851374251</v>
      </c>
      <c r="AH241" s="0" t="n">
        <f aca="false">AD241*AE241/(AE241^2+AF241^2)-AC241*AF241/(AE241^2+AF241^2)</f>
        <v>-1700.30390864095</v>
      </c>
      <c r="AJ241" s="0" t="n">
        <f aca="false">_Rfb1</f>
        <v>20000</v>
      </c>
      <c r="AK241" s="0" t="n">
        <f aca="false">_Rfb1*Rcea2_u*Cc3ea_u*A241*2*Pi</f>
        <v>200046.56685552</v>
      </c>
      <c r="AL241" s="0" t="n">
        <v>1</v>
      </c>
      <c r="AM241" s="0" t="n">
        <f aca="false">(_Rfb1+Rcea2_u)*Cc3ea_u*A241*2*Pi</f>
        <v>3742.21439654278</v>
      </c>
      <c r="AN241" s="0" t="n">
        <f aca="false">AJ241*AL241/(AL241^2+AM241^2)+AK241*AM241/(AL241^2+AM241^2)</f>
        <v>53.4581602765458</v>
      </c>
      <c r="AO241" s="0" t="n">
        <f aca="false">AK241*AL241/(AL241^2+AM241^2)-AJ241*AM241/(AL241^2+AM241^2)</f>
        <v>-5.33014406073339</v>
      </c>
      <c r="AQ241" s="0" t="n">
        <f aca="false">Eadcg/(1+(Eadcg*A241/GBP)^2)</f>
        <v>0.624578895037665</v>
      </c>
      <c r="AR241" s="0" t="n">
        <f aca="false">-(A241*Eadcg*Eadcg/GBP)/(1+(Eadcg*A241/GBP)^2)</f>
        <v>-44.4356654874547</v>
      </c>
      <c r="AT241" s="0" t="n">
        <f aca="false">-AR241*AH241+AG241*AQ241</f>
        <v>-74144.4933025109</v>
      </c>
      <c r="AU241" s="0" t="n">
        <f aca="false">AQ241*AH241+AG241*AR241</f>
        <v>-101350.983115557</v>
      </c>
      <c r="AV241" s="0" t="n">
        <f aca="false">ATAN2(AT241,AU241)</f>
        <v>-2.20239208744388</v>
      </c>
      <c r="AW241" s="0" t="n">
        <f aca="false">AG241-AH241*AO241/_Rfb2+AG241*AN241/_Rfb2+AN241-AO241*AR241+AQ241*AN241</f>
        <v>2157.1622669842</v>
      </c>
      <c r="AX241" s="0" t="n">
        <f aca="false">AH241+AH241*AN241/_Rfb2+AG241*AO241/_Rfb2+AO241+AO241*AQ241+AN241*AR241</f>
        <v>-4130.72831662515</v>
      </c>
      <c r="AY241" s="0" t="n">
        <f aca="false">ATAN2(AW241,AX241)</f>
        <v>-1.08952860725548</v>
      </c>
      <c r="BA241" s="0" t="n">
        <f aca="false">SQRT(AT241^2+AU241^2)/SQRT(AW241^2+AX241^2)</f>
        <v>26.9473085206636</v>
      </c>
      <c r="BB241" s="0" t="n">
        <f aca="false">20*LOG(BA241)</f>
        <v>28.6103078928698</v>
      </c>
      <c r="BC241" s="0" t="n">
        <f aca="false">AV241-AY241</f>
        <v>-1.1128634801884</v>
      </c>
      <c r="BD241" s="0" t="n">
        <f aca="false">BC241*180/Pi-180</f>
        <v>-243.762380661895</v>
      </c>
      <c r="BF241" s="0" t="n">
        <f aca="false">20*LOG(BA241*J241*F241*C241)</f>
        <v>28.6143421843493</v>
      </c>
      <c r="BG241" s="0" t="n">
        <f aca="false">(180/Pi)*(D241+H241+BC241)</f>
        <v>-231.111109003579</v>
      </c>
      <c r="BH241" s="0" t="n">
        <f aca="false">IF(BG241&gt;180,BG241-180,BG241+180)</f>
        <v>-51.1111090035792</v>
      </c>
      <c r="BI241" s="0" t="n">
        <f aca="false">IF(BH241&gt;180,BH241-360,BH241)</f>
        <v>-51.1111090035792</v>
      </c>
      <c r="BJ241" s="0" t="n">
        <f aca="false">SUM((BF242&lt;0)*(BF241&gt;0))*A241</f>
        <v>0</v>
      </c>
      <c r="BK241" s="0" t="n">
        <f aca="false">IF(BJ241&gt;0,BI241,0)</f>
        <v>0</v>
      </c>
      <c r="BM241" s="0" t="n">
        <f aca="false">20*LOG(J241*F241*C241)</f>
        <v>0.00403429147945619</v>
      </c>
      <c r="BN241" s="0" t="n">
        <f aca="false">(H241+D241)*180/Pi</f>
        <v>-167.348728341684</v>
      </c>
      <c r="BQ241" s="347" t="n">
        <f aca="false">20*LOG(BA241*7)</f>
        <v>45.512268693155</v>
      </c>
      <c r="BR241" s="353"/>
      <c r="BS241" s="353"/>
      <c r="BT241" s="353" t="n">
        <v>20417.379</v>
      </c>
      <c r="BU241" s="353" t="n">
        <v>-3.64409</v>
      </c>
      <c r="BV241" s="353" t="n">
        <v>-173.369</v>
      </c>
      <c r="BY241" s="353"/>
      <c r="BZ241" s="353"/>
      <c r="CA241" s="353"/>
      <c r="CC241" s="353"/>
    </row>
    <row r="242" customFormat="false" ht="12.75" hidden="false" customHeight="false" outlineLevel="0" collapsed="false">
      <c r="A242" s="0" t="n">
        <f aca="false">A241+5000</f>
        <v>140000</v>
      </c>
      <c r="B242" s="0" t="n">
        <f aca="false">A242/1000</f>
        <v>140</v>
      </c>
      <c r="C242" s="0" t="n">
        <f aca="false">SQRT((A242/Fesr)^2+1)</f>
        <v>1.00000038688842</v>
      </c>
      <c r="D242" s="0" t="n">
        <f aca="false">ATAN(A242/Fesr)</f>
        <v>0.000879645715116844</v>
      </c>
      <c r="F242" s="0" t="n">
        <f aca="false">(Ro/(Ro+Rdcr))/SQRT((A242/(Q*Fo))^2+(1-(A242^2/Fo^2))^2)</f>
        <v>0.10274659451864</v>
      </c>
      <c r="G242" s="0" t="n">
        <f aca="false">-ATAN(A242*Fo/(Q*(Fo^2-A242^2)))</f>
        <v>0.210694394354133</v>
      </c>
      <c r="H242" s="0" t="n">
        <f aca="false">IF(G242&gt;0,G242-Pi,G242)</f>
        <v>-2.93089825564587</v>
      </c>
      <c r="J242" s="0" t="n">
        <f aca="false">Vin/Vramp</f>
        <v>9</v>
      </c>
      <c r="M242" s="0" t="n">
        <f aca="false">1/(2*Pi*_Rfb1*(Cc1ea_u+Cc2ea_u)*A242)</f>
        <v>0.0421044823475546</v>
      </c>
      <c r="N242" s="0" t="n">
        <f aca="false">-Pi/2</f>
        <v>-1.570796325</v>
      </c>
      <c r="O242" s="0" t="n">
        <f aca="false">SQRT(1+(A242/Fz1_u)^2)</f>
        <v>3.56326168192782</v>
      </c>
      <c r="P242" s="0" t="n">
        <f aca="false">ATAN2(Fz1_u,A242)</f>
        <v>1.28633366105291</v>
      </c>
      <c r="Q242" s="0" t="n">
        <f aca="false">SQRT(1+(A242/Fz2_u)^2)</f>
        <v>3880.81505858698</v>
      </c>
      <c r="R242" s="0" t="n">
        <f aca="false">ATAN2(Fz2_u,A242)</f>
        <v>1.5705386489628</v>
      </c>
      <c r="S242" s="0" t="n">
        <f aca="false">1/SQRT(1+(A242/Fp1_u)^2)</f>
        <v>0.0959612176063312</v>
      </c>
      <c r="T242" s="0" t="n">
        <f aca="false">-ATAN2(Fp1_u,A242)</f>
        <v>-1.47468721816406</v>
      </c>
      <c r="U242" s="0" t="n">
        <f aca="false">1/SQRT(1+(A242/Fp2_u)^2)</f>
        <v>0.934781393228954</v>
      </c>
      <c r="V242" s="0" t="n">
        <f aca="false">-ATAN2(Fp2_u,A242)</f>
        <v>-0.363153167694787</v>
      </c>
      <c r="X242" s="0" t="n">
        <f aca="false">20*LOG(C242*J242*O242*Q242*F242*M242*S242*U242)</f>
        <v>33.6782983919029</v>
      </c>
      <c r="Y242" s="0" t="n">
        <f aca="false">(180/Pi)*(D242+H242+N242+P242+R242+T242+V242)</f>
        <v>-199.491471925649</v>
      </c>
      <c r="Z242" s="0" t="n">
        <f aca="false">Y242+180</f>
        <v>-19.4914719256487</v>
      </c>
      <c r="AC242" s="0" t="n">
        <v>1</v>
      </c>
      <c r="AD242" s="0" t="n">
        <f aca="false">Rcea1_u*Cc1ea_u*A242*2*Pi</f>
        <v>3.420063422496</v>
      </c>
      <c r="AE242" s="0" t="n">
        <f aca="false">-Rcea1_u*Cc1ea_u*Cc2ea_u*(A242*2*Pi)^2</f>
        <v>-0.000451266736647186</v>
      </c>
      <c r="AF242" s="0" t="n">
        <f aca="false">(Cc2ea_u+Cc1ea_u)*A242*2*Pi</f>
        <v>0.0011875220217</v>
      </c>
      <c r="AG242" s="0" t="n">
        <f aca="false">AC242*AE242/(AE242^2+AF242^2)+AD242*AF242/(AE242^2+AF242^2)</f>
        <v>2236.96960800529</v>
      </c>
      <c r="AH242" s="0" t="n">
        <f aca="false">AD242*AE242/(AE242^2+AF242^2)-AC242*AF242/(AE242^2+AF242^2)</f>
        <v>-1692.15386179266</v>
      </c>
      <c r="AJ242" s="0" t="n">
        <f aca="false">_Rfb1</f>
        <v>20000</v>
      </c>
      <c r="AK242" s="0" t="n">
        <f aca="false">_Rfb1*Rcea2_u*Cc3ea_u*A242*2*Pi</f>
        <v>207455.69896128</v>
      </c>
      <c r="AL242" s="0" t="n">
        <v>1</v>
      </c>
      <c r="AM242" s="0" t="n">
        <f aca="false">(_Rfb1+Rcea2_u)*Cc3ea_u*A242*2*Pi</f>
        <v>3880.81492974806</v>
      </c>
      <c r="AN242" s="0" t="n">
        <f aca="false">AJ242*AL242/(AL242^2+AM242^2)+AK242*AM242/(AL242^2+AM242^2)</f>
        <v>53.4580603555209</v>
      </c>
      <c r="AO242" s="0" t="n">
        <f aca="false">AK242*AL242/(AL242^2+AM242^2)-AJ242*AM242/(AL242^2+AM242^2)</f>
        <v>-5.13978179859749</v>
      </c>
      <c r="AQ242" s="0" t="n">
        <f aca="false">Eadcg/(1+(Eadcg*A242/GBP)^2)</f>
        <v>0.580770821368634</v>
      </c>
      <c r="AR242" s="0" t="n">
        <f aca="false">-(A242*Eadcg*Eadcg/GBP)/(1+(Eadcg*A242/GBP)^2)</f>
        <v>-42.8492712005778</v>
      </c>
      <c r="AT242" s="0" t="n">
        <f aca="false">-AR242*AH242+AG242*AQ242</f>
        <v>-71208.3930604408</v>
      </c>
      <c r="AU242" s="0" t="n">
        <f aca="false">AQ242*AH242+AG242*AR242</f>
        <v>-96835.2709890642</v>
      </c>
      <c r="AV242" s="0" t="n">
        <f aca="false">ATAN2(AT242,AU242)</f>
        <v>-2.20485918149074</v>
      </c>
      <c r="AW242" s="0" t="n">
        <f aca="false">AG242-AH242*AO242/_Rfb2+AG242*AN242/_Rfb2+AN242-AO242*AR242+AQ242*AN242</f>
        <v>2151.13768539688</v>
      </c>
      <c r="AX242" s="0" t="n">
        <f aca="false">AH242+AH242*AN242/_Rfb2+AG242*AO242/_Rfb2+AO242+AO242*AQ242+AN242*AR242</f>
        <v>-4036.79816444606</v>
      </c>
      <c r="AY242" s="0" t="n">
        <f aca="false">ATAN2(AW242,AX242)</f>
        <v>-1.08119033356814</v>
      </c>
      <c r="BA242" s="0" t="n">
        <f aca="false">SQRT(AT242^2+AU242^2)/SQRT(AW242^2+AX242^2)</f>
        <v>26.2776229380857</v>
      </c>
      <c r="BB242" s="0" t="n">
        <f aca="false">20*LOG(BA242)</f>
        <v>28.3917215316332</v>
      </c>
      <c r="BC242" s="0" t="n">
        <f aca="false">AV242-AY242</f>
        <v>-1.1236688479226</v>
      </c>
      <c r="BD242" s="0" t="n">
        <f aca="false">BC242*180/Pi-180</f>
        <v>-244.381482629859</v>
      </c>
      <c r="BF242" s="0" t="n">
        <f aca="false">20*LOG(BA242*J242*F242*C242)</f>
        <v>27.7119238074186</v>
      </c>
      <c r="BG242" s="0" t="n">
        <f aca="false">(180/Pi)*(D242+H242+BC242)</f>
        <v>-232.259183065508</v>
      </c>
      <c r="BH242" s="0" t="n">
        <f aca="false">IF(BG242&gt;180,BG242-180,BG242+180)</f>
        <v>-52.2591830655076</v>
      </c>
      <c r="BI242" s="0" t="n">
        <f aca="false">IF(BH242&gt;180,BH242-360,BH242)</f>
        <v>-52.2591830655076</v>
      </c>
      <c r="BJ242" s="0" t="n">
        <f aca="false">SUM((BF243&lt;0)*(BF242&gt;0))*A242</f>
        <v>0</v>
      </c>
      <c r="BK242" s="0" t="n">
        <f aca="false">IF(BJ242&gt;0,BI242,0)</f>
        <v>0</v>
      </c>
      <c r="BM242" s="0" t="n">
        <f aca="false">20*LOG(J242*F242*C242)</f>
        <v>-0.679797724214575</v>
      </c>
      <c r="BN242" s="0" t="n">
        <f aca="false">(H242+D242)*180/Pi</f>
        <v>-167.877700435648</v>
      </c>
      <c r="BQ242" s="347" t="n">
        <f aca="false">20*LOG(BA242*7)</f>
        <v>45.2936823319183</v>
      </c>
      <c r="BR242" s="353"/>
      <c r="BS242" s="353"/>
      <c r="BT242" s="353" t="n">
        <v>20892.961</v>
      </c>
      <c r="BU242" s="353" t="n">
        <v>-3.56201</v>
      </c>
      <c r="BV242" s="353" t="n">
        <v>-172.084</v>
      </c>
      <c r="BY242" s="353"/>
      <c r="BZ242" s="353"/>
      <c r="CA242" s="353"/>
      <c r="CC242" s="353"/>
    </row>
    <row r="243" customFormat="false" ht="12.75" hidden="false" customHeight="false" outlineLevel="0" collapsed="false">
      <c r="A243" s="0" t="n">
        <f aca="false">A242+5000</f>
        <v>145000</v>
      </c>
      <c r="B243" s="0" t="n">
        <f aca="false">A243/1000</f>
        <v>145</v>
      </c>
      <c r="C243" s="0" t="n">
        <f aca="false">SQRT((A243/Fesr)^2+1)</f>
        <v>1.00000041501678</v>
      </c>
      <c r="D243" s="0" t="n">
        <f aca="false">ATAN(A243/Fesr)</f>
        <v>0.000911061616429432</v>
      </c>
      <c r="F243" s="0" t="n">
        <f aca="false">(Ro/(Ro+Rdcr))/SQRT((A243/(Q*Fo))^2+(1-(A243^2/Fo^2))^2)</f>
        <v>0.0952693050890885</v>
      </c>
      <c r="G243" s="0" t="n">
        <f aca="false">-ATAN(A243*Fo/(Q*(Fo^2-A243^2)))</f>
        <v>0.20222018846502</v>
      </c>
      <c r="H243" s="0" t="n">
        <f aca="false">IF(G243&gt;0,G243-Pi,G243)</f>
        <v>-2.93937246153498</v>
      </c>
      <c r="J243" s="0" t="n">
        <f aca="false">Vin/Vramp</f>
        <v>9</v>
      </c>
      <c r="M243" s="0" t="n">
        <f aca="false">1/(2*Pi*_Rfb1*(Cc1ea_u+Cc2ea_u)*A243)</f>
        <v>0.0406526036459148</v>
      </c>
      <c r="N243" s="0" t="n">
        <f aca="false">-Pi/2</f>
        <v>-1.570796325</v>
      </c>
      <c r="O243" s="0" t="n">
        <f aca="false">SQRT(1+(A243/Fz1_u)^2)</f>
        <v>3.68065773664763</v>
      </c>
      <c r="P243" s="0" t="n">
        <f aca="false">ATAN2(Fz1_u,A243)</f>
        <v>1.295647082478</v>
      </c>
      <c r="Q243" s="0" t="n">
        <f aca="false">SQRT(1+(A243/Fz2_u)^2)</f>
        <v>4019.41558734955</v>
      </c>
      <c r="R243" s="0" t="n">
        <f aca="false">ATAN2(Fz2_u,A243)</f>
        <v>1.57054753440491</v>
      </c>
      <c r="S243" s="0" t="n">
        <f aca="false">1/SQRT(1+(A243/Fp1_u)^2)</f>
        <v>0.0926811368428898</v>
      </c>
      <c r="T243" s="0" t="n">
        <f aca="false">-ATAN2(Fp1_u,A243)</f>
        <v>-1.47798198913285</v>
      </c>
      <c r="U243" s="0" t="n">
        <f aca="false">1/SQRT(1+(A243/Fp2_u)^2)</f>
        <v>0.93052279587079</v>
      </c>
      <c r="V243" s="0" t="n">
        <f aca="false">-ATAN2(Fp2_u,A243)</f>
        <v>-0.374958569764678</v>
      </c>
      <c r="X243" s="0" t="n">
        <f aca="false">20*LOG(C243*J243*O243*Q243*F243*M243*S243*U243)</f>
        <v>32.9618153759938</v>
      </c>
      <c r="Y243" s="0" t="n">
        <f aca="false">(180/Pi)*(D243+H243+N243+P243+R243+T243+V243)</f>
        <v>-200.306255506413</v>
      </c>
      <c r="Z243" s="0" t="n">
        <f aca="false">Y243+180</f>
        <v>-20.3062555064132</v>
      </c>
      <c r="AC243" s="0" t="n">
        <v>1</v>
      </c>
      <c r="AD243" s="0" t="n">
        <f aca="false">Rcea1_u*Cc1ea_u*A243*2*Pi</f>
        <v>3.542208544728</v>
      </c>
      <c r="AE243" s="0" t="n">
        <f aca="false">-Rcea1_u*Cc1ea_u*Cc2ea_u*(A243*2*Pi)^2</f>
        <v>-0.000484075670306484</v>
      </c>
      <c r="AF243" s="0" t="n">
        <f aca="false">(Cc2ea_u+Cc1ea_u)*A243*2*Pi</f>
        <v>0.001229933522475</v>
      </c>
      <c r="AG243" s="0" t="n">
        <f aca="false">AC243*AE243/(AE243^2+AF243^2)+AD243*AF243/(AE243^2+AF243^2)</f>
        <v>2216.63404450609</v>
      </c>
      <c r="AH243" s="0" t="n">
        <f aca="false">AD243*AE243/(AE243^2+AF243^2)-AC243*AF243/(AE243^2+AF243^2)</f>
        <v>-1685.47207880546</v>
      </c>
      <c r="AJ243" s="0" t="n">
        <f aca="false">_Rfb1</f>
        <v>20000</v>
      </c>
      <c r="AK243" s="0" t="n">
        <f aca="false">_Rfb1*Rcea2_u*Cc3ea_u*A243*2*Pi</f>
        <v>214864.83106704</v>
      </c>
      <c r="AL243" s="0" t="n">
        <v>1</v>
      </c>
      <c r="AM243" s="0" t="n">
        <f aca="false">(_Rfb1+Rcea2_u)*Cc3ea_u*A243*2*Pi</f>
        <v>4019.41546295335</v>
      </c>
      <c r="AN243" s="0" t="n">
        <f aca="false">AJ243*AL243/(AL243^2+AM243^2)+AK243*AM243/(AL243^2+AM243^2)</f>
        <v>53.4579705918546</v>
      </c>
      <c r="AO243" s="0" t="n">
        <f aca="false">AK243*AL243/(AL243^2+AM243^2)-AJ243*AM243/(AL243^2+AM243^2)</f>
        <v>-4.96254796580595</v>
      </c>
      <c r="AQ243" s="0" t="n">
        <f aca="false">Eadcg/(1+(Eadcg*A243/GBP)^2)</f>
        <v>0.541414972878162</v>
      </c>
      <c r="AR243" s="0" t="n">
        <f aca="false">-(A243*Eadcg*Eadcg/GBP)/(1+(Eadcg*A243/GBP)^2)</f>
        <v>-41.3722251524847</v>
      </c>
      <c r="AT243" s="0" t="n">
        <f aca="false">-AR243*AH243+AG243*AQ243</f>
        <v>-68531.6114714789</v>
      </c>
      <c r="AU243" s="0" t="n">
        <f aca="false">AQ243*AH243+AG243*AR243</f>
        <v>-92619.6225898023</v>
      </c>
      <c r="AV243" s="0" t="n">
        <f aca="false">ATAN2(AT243,AU243)</f>
        <v>-2.20781845192888</v>
      </c>
      <c r="AW243" s="0" t="n">
        <f aca="false">AG243-AH243*AO243/_Rfb2+AG243*AN243/_Rfb2+AN243-AO243*AR243+AQ243*AN243</f>
        <v>2143.28294371233</v>
      </c>
      <c r="AX243" s="0" t="n">
        <f aca="false">AH243+AH243*AN243/_Rfb2+AG243*AO243/_Rfb2+AO243+AO243*AQ243+AN243*AR243</f>
        <v>-3950.2925513805</v>
      </c>
      <c r="AY243" s="0" t="n">
        <f aca="false">ATAN2(AW243,AX243)</f>
        <v>-1.07368075790341</v>
      </c>
      <c r="BA243" s="0" t="n">
        <f aca="false">SQRT(AT243^2+AU243^2)/SQRT(AW243^2+AX243^2)</f>
        <v>25.6364335349685</v>
      </c>
      <c r="BB243" s="0" t="n">
        <f aca="false">20*LOG(BA243)</f>
        <v>28.1771521456275</v>
      </c>
      <c r="BC243" s="0" t="n">
        <f aca="false">AV243-AY243</f>
        <v>-1.13413769402547</v>
      </c>
      <c r="BD243" s="0" t="n">
        <f aca="false">BC243*180/Pi-180</f>
        <v>-244.981303328611</v>
      </c>
      <c r="BF243" s="0" t="n">
        <f aca="false">20*LOG(BA243*J243*F243*C243)</f>
        <v>26.8410658873936</v>
      </c>
      <c r="BG243" s="0" t="n">
        <f aca="false">(180/Pi)*(D243+H243+BC243)</f>
        <v>-233.342739998428</v>
      </c>
      <c r="BH243" s="0" t="n">
        <f aca="false">IF(BG243&gt;180,BG243-180,BG243+180)</f>
        <v>-53.3427399984283</v>
      </c>
      <c r="BI243" s="0" t="n">
        <f aca="false">IF(BH243&gt;180,BH243-360,BH243)</f>
        <v>-53.3427399984283</v>
      </c>
      <c r="BJ243" s="0" t="n">
        <f aca="false">SUM((BF244&lt;0)*(BF243&gt;0))*A243</f>
        <v>0</v>
      </c>
      <c r="BK243" s="0" t="n">
        <f aca="false">IF(BJ243&gt;0,BI243,0)</f>
        <v>0</v>
      </c>
      <c r="BM243" s="0" t="n">
        <f aca="false">20*LOG(J243*F243*C243)</f>
        <v>-1.33608625823392</v>
      </c>
      <c r="BN243" s="0" t="n">
        <f aca="false">(H243+D243)*180/Pi</f>
        <v>-168.361436669817</v>
      </c>
      <c r="BQ243" s="347" t="n">
        <f aca="false">20*LOG(BA243*7)</f>
        <v>45.0791129459126</v>
      </c>
      <c r="BR243" s="353"/>
      <c r="BS243" s="353"/>
      <c r="BT243" s="353" t="n">
        <v>21379.621</v>
      </c>
      <c r="BU243" s="353" t="n">
        <v>-3.5589</v>
      </c>
      <c r="BV243" s="353" t="n">
        <v>-170.629</v>
      </c>
      <c r="BY243" s="353"/>
      <c r="BZ243" s="353"/>
      <c r="CA243" s="353"/>
      <c r="CC243" s="353"/>
    </row>
    <row r="244" customFormat="false" ht="12.75" hidden="false" customHeight="false" outlineLevel="0" collapsed="false">
      <c r="A244" s="0" t="n">
        <f aca="false">A243+5000</f>
        <v>150000</v>
      </c>
      <c r="B244" s="0" t="n">
        <f aca="false">A244/1000</f>
        <v>150</v>
      </c>
      <c r="C244" s="0" t="n">
        <f aca="false">SQRT((A244/Fesr)^2+1)</f>
        <v>1.0000004441321</v>
      </c>
      <c r="D244" s="0" t="n">
        <f aca="false">ATAN(A244/Fesr)</f>
        <v>0.00094247751594366</v>
      </c>
      <c r="F244" s="0" t="n">
        <f aca="false">(Ro/(Ro+Rdcr))/SQRT((A244/(Q*Fo))^2+(1-(A244^2/Fo^2))^2)</f>
        <v>0.0885941109207827</v>
      </c>
      <c r="G244" s="0" t="n">
        <f aca="false">-ATAN(A244*Fo/(Q*(Fo^2-A244^2)))</f>
        <v>0.194435486053858</v>
      </c>
      <c r="H244" s="0" t="n">
        <f aca="false">IF(G244&gt;0,G244-Pi,G244)</f>
        <v>-2.94715716394614</v>
      </c>
      <c r="J244" s="0" t="n">
        <f aca="false">Vin/Vramp</f>
        <v>9</v>
      </c>
      <c r="M244" s="0" t="n">
        <f aca="false">1/(2*Pi*_Rfb1*(Cc1ea_u+Cc2ea_u)*A244)</f>
        <v>0.0392975168577176</v>
      </c>
      <c r="N244" s="0" t="n">
        <f aca="false">-Pi/2</f>
        <v>-1.570796325</v>
      </c>
      <c r="O244" s="0" t="n">
        <f aca="false">SQRT(1+(A244/Fz1_u)^2)</f>
        <v>3.79835330065059</v>
      </c>
      <c r="P244" s="0" t="n">
        <f aca="false">ATAN2(Fz1_u,A244)</f>
        <v>1.30438405282104</v>
      </c>
      <c r="Q244" s="0" t="n">
        <f aca="false">SQRT(1+(A244/Fz2_u)^2)</f>
        <v>4158.0161164083</v>
      </c>
      <c r="R244" s="0" t="n">
        <f aca="false">ATAN2(Fz2_u,A244)</f>
        <v>1.57055582748425</v>
      </c>
      <c r="S244" s="0" t="n">
        <f aca="false">1/SQRT(1+(A244/Fp1_u)^2)</f>
        <v>0.08961700122265</v>
      </c>
      <c r="T244" s="0" t="n">
        <f aca="false">-ATAN2(Fp1_u,A244)</f>
        <v>-1.48105893451769</v>
      </c>
      <c r="U244" s="0" t="n">
        <f aca="false">1/SQRT(1+(A244/Fp2_u)^2)</f>
        <v>0.926175506729725</v>
      </c>
      <c r="V244" s="0" t="n">
        <f aca="false">-ATAN2(Fp2_u,A244)</f>
        <v>-0.386655282673627</v>
      </c>
      <c r="X244" s="0" t="n">
        <f aca="false">20*LOG(C244*J244*O244*Q244*F244*M244*S244*U244)</f>
        <v>32.2715578115423</v>
      </c>
      <c r="Y244" s="0" t="n">
        <f aca="false">(180/Pi)*(D244+H244+N244+P244+R244+T244+V244)</f>
        <v>-201.095887685159</v>
      </c>
      <c r="Z244" s="0" t="n">
        <f aca="false">Y244+180</f>
        <v>-21.0958876851587</v>
      </c>
      <c r="AC244" s="0" t="n">
        <v>1</v>
      </c>
      <c r="AD244" s="0" t="n">
        <f aca="false">Rcea1_u*Cc1ea_u*A244*2*Pi</f>
        <v>3.66435366696</v>
      </c>
      <c r="AE244" s="0" t="n">
        <f aca="false">-Rcea1_u*Cc1ea_u*Cc2ea_u*(A244*2*Pi)^2</f>
        <v>-0.000518035794620494</v>
      </c>
      <c r="AF244" s="0" t="n">
        <f aca="false">(Cc2ea_u+Cc1ea_u)*A244*2*Pi</f>
        <v>0.00127234502325</v>
      </c>
      <c r="AG244" s="0" t="n">
        <f aca="false">AC244*AE244/(AE244^2+AF244^2)+AD244*AF244/(AE244^2+AF244^2)</f>
        <v>2195.97073732112</v>
      </c>
      <c r="AH244" s="0" t="n">
        <f aca="false">AD244*AE244/(AE244^2+AF244^2)-AC244*AF244/(AE244^2+AF244^2)</f>
        <v>-1680.04071758096</v>
      </c>
      <c r="AJ244" s="0" t="n">
        <f aca="false">_Rfb1</f>
        <v>20000</v>
      </c>
      <c r="AK244" s="0" t="n">
        <f aca="false">_Rfb1*Rcea2_u*Cc3ea_u*A244*2*Pi</f>
        <v>222273.9631728</v>
      </c>
      <c r="AL244" s="0" t="n">
        <v>1</v>
      </c>
      <c r="AM244" s="0" t="n">
        <f aca="false">(_Rfb1+Rcea2_u)*Cc3ea_u*A244*2*Pi</f>
        <v>4158.01599615864</v>
      </c>
      <c r="AN244" s="0" t="n">
        <f aca="false">AJ244*AL244/(AL244^2+AM244^2)+AK244*AM244/(AL244^2+AM244^2)</f>
        <v>53.4578896540732</v>
      </c>
      <c r="AO244" s="0" t="n">
        <f aca="false">AK244*AL244/(AL244^2+AM244^2)-AJ244*AM244/(AL244^2+AM244^2)</f>
        <v>-4.79712971974457</v>
      </c>
      <c r="AQ244" s="0" t="n">
        <f aca="false">Eadcg/(1+(Eadcg*A244/GBP)^2)</f>
        <v>0.505927892475123</v>
      </c>
      <c r="AR244" s="0" t="n">
        <f aca="false">-(A244*Eadcg*Eadcg/GBP)/(1+(Eadcg*A244/GBP)^2)</f>
        <v>-39.9935999001584</v>
      </c>
      <c r="AT244" s="0" t="n">
        <f aca="false">-AR244*AH244+AG244*AQ244</f>
        <v>-66079.8734278382</v>
      </c>
      <c r="AU244" s="0" t="n">
        <f aca="false">AQ244*AH244+AG244*AR244</f>
        <v>-88674.754520395</v>
      </c>
      <c r="AV244" s="0" t="n">
        <f aca="false">ATAN2(AT244,AU244)</f>
        <v>-2.21121433679569</v>
      </c>
      <c r="AW244" s="0" t="n">
        <f aca="false">AG244-AH244*AO244/_Rfb2+AG244*AN244/_Rfb2+AN244-AO244*AR244+AQ244*AN244</f>
        <v>2133.81964238959</v>
      </c>
      <c r="AX244" s="0" t="n">
        <f aca="false">AH244+AH244*AN244/_Rfb2+AG244*AO244/_Rfb2+AO244+AO244*AQ244+AN244*AR244</f>
        <v>-3870.39390386369</v>
      </c>
      <c r="AY244" s="0" t="n">
        <f aca="false">ATAN2(AW244,AX244)</f>
        <v>-1.0669414190236</v>
      </c>
      <c r="BA244" s="0" t="n">
        <f aca="false">SQRT(AT244^2+AU244^2)/SQRT(AW244^2+AX244^2)</f>
        <v>25.0220576310719</v>
      </c>
      <c r="BB244" s="0" t="n">
        <f aca="false">20*LOG(BA244)</f>
        <v>27.9664604005749</v>
      </c>
      <c r="BC244" s="0" t="n">
        <f aca="false">AV244-AY244</f>
        <v>-1.14427291777208</v>
      </c>
      <c r="BD244" s="0" t="n">
        <f aca="false">BC244*180/Pi-180</f>
        <v>-245.562008874376</v>
      </c>
      <c r="BF244" s="0" t="n">
        <f aca="false">20*LOG(BA244*J244*F244*C244)</f>
        <v>25.99941153047</v>
      </c>
      <c r="BG244" s="0" t="n">
        <f aca="false">(180/Pi)*(D244+H244+BC244)</f>
        <v>-234.367676139174</v>
      </c>
      <c r="BH244" s="0" t="n">
        <f aca="false">IF(BG244&gt;180,BG244-180,BG244+180)</f>
        <v>-54.3676761391745</v>
      </c>
      <c r="BI244" s="0" t="n">
        <f aca="false">IF(BH244&gt;180,BH244-360,BH244)</f>
        <v>-54.3676761391745</v>
      </c>
      <c r="BJ244" s="0" t="n">
        <f aca="false">SUM((BF245&lt;0)*(BF244&gt;0))*A244</f>
        <v>0</v>
      </c>
      <c r="BK244" s="0" t="n">
        <f aca="false">IF(BJ244&gt;0,BI244,0)</f>
        <v>0</v>
      </c>
      <c r="BM244" s="0" t="n">
        <f aca="false">20*LOG(J244*F244*C244)</f>
        <v>-1.96704887010486</v>
      </c>
      <c r="BN244" s="0" t="n">
        <f aca="false">(H244+D244)*180/Pi</f>
        <v>-168.805667264798</v>
      </c>
      <c r="BQ244" s="347" t="n">
        <f aca="false">20*LOG(BA244*7)</f>
        <v>44.86842120086</v>
      </c>
      <c r="BR244" s="353"/>
      <c r="BS244" s="353"/>
      <c r="BT244" s="353" t="n">
        <v>21877.616</v>
      </c>
      <c r="BU244" s="353" t="n">
        <v>-3.49654</v>
      </c>
      <c r="BV244" s="353" t="n">
        <v>-169.465</v>
      </c>
      <c r="BY244" s="353"/>
      <c r="BZ244" s="353"/>
      <c r="CA244" s="353"/>
      <c r="CC244" s="353"/>
    </row>
    <row r="245" customFormat="false" ht="12.75" hidden="false" customHeight="false" outlineLevel="0" collapsed="false">
      <c r="A245" s="0" t="n">
        <f aca="false">A244+5000</f>
        <v>155000</v>
      </c>
      <c r="B245" s="0" t="n">
        <f aca="false">A245/1000</f>
        <v>155</v>
      </c>
      <c r="C245" s="0" t="n">
        <f aca="false">SQRT((A245/Fesr)^2+1)</f>
        <v>1.00000047423438</v>
      </c>
      <c r="D245" s="0" t="n">
        <f aca="false">ATAN(A245/Fesr)</f>
        <v>0.000973893413597513</v>
      </c>
      <c r="F245" s="0" t="n">
        <f aca="false">(Ro/(Ro+Rdcr))/SQRT((A245/(Q*Fo))^2+(1-(A245^2/Fo^2))^2)</f>
        <v>0.0826085975618414</v>
      </c>
      <c r="G245" s="0" t="n">
        <f aca="false">-ATAN(A245*Fo/(Q*(Fo^2-A245^2)))</f>
        <v>0.187256779042102</v>
      </c>
      <c r="H245" s="0" t="n">
        <f aca="false">IF(G245&gt;0,G245-Pi,G245)</f>
        <v>-2.9543358709579</v>
      </c>
      <c r="J245" s="0" t="n">
        <f aca="false">Vin/Vramp</f>
        <v>9</v>
      </c>
      <c r="M245" s="0" t="n">
        <f aca="false">1/(2*Pi*_Rfb1*(Cc1ea_u+Cc2ea_u)*A245)</f>
        <v>0.0380298550235977</v>
      </c>
      <c r="N245" s="0" t="n">
        <f aca="false">-Pi/2</f>
        <v>-1.570796325</v>
      </c>
      <c r="O245" s="0" t="n">
        <f aca="false">SQRT(1+(A245/Fz1_u)^2)</f>
        <v>3.91632137094908</v>
      </c>
      <c r="P245" s="0" t="n">
        <f aca="false">ATAN2(Fz1_u,A245)</f>
        <v>1.31259526601938</v>
      </c>
      <c r="Q245" s="0" t="n">
        <f aca="false">SQRT(1+(A245/Fz2_u)^2)</f>
        <v>4296.61664573456</v>
      </c>
      <c r="R245" s="0" t="n">
        <f aca="false">ATAN2(Fz2_u,A245)</f>
        <v>1.57056358552625</v>
      </c>
      <c r="S245" s="0" t="n">
        <f aca="false">1/SQRT(1+(A245/Fp1_u)^2)</f>
        <v>0.0867482445218002</v>
      </c>
      <c r="T245" s="0" t="n">
        <f aca="false">-ATAN2(Fp1_u,A245)</f>
        <v>-1.48393891169017</v>
      </c>
      <c r="U245" s="0" t="n">
        <f aca="false">1/SQRT(1+(A245/Fp2_u)^2)</f>
        <v>0.92174430561773</v>
      </c>
      <c r="V245" s="0" t="n">
        <f aca="false">-ATAN2(Fp2_u,A245)</f>
        <v>-0.398241644608324</v>
      </c>
      <c r="X245" s="0" t="n">
        <f aca="false">20*LOG(C245*J245*O245*Q245*F245*M245*S245*U245)</f>
        <v>31.6053744375408</v>
      </c>
      <c r="Y245" s="0" t="n">
        <f aca="false">(180/Pi)*(D245+H245+N245+P245+R245+T245+V245)</f>
        <v>-201.863345113661</v>
      </c>
      <c r="Z245" s="0" t="n">
        <f aca="false">Y245+180</f>
        <v>-21.8633451136608</v>
      </c>
      <c r="AC245" s="0" t="n">
        <v>1</v>
      </c>
      <c r="AD245" s="0" t="n">
        <f aca="false">Rcea1_u*Cc1ea_u*A245*2*Pi</f>
        <v>3.786498789192</v>
      </c>
      <c r="AE245" s="0" t="n">
        <f aca="false">-Rcea1_u*Cc1ea_u*Cc2ea_u*(A245*2*Pi)^2</f>
        <v>-0.000553147109589216</v>
      </c>
      <c r="AF245" s="0" t="n">
        <f aca="false">(Cc2ea_u+Cc1ea_u)*A245*2*Pi</f>
        <v>0.001314756524025</v>
      </c>
      <c r="AG245" s="0" t="n">
        <f aca="false">AC245*AE245/(AE245^2+AF245^2)+AD245*AF245/(AE245^2+AF245^2)</f>
        <v>2175.0081662431</v>
      </c>
      <c r="AH245" s="0" t="n">
        <f aca="false">AD245*AE245/(AE245^2+AF245^2)-AC245*AF245/(AE245^2+AF245^2)</f>
        <v>-1675.6710769122</v>
      </c>
      <c r="AJ245" s="0" t="n">
        <f aca="false">_Rfb1</f>
        <v>20000</v>
      </c>
      <c r="AK245" s="0" t="n">
        <f aca="false">_Rfb1*Rcea2_u*Cc3ea_u*A245*2*Pi</f>
        <v>229683.09527856</v>
      </c>
      <c r="AL245" s="0" t="n">
        <v>1</v>
      </c>
      <c r="AM245" s="0" t="n">
        <f aca="false">(_Rfb1+Rcea2_u)*Cc3ea_u*A245*2*Pi</f>
        <v>4296.61652936393</v>
      </c>
      <c r="AN245" s="0" t="n">
        <f aca="false">AJ245*AL245/(AL245^2+AM245^2)+AK245*AM245/(AL245^2+AM245^2)</f>
        <v>53.4578164219323</v>
      </c>
      <c r="AO245" s="0" t="n">
        <f aca="false">AK245*AL245/(AL245^2+AM245^2)-AJ245*AM245/(AL245^2+AM245^2)</f>
        <v>-4.64238361679695</v>
      </c>
      <c r="AQ245" s="0" t="n">
        <f aca="false">Eadcg/(1+(Eadcg*A245/GBP)^2)</f>
        <v>0.473818655327606</v>
      </c>
      <c r="AR245" s="0" t="n">
        <f aca="false">-(A245*Eadcg*Eadcg/GBP)/(1+(Eadcg*A245/GBP)^2)</f>
        <v>-38.7038768604355</v>
      </c>
      <c r="AT245" s="0" t="n">
        <f aca="false">-AR245*AH245+AG245*AQ245</f>
        <v>-63824.4075747472</v>
      </c>
      <c r="AU245" s="0" t="n">
        <f aca="false">AQ245*AH245+AG245*AR245</f>
        <v>-84975.2124531484</v>
      </c>
      <c r="AV245" s="0" t="n">
        <f aca="false">ATAN2(AT245,AU245)</f>
        <v>-2.21499749398019</v>
      </c>
      <c r="AW245" s="0" t="n">
        <f aca="false">AG245-AH245*AO245/_Rfb2+AG245*AN245/_Rfb2+AN245-AO245*AR245+AQ245*AN245</f>
        <v>2122.93848520609</v>
      </c>
      <c r="AX245" s="0" t="n">
        <f aca="false">AH245+AH245*AN245/_Rfb2+AG245*AO245/_Rfb2+AO245+AO245*AQ245+AN245*AR245</f>
        <v>-3796.39157510477</v>
      </c>
      <c r="AY245" s="0" t="n">
        <f aca="false">ATAN2(AW245,AX245)</f>
        <v>-1.06091796512637</v>
      </c>
      <c r="BA245" s="0" t="n">
        <f aca="false">SQRT(AT245^2+AU245^2)/SQRT(AW245^2+AX245^2)</f>
        <v>24.4329626125736</v>
      </c>
      <c r="BB245" s="0" t="n">
        <f aca="false">20*LOG(BA245)</f>
        <v>27.7595226086325</v>
      </c>
      <c r="BC245" s="0" t="n">
        <f aca="false">AV245-AY245</f>
        <v>-1.15407952885382</v>
      </c>
      <c r="BD245" s="0" t="n">
        <f aca="false">BC245*180/Pi-180</f>
        <v>-246.123886301328</v>
      </c>
      <c r="BF245" s="0" t="n">
        <f aca="false">20*LOG(BA245*J245*F245*C245)</f>
        <v>25.1848819015581</v>
      </c>
      <c r="BG245" s="0" t="n">
        <f aca="false">(180/Pi)*(D245+H245+BC245)</f>
        <v>-235.339063182383</v>
      </c>
      <c r="BH245" s="0" t="n">
        <f aca="false">IF(BG245&gt;180,BG245-180,BG245+180)</f>
        <v>-55.3390631823833</v>
      </c>
      <c r="BI245" s="0" t="n">
        <f aca="false">IF(BH245&gt;180,BH245-360,BH245)</f>
        <v>-55.3390631823833</v>
      </c>
      <c r="BJ245" s="0" t="n">
        <f aca="false">SUM((BF246&lt;0)*(BF245&gt;0))*A245</f>
        <v>0</v>
      </c>
      <c r="BK245" s="0" t="n">
        <f aca="false">IF(BJ245&gt;0,BI245,0)</f>
        <v>0</v>
      </c>
      <c r="BM245" s="0" t="n">
        <f aca="false">20*LOG(J245*F245*C245)</f>
        <v>-2.57464070707444</v>
      </c>
      <c r="BN245" s="0" t="n">
        <f aca="false">(H245+D245)*180/Pi</f>
        <v>-169.215176881056</v>
      </c>
      <c r="BQ245" s="347" t="n">
        <f aca="false">20*LOG(BA245*7)</f>
        <v>44.6614834089177</v>
      </c>
      <c r="BR245" s="353"/>
      <c r="BS245" s="353"/>
      <c r="BT245" s="353" t="n">
        <v>22387.211</v>
      </c>
      <c r="BU245" s="353" t="n">
        <v>-3.4356</v>
      </c>
      <c r="BV245" s="353" t="n">
        <v>-168.343</v>
      </c>
      <c r="BY245" s="353"/>
      <c r="BZ245" s="353"/>
      <c r="CA245" s="353"/>
      <c r="CC245" s="353"/>
    </row>
    <row r="246" customFormat="false" ht="12.75" hidden="false" customHeight="false" outlineLevel="0" collapsed="false">
      <c r="A246" s="0" t="n">
        <f aca="false">A245+5000</f>
        <v>160000</v>
      </c>
      <c r="B246" s="0" t="n">
        <f aca="false">A246/1000</f>
        <v>160</v>
      </c>
      <c r="C246" s="0" t="n">
        <f aca="false">SQRT((A246/Fesr)^2+1)</f>
        <v>1.00000050532362</v>
      </c>
      <c r="D246" s="0" t="n">
        <f aca="false">ATAN(A246/Fesr)</f>
        <v>0.00100530930932898</v>
      </c>
      <c r="F246" s="0" t="n">
        <f aca="false">(Ro/(Ro+Rdcr))/SQRT((A246/(Q*Fo))^2+(1-(A246^2/Fo^2))^2)</f>
        <v>0.0772195995813747</v>
      </c>
      <c r="G246" s="0" t="n">
        <f aca="false">-ATAN(A246*Fo/(Q*(Fo^2-A246^2)))</f>
        <v>0.180613763863596</v>
      </c>
      <c r="H246" s="0" t="n">
        <f aca="false">IF(G246&gt;0,G246-Pi,G246)</f>
        <v>-2.9609788861364</v>
      </c>
      <c r="J246" s="0" t="n">
        <f aca="false">Vin/Vramp</f>
        <v>9</v>
      </c>
      <c r="M246" s="0" t="n">
        <f aca="false">1/(2*Pi*_Rfb1*(Cc1ea_u+Cc2ea_u)*A246)</f>
        <v>0.0368414220541103</v>
      </c>
      <c r="N246" s="0" t="n">
        <f aca="false">-Pi/2</f>
        <v>-1.570796325</v>
      </c>
      <c r="O246" s="0" t="n">
        <f aca="false">SQRT(1+(A246/Fz1_u)^2)</f>
        <v>4.03453804373089</v>
      </c>
      <c r="P246" s="0" t="n">
        <f aca="false">ATAN2(Fz1_u,A246)</f>
        <v>1.32032577904996</v>
      </c>
      <c r="Q246" s="0" t="n">
        <f aca="false">SQRT(1+(A246/Fz2_u)^2)</f>
        <v>4435.21717530327</v>
      </c>
      <c r="R246" s="0" t="n">
        <f aca="false">ATAN2(Fz2_u,A246)</f>
        <v>1.57057085869064</v>
      </c>
      <c r="S246" s="0" t="n">
        <f aca="false">1/SQRT(1+(A246/Fp1_u)^2)</f>
        <v>0.0840568224359364</v>
      </c>
      <c r="T246" s="0" t="n">
        <f aca="false">-ATAN2(Fp1_u,A246)</f>
        <v>-1.48664020370247</v>
      </c>
      <c r="U246" s="0" t="n">
        <f aca="false">1/SQRT(1+(A246/Fp2_u)^2)</f>
        <v>0.917233933741138</v>
      </c>
      <c r="V246" s="0" t="n">
        <f aca="false">-ATAN2(Fp2_u,A246)</f>
        <v>-0.409716143435673</v>
      </c>
      <c r="X246" s="0" t="n">
        <f aca="false">20*LOG(C246*J246*O246*Q246*F246*M246*S246*U246)</f>
        <v>30.9613689367065</v>
      </c>
      <c r="Y246" s="0" t="n">
        <f aca="false">(180/Pi)*(D246+H246+N246+P246+R246+T246+V246)</f>
        <v>-202.611032343875</v>
      </c>
      <c r="Z246" s="0" t="n">
        <f aca="false">Y246+180</f>
        <v>-22.6110323438752</v>
      </c>
      <c r="AC246" s="0" t="n">
        <v>1</v>
      </c>
      <c r="AD246" s="0" t="n">
        <f aca="false">Rcea1_u*Cc1ea_u*A246*2*Pi</f>
        <v>3.908643911424</v>
      </c>
      <c r="AE246" s="0" t="n">
        <f aca="false">-Rcea1_u*Cc1ea_u*Cc2ea_u*(A246*2*Pi)^2</f>
        <v>-0.000589409615212651</v>
      </c>
      <c r="AF246" s="0" t="n">
        <f aca="false">(Cc2ea_u+Cc1ea_u)*A246*2*Pi</f>
        <v>0.0013571680248</v>
      </c>
      <c r="AG246" s="0" t="n">
        <f aca="false">AC246*AE246/(AE246^2+AF246^2)+AD246*AF246/(AE246^2+AF246^2)</f>
        <v>2153.77430836798</v>
      </c>
      <c r="AH246" s="0" t="n">
        <f aca="false">AD246*AE246/(AE246^2+AF246^2)-AC246*AF246/(AE246^2+AF246^2)</f>
        <v>-1672.19920074709</v>
      </c>
      <c r="AJ246" s="0" t="n">
        <f aca="false">_Rfb1</f>
        <v>20000</v>
      </c>
      <c r="AK246" s="0" t="n">
        <f aca="false">_Rfb1*Rcea2_u*Cc3ea_u*A246*2*Pi</f>
        <v>237092.22738432</v>
      </c>
      <c r="AL246" s="0" t="n">
        <v>1</v>
      </c>
      <c r="AM246" s="0" t="n">
        <f aca="false">(_Rfb1+Rcea2_u)*Cc3ea_u*A246*2*Pi</f>
        <v>4435.21706256922</v>
      </c>
      <c r="AN246" s="0" t="n">
        <f aca="false">AJ246*AL246/(AL246^2+AM246^2)+AK246*AM246/(AL246^2+AM246^2)</f>
        <v>53.4577499474444</v>
      </c>
      <c r="AO246" s="0" t="n">
        <f aca="false">AK246*AL246/(AL246^2+AM246^2)-AJ246*AM246/(AL246^2+AM246^2)</f>
        <v>-4.49730914375992</v>
      </c>
      <c r="AQ246" s="0" t="n">
        <f aca="false">Eadcg/(1+(Eadcg*A246/GBP)^2)</f>
        <v>0.444671802396289</v>
      </c>
      <c r="AR246" s="0" t="n">
        <f aca="false">-(A246*Eadcg*Eadcg/GBP)/(1+(Eadcg*A246/GBP)^2)</f>
        <v>-37.4947263780551</v>
      </c>
      <c r="AT246" s="0" t="n">
        <f aca="false">-AR246*AH246+AG246*AQ246</f>
        <v>-61740.9287779577</v>
      </c>
      <c r="AU246" s="0" t="n">
        <f aca="false">AQ246*AH246+AG246*AR246</f>
        <v>-81498.7582049041</v>
      </c>
      <c r="AV246" s="0" t="n">
        <f aca="false">ATAN2(AT246,AU246)</f>
        <v>-2.21912399140146</v>
      </c>
      <c r="AW246" s="0" t="n">
        <f aca="false">AG246-AH246*AO246/_Rfb2+AG246*AN246/_Rfb2+AN246-AO246*AR246+AQ246*AN246</f>
        <v>2110.80482580272</v>
      </c>
      <c r="AX246" s="0" t="n">
        <f aca="false">AH246+AH246*AN246/_Rfb2+AG246*AO246/_Rfb2+AO246+AO246*AQ246+AN246*AR246</f>
        <v>-3727.66523155156</v>
      </c>
      <c r="AY246" s="0" t="n">
        <f aca="false">ATAN2(AW246,AX246)</f>
        <v>-1.05555984403648</v>
      </c>
      <c r="BA246" s="0" t="n">
        <f aca="false">SQRT(AT246^2+AU246^2)/SQRT(AW246^2+AX246^2)</f>
        <v>23.867742644106</v>
      </c>
      <c r="BB246" s="0" t="n">
        <f aca="false">20*LOG(BA246)</f>
        <v>27.5562269276282</v>
      </c>
      <c r="BC246" s="0" t="n">
        <f aca="false">AV246-AY246</f>
        <v>-1.16356414736498</v>
      </c>
      <c r="BD246" s="0" t="n">
        <f aca="false">BC246*180/Pi-180</f>
        <v>-246.66731491293</v>
      </c>
      <c r="BF246" s="0" t="n">
        <f aca="false">20*LOG(BA246*J246*F246*C246)</f>
        <v>24.3956324112013</v>
      </c>
      <c r="BG246" s="0" t="n">
        <f aca="false">(180/Pi)*(D246+H246+BC246)</f>
        <v>-236.261308529153</v>
      </c>
      <c r="BH246" s="0" t="n">
        <f aca="false">IF(BG246&gt;180,BG246-180,BG246+180)</f>
        <v>-56.2613085291533</v>
      </c>
      <c r="BI246" s="0" t="n">
        <f aca="false">IF(BH246&gt;180,BH246-360,BH246)</f>
        <v>-56.2613085291533</v>
      </c>
      <c r="BJ246" s="0" t="n">
        <f aca="false">SUM((BF247&lt;0)*(BF246&gt;0))*A246</f>
        <v>0</v>
      </c>
      <c r="BK246" s="0" t="n">
        <f aca="false">IF(BJ246&gt;0,BI246,0)</f>
        <v>0</v>
      </c>
      <c r="BM246" s="0" t="n">
        <f aca="false">20*LOG(J246*F246*C246)</f>
        <v>-3.16059451642691</v>
      </c>
      <c r="BN246" s="0" t="n">
        <f aca="false">(H246+D246)*180/Pi</f>
        <v>-169.593993616223</v>
      </c>
      <c r="BQ246" s="347" t="n">
        <f aca="false">20*LOG(BA246*7)</f>
        <v>44.4581877279134</v>
      </c>
      <c r="BR246" s="353"/>
      <c r="BS246" s="353"/>
      <c r="BT246" s="353" t="n">
        <v>22908.677</v>
      </c>
      <c r="BU246" s="353" t="n">
        <v>-3.37297</v>
      </c>
      <c r="BV246" s="353" t="n">
        <v>-167.039</v>
      </c>
      <c r="BY246" s="353"/>
      <c r="BZ246" s="353"/>
      <c r="CA246" s="353"/>
      <c r="CC246" s="353"/>
    </row>
    <row r="247" customFormat="false" ht="12.75" hidden="false" customHeight="false" outlineLevel="0" collapsed="false">
      <c r="A247" s="0" t="n">
        <f aca="false">A246+5000</f>
        <v>165000</v>
      </c>
      <c r="B247" s="0" t="n">
        <f aca="false">A247/1000</f>
        <v>165</v>
      </c>
      <c r="C247" s="0" t="n">
        <f aca="false">SQRT((A247/Fesr)^2+1)</f>
        <v>1.00000053739981</v>
      </c>
      <c r="D247" s="0" t="n">
        <f aca="false">ATAN(A247/Fesr)</f>
        <v>0.00103672520307605</v>
      </c>
      <c r="F247" s="0" t="n">
        <f aca="false">(Ro/(Ro+Rdcr))/SQRT((A247/(Q*Fo))^2+(1-(A247^2/Fo^2))^2)</f>
        <v>0.0723493426399797</v>
      </c>
      <c r="G247" s="0" t="n">
        <f aca="false">-ATAN(A247*Fo/(Q*(Fo^2-A247^2)))</f>
        <v>0.17444680635261</v>
      </c>
      <c r="H247" s="0" t="n">
        <f aca="false">IF(G247&gt;0,G247-Pi,G247)</f>
        <v>-2.96714584364739</v>
      </c>
      <c r="J247" s="0" t="n">
        <f aca="false">Vin/Vramp</f>
        <v>9</v>
      </c>
      <c r="M247" s="0" t="n">
        <f aca="false">1/(2*Pi*_Rfb1*(Cc1ea_u+Cc2ea_u)*A247)</f>
        <v>0.0357250153251978</v>
      </c>
      <c r="N247" s="0" t="n">
        <f aca="false">-Pi/2</f>
        <v>-1.570796325</v>
      </c>
      <c r="O247" s="0" t="n">
        <f aca="false">SQRT(1+(A247/Fz1_u)^2)</f>
        <v>4.1529820892753</v>
      </c>
      <c r="P247" s="0" t="n">
        <f aca="false">ATAN2(Fz1_u,A247)</f>
        <v>1.3276157551082</v>
      </c>
      <c r="Q247" s="0" t="n">
        <f aca="false">SQRT(1+(A247/Fz2_u)^2)</f>
        <v>4573.81770509237</v>
      </c>
      <c r="R247" s="0" t="n">
        <f aca="false">ATAN2(Fz2_u,A247)</f>
        <v>1.57057769105722</v>
      </c>
      <c r="S247" s="0" t="n">
        <f aca="false">1/SQRT(1+(A247/Fp1_u)^2)</f>
        <v>0.0815268388462247</v>
      </c>
      <c r="T247" s="0" t="n">
        <f aca="false">-ATAN2(Fp1_u,A247)</f>
        <v>-1.48917890369007</v>
      </c>
      <c r="U247" s="0" t="n">
        <f aca="false">1/SQRT(1+(A247/Fp2_u)^2)</f>
        <v>0.91264908366339</v>
      </c>
      <c r="V247" s="0" t="n">
        <f aca="false">-ATAN2(Fp2_u,A247)</f>
        <v>-0.42107741386989</v>
      </c>
      <c r="X247" s="0" t="n">
        <f aca="false">20*LOG(C247*J247*O247*Q247*F247*M247*S247*U247)</f>
        <v>30.3378618149413</v>
      </c>
      <c r="Y247" s="0" t="n">
        <f aca="false">(180/Pi)*(D247+H247+N247+P247+R247+T247+V247)</f>
        <v>-203.340906298273</v>
      </c>
      <c r="Z247" s="0" t="n">
        <f aca="false">Y247+180</f>
        <v>-23.3409062982735</v>
      </c>
      <c r="AC247" s="0" t="n">
        <v>1</v>
      </c>
      <c r="AD247" s="0" t="n">
        <f aca="false">Rcea1_u*Cc1ea_u*A247*2*Pi</f>
        <v>4.030789033656</v>
      </c>
      <c r="AE247" s="0" t="n">
        <f aca="false">-Rcea1_u*Cc1ea_u*Cc2ea_u*(A247*2*Pi)^2</f>
        <v>-0.000626823311490798</v>
      </c>
      <c r="AF247" s="0" t="n">
        <f aca="false">(Cc2ea_u+Cc1ea_u)*A247*2*Pi</f>
        <v>0.001399579525575</v>
      </c>
      <c r="AG247" s="0" t="n">
        <f aca="false">AC247*AE247/(AE247^2+AF247^2)+AD247*AF247/(AE247^2+AF247^2)</f>
        <v>2132.29657577376</v>
      </c>
      <c r="AH247" s="0" t="n">
        <f aca="false">AD247*AE247/(AE247^2+AF247^2)-AC247*AF247/(AE247^2+AF247^2)</f>
        <v>-1669.48226807408</v>
      </c>
      <c r="AJ247" s="0" t="n">
        <f aca="false">_Rfb1</f>
        <v>20000</v>
      </c>
      <c r="AK247" s="0" t="n">
        <f aca="false">_Rfb1*Rcea2_u*Cc3ea_u*A247*2*Pi</f>
        <v>244501.35949008</v>
      </c>
      <c r="AL247" s="0" t="n">
        <v>1</v>
      </c>
      <c r="AM247" s="0" t="n">
        <f aca="false">(_Rfb1+Rcea2_u)*Cc3ea_u*A247*2*Pi</f>
        <v>4573.8175957745</v>
      </c>
      <c r="AN247" s="0" t="n">
        <f aca="false">AJ247*AL247/(AL247^2+AM247^2)+AK247*AM247/(AL247^2+AM247^2)</f>
        <v>53.4576894240442</v>
      </c>
      <c r="AO247" s="0" t="n">
        <f aca="false">AK247*AL247/(AL247^2+AM247^2)-AJ247*AM247/(AL247^2+AM247^2)</f>
        <v>-4.36102706172705</v>
      </c>
      <c r="AQ247" s="0" t="n">
        <f aca="false">Eadcg/(1+(Eadcg*A247/GBP)^2)</f>
        <v>0.418133836356361</v>
      </c>
      <c r="AR247" s="0" t="n">
        <f aca="false">-(A247*Eadcg*Eadcg/GBP)/(1+(Eadcg*A247/GBP)^2)</f>
        <v>-36.3588277403674</v>
      </c>
      <c r="AT247" s="0" t="n">
        <f aca="false">-AR247*AH247+AG247*AQ247</f>
        <v>-59808.8328530255</v>
      </c>
      <c r="AU247" s="0" t="n">
        <f aca="false">AQ247*AH247+AG247*AR247</f>
        <v>-78225.8709154121</v>
      </c>
      <c r="AV247" s="0" t="n">
        <f aca="false">ATAN2(AT247,AU247)</f>
        <v>-2.22355461804268</v>
      </c>
      <c r="AW247" s="0" t="n">
        <f aca="false">AG247-AH247*AO247/_Rfb2+AG247*AN247/_Rfb2+AN247-AO247*AR247+AQ247*AN247</f>
        <v>2097.5630480919</v>
      </c>
      <c r="AX247" s="0" t="n">
        <f aca="false">AH247+AH247*AN247/_Rfb2+AG247*AO247/_Rfb2+AO247+AO247*AQ247+AN247*AR247</f>
        <v>-3663.67125972376</v>
      </c>
      <c r="AY247" s="0" t="n">
        <f aca="false">ATAN2(AW247,AX247)</f>
        <v>-1.05082002298652</v>
      </c>
      <c r="BA247" s="0" t="n">
        <f aca="false">SQRT(AT247^2+AU247^2)/SQRT(AW247^2+AX247^2)</f>
        <v>23.3251007200127</v>
      </c>
      <c r="BB247" s="0" t="n">
        <f aca="false">20*LOG(BA247)</f>
        <v>27.3564705549528</v>
      </c>
      <c r="BC247" s="0" t="n">
        <f aca="false">AV247-AY247</f>
        <v>-1.17273459505617</v>
      </c>
      <c r="BD247" s="0" t="n">
        <f aca="false">BC247*180/Pi-180</f>
        <v>-247.192742862481</v>
      </c>
      <c r="BF247" s="0" t="n">
        <f aca="false">20*LOG(BA247*J247*F247*C247)</f>
        <v>23.6300172017331</v>
      </c>
      <c r="BG247" s="0" t="n">
        <f aca="false">(180/Pi)*(D247+H247+BC247)</f>
        <v>-237.1382771188</v>
      </c>
      <c r="BH247" s="0" t="n">
        <f aca="false">IF(BG247&gt;180,BG247-180,BG247+180)</f>
        <v>-57.1382771188003</v>
      </c>
      <c r="BI247" s="0" t="n">
        <f aca="false">IF(BH247&gt;180,BH247-360,BH247)</f>
        <v>-57.1382771188003</v>
      </c>
      <c r="BJ247" s="0" t="n">
        <f aca="false">SUM((BF248&lt;0)*(BF247&gt;0))*A247</f>
        <v>0</v>
      </c>
      <c r="BK247" s="0" t="n">
        <f aca="false">IF(BJ247&gt;0,BI247,0)</f>
        <v>0</v>
      </c>
      <c r="BM247" s="0" t="n">
        <f aca="false">20*LOG(J247*F247*C247)</f>
        <v>-3.72645335321971</v>
      </c>
      <c r="BN247" s="0" t="n">
        <f aca="false">(H247+D247)*180/Pi</f>
        <v>-169.945534256319</v>
      </c>
      <c r="BQ247" s="347" t="n">
        <f aca="false">20*LOG(BA247*7)</f>
        <v>44.2584313552379</v>
      </c>
      <c r="BR247" s="353"/>
      <c r="BS247" s="353"/>
      <c r="BT247" s="353" t="n">
        <v>23442.288</v>
      </c>
      <c r="BU247" s="353" t="n">
        <v>-3.29522</v>
      </c>
      <c r="BV247" s="353" t="n">
        <v>-165.876</v>
      </c>
      <c r="BY247" s="353"/>
      <c r="BZ247" s="353"/>
      <c r="CA247" s="353"/>
      <c r="CC247" s="353"/>
    </row>
    <row r="248" customFormat="false" ht="12.75" hidden="false" customHeight="false" outlineLevel="0" collapsed="false">
      <c r="A248" s="0" t="n">
        <f aca="false">A247+5000</f>
        <v>170000</v>
      </c>
      <c r="B248" s="0" t="n">
        <f aca="false">A248/1000</f>
        <v>170</v>
      </c>
      <c r="C248" s="0" t="n">
        <f aca="false">SQRT((A248/Fesr)^2+1)</f>
        <v>1.00000057046297</v>
      </c>
      <c r="D248" s="0" t="n">
        <f aca="false">ATAN(A248/Fesr)</f>
        <v>0.00106814109477671</v>
      </c>
      <c r="F248" s="0" t="n">
        <f aca="false">(Ro/(Ro+Rdcr))/SQRT((A248/(Q*Fo))^2+(1-(A248^2/Fo^2))^2)</f>
        <v>0.0679324640241412</v>
      </c>
      <c r="G248" s="0" t="n">
        <f aca="false">-ATAN(A248*Fo/(Q*(Fo^2-A248^2)))</f>
        <v>0.168704971521999</v>
      </c>
      <c r="H248" s="0" t="n">
        <f aca="false">IF(G248&gt;0,G248-Pi,G248)</f>
        <v>-2.972887678478</v>
      </c>
      <c r="J248" s="0" t="n">
        <f aca="false">Vin/Vramp</f>
        <v>9</v>
      </c>
      <c r="M248" s="0" t="n">
        <f aca="false">1/(2*Pi*_Rfb1*(Cc1ea_u+Cc2ea_u)*A248)</f>
        <v>0.0346742795803391</v>
      </c>
      <c r="N248" s="0" t="n">
        <f aca="false">-Pi/2</f>
        <v>-1.570796325</v>
      </c>
      <c r="O248" s="0" t="n">
        <f aca="false">SQRT(1+(A248/Fz1_u)^2)</f>
        <v>4.27163459382251</v>
      </c>
      <c r="P248" s="0" t="n">
        <f aca="false">ATAN2(Fz1_u,A248)</f>
        <v>1.33450109536425</v>
      </c>
      <c r="Q248" s="0" t="n">
        <f aca="false">SQRT(1+(A248/Fz2_u)^2)</f>
        <v>4712.41823508243</v>
      </c>
      <c r="R248" s="0" t="n">
        <f aca="false">ATAN2(Fz2_u,A248)</f>
        <v>1.57058412151989</v>
      </c>
      <c r="S248" s="0" t="n">
        <f aca="false">1/SQRT(1+(A248/Fp1_u)^2)</f>
        <v>0.0791442364127807</v>
      </c>
      <c r="T248" s="0" t="n">
        <f aca="false">-ATAN2(Fp1_u,A248)</f>
        <v>-1.49156923253771</v>
      </c>
      <c r="U248" s="0" t="n">
        <f aca="false">1/SQRT(1+(A248/Fp2_u)^2)</f>
        <v>0.907994389973969</v>
      </c>
      <c r="V248" s="0" t="n">
        <f aca="false">-ATAN2(Fp2_u,A248)</f>
        <v>-0.432324234325364</v>
      </c>
      <c r="X248" s="0" t="n">
        <f aca="false">20*LOG(C248*J248*O248*Q248*F248*M248*S248*U248)</f>
        <v>29.733359054108</v>
      </c>
      <c r="Y248" s="0" t="n">
        <f aca="false">(180/Pi)*(D248+H248+N248+P248+R248+T248+V248)</f>
        <v>-204.054570927644</v>
      </c>
      <c r="Z248" s="0" t="n">
        <f aca="false">Y248+180</f>
        <v>-24.0545709276436</v>
      </c>
      <c r="AC248" s="0" t="n">
        <v>1</v>
      </c>
      <c r="AD248" s="0" t="n">
        <f aca="false">Rcea1_u*Cc1ea_u*A248*2*Pi</f>
        <v>4.152934155888</v>
      </c>
      <c r="AE248" s="0" t="n">
        <f aca="false">-Rcea1_u*Cc1ea_u*Cc2ea_u*(A248*2*Pi)^2</f>
        <v>-0.000665388198423657</v>
      </c>
      <c r="AF248" s="0" t="n">
        <f aca="false">(Cc2ea_u+Cc1ea_u)*A248*2*Pi</f>
        <v>0.00144199102635</v>
      </c>
      <c r="AG248" s="0" t="n">
        <f aca="false">AC248*AE248/(AE248^2+AF248^2)+AD248*AF248/(AE248^2+AF248^2)</f>
        <v>2110.60175929395</v>
      </c>
      <c r="AH248" s="0" t="n">
        <f aca="false">AD248*AE248/(AE248^2+AF248^2)-AC248*AF248/(AE248^2+AF248^2)</f>
        <v>-1667.39560667891</v>
      </c>
      <c r="AJ248" s="0" t="n">
        <f aca="false">_Rfb1</f>
        <v>20000</v>
      </c>
      <c r="AK248" s="0" t="n">
        <f aca="false">_Rfb1*Rcea2_u*Cc3ea_u*A248*2*Pi</f>
        <v>251910.49159584</v>
      </c>
      <c r="AL248" s="0" t="n">
        <v>1</v>
      </c>
      <c r="AM248" s="0" t="n">
        <f aca="false">(_Rfb1+Rcea2_u)*Cc3ea_u*A248*2*Pi</f>
        <v>4712.41812897979</v>
      </c>
      <c r="AN248" s="0" t="n">
        <f aca="false">AJ248*AL248/(AL248^2+AM248^2)+AK248*AM248/(AL248^2+AM248^2)</f>
        <v>53.4576341620071</v>
      </c>
      <c r="AO248" s="0" t="n">
        <f aca="false">AK248*AL248/(AL248^2+AM248^2)-AJ248*AM248/(AL248^2+AM248^2)</f>
        <v>-4.23276157163844</v>
      </c>
      <c r="AQ248" s="0" t="n">
        <f aca="false">Eadcg/(1+(Eadcg*A248/GBP)^2)</f>
        <v>0.393902454778422</v>
      </c>
      <c r="AR248" s="0" t="n">
        <f aca="false">-(A248*Eadcg*Eadcg/GBP)/(1+(Eadcg*A248/GBP)^2)</f>
        <v>-35.2897209235989</v>
      </c>
      <c r="AT248" s="0" t="n">
        <f aca="false">-AR248*AH248+AG248*AQ248</f>
        <v>-58010.554414888</v>
      </c>
      <c r="AU248" s="0" t="n">
        <f aca="false">AQ248*AH248+AG248*AR248</f>
        <v>-75139.3382888979</v>
      </c>
      <c r="AV248" s="0" t="n">
        <f aca="false">ATAN2(AT248,AU248)</f>
        <v>-2.22825429602987</v>
      </c>
      <c r="AW248" s="0" t="n">
        <f aca="false">AG248-AH248*AO248/_Rfb2+AG248*AN248/_Rfb2+AN248-AO248*AR248+AQ248*AN248</f>
        <v>2083.34005207738</v>
      </c>
      <c r="AX248" s="0" t="n">
        <f aca="false">AH248+AH248*AN248/_Rfb2+AG248*AO248/_Rfb2+AO248+AO248*AQ248+AN248*AR248</f>
        <v>-3603.93156850141</v>
      </c>
      <c r="AY248" s="0" t="n">
        <f aca="false">ATAN2(AW248,AX248)</f>
        <v>-1.0466547329898</v>
      </c>
      <c r="BA248" s="0" t="n">
        <f aca="false">SQRT(AT248^2+AU248^2)/SQRT(AW248^2+AX248^2)</f>
        <v>22.803834638761</v>
      </c>
      <c r="BB248" s="0" t="n">
        <f aca="false">20*LOG(BA248)</f>
        <v>27.160157661434</v>
      </c>
      <c r="BC248" s="0" t="n">
        <f aca="false">AV248-AY248</f>
        <v>-1.18159956304006</v>
      </c>
      <c r="BD248" s="0" t="n">
        <f aca="false">BC248*180/Pi-180</f>
        <v>-247.700668114057</v>
      </c>
      <c r="BF248" s="0" t="n">
        <f aca="false">20*LOG(BA248*J248*F248*C248)</f>
        <v>22.8865601544771</v>
      </c>
      <c r="BG248" s="0" t="n">
        <f aca="false">(180/Pi)*(D248+H248+BC248)</f>
        <v>-237.973385275202</v>
      </c>
      <c r="BH248" s="0" t="n">
        <f aca="false">IF(BG248&gt;180,BG248-180,BG248+180)</f>
        <v>-57.9733852752017</v>
      </c>
      <c r="BI248" s="0" t="n">
        <f aca="false">IF(BH248&gt;180,BH248-360,BH248)</f>
        <v>-57.9733852752017</v>
      </c>
      <c r="BJ248" s="0" t="n">
        <f aca="false">SUM((BF249&lt;0)*(BF248&gt;0))*A248</f>
        <v>0</v>
      </c>
      <c r="BK248" s="0" t="n">
        <f aca="false">IF(BJ248&gt;0,BI248,0)</f>
        <v>0</v>
      </c>
      <c r="BM248" s="0" t="n">
        <f aca="false">20*LOG(J248*F248*C248)</f>
        <v>-4.27359750695688</v>
      </c>
      <c r="BN248" s="0" t="n">
        <f aca="false">(H248+D248)*180/Pi</f>
        <v>-170.272717161144</v>
      </c>
      <c r="BQ248" s="347" t="n">
        <f aca="false">20*LOG(BA248*7)</f>
        <v>44.0621184617191</v>
      </c>
      <c r="BR248" s="353"/>
      <c r="BS248" s="353"/>
      <c r="BT248" s="353" t="n">
        <v>23988.329</v>
      </c>
      <c r="BU248" s="353" t="n">
        <v>-3.24374</v>
      </c>
      <c r="BV248" s="353" t="n">
        <v>-164.703</v>
      </c>
      <c r="BY248" s="353"/>
      <c r="BZ248" s="353"/>
      <c r="CA248" s="353"/>
      <c r="CC248" s="353"/>
    </row>
    <row r="249" customFormat="false" ht="12.75" hidden="false" customHeight="false" outlineLevel="0" collapsed="false">
      <c r="A249" s="0" t="n">
        <f aca="false">A248+5000</f>
        <v>175000</v>
      </c>
      <c r="B249" s="0" t="n">
        <f aca="false">A249/1000</f>
        <v>175</v>
      </c>
      <c r="C249" s="0" t="n">
        <f aca="false">SQRT((A249/Fesr)^2+1)</f>
        <v>1.00000060451309</v>
      </c>
      <c r="D249" s="0" t="n">
        <f aca="false">ATAN(A249/Fesr)</f>
        <v>0.00109955698436895</v>
      </c>
      <c r="F249" s="0" t="n">
        <f aca="false">(Ro/(Ro+Rdcr))/SQRT((A249/(Q*Fo))^2+(1-(A249^2/Fo^2))^2)</f>
        <v>0.0639136892894551</v>
      </c>
      <c r="G249" s="0" t="n">
        <f aca="false">-ATAN(A249*Fo/(Q*(Fo^2-A249^2)))</f>
        <v>0.163344476474435</v>
      </c>
      <c r="H249" s="0" t="n">
        <f aca="false">IF(G249&gt;0,G249-Pi,G249)</f>
        <v>-2.97824817352557</v>
      </c>
      <c r="J249" s="0" t="n">
        <f aca="false">Vin/Vramp</f>
        <v>9</v>
      </c>
      <c r="M249" s="0" t="n">
        <f aca="false">1/(2*Pi*_Rfb1*(Cc1ea_u+Cc2ea_u)*A249)</f>
        <v>0.0336835858780437</v>
      </c>
      <c r="N249" s="0" t="n">
        <f aca="false">-Pi/2</f>
        <v>-1.570796325</v>
      </c>
      <c r="O249" s="0" t="n">
        <f aca="false">SQRT(1+(A249/Fz1_u)^2)</f>
        <v>4.39047865661718</v>
      </c>
      <c r="P249" s="0" t="n">
        <f aca="false">ATAN2(Fz1_u,A249)</f>
        <v>1.34101397772075</v>
      </c>
      <c r="Q249" s="0" t="n">
        <f aca="false">SQRT(1+(A249/Fz2_u)^2)</f>
        <v>4851.01876525621</v>
      </c>
      <c r="R249" s="0" t="n">
        <f aca="false">ATAN2(Fz2_u,A249)</f>
        <v>1.57059018452758</v>
      </c>
      <c r="S249" s="0" t="n">
        <f aca="false">1/SQRT(1+(A249/Fp1_u)^2)</f>
        <v>0.0768965389802541</v>
      </c>
      <c r="T249" s="0" t="n">
        <f aca="false">-ATAN2(Fp1_u,A249)</f>
        <v>-1.49382380291836</v>
      </c>
      <c r="U249" s="0" t="n">
        <f aca="false">1/SQRT(1+(A249/Fp2_u)^2)</f>
        <v>0.90327442067056</v>
      </c>
      <c r="V249" s="0" t="n">
        <f aca="false">-ATAN2(Fp2_u,A249)</f>
        <v>-0.443455523487502</v>
      </c>
      <c r="X249" s="0" t="n">
        <f aca="false">20*LOG(C249*J249*O249*Q249*F249*M249*S249*U249)</f>
        <v>29.1465261646777</v>
      </c>
      <c r="Y249" s="0" t="n">
        <f aca="false">(180/Pi)*(D249+H249+N249+P249+R249+T249+V249)</f>
        <v>-204.753349873597</v>
      </c>
      <c r="Z249" s="0" t="n">
        <f aca="false">Y249+180</f>
        <v>-24.753349873597</v>
      </c>
      <c r="AC249" s="0" t="n">
        <v>1</v>
      </c>
      <c r="AD249" s="0" t="n">
        <f aca="false">Rcea1_u*Cc1ea_u*A249*2*Pi</f>
        <v>4.27507927812</v>
      </c>
      <c r="AE249" s="0" t="n">
        <f aca="false">-Rcea1_u*Cc1ea_u*Cc2ea_u*(A249*2*Pi)^2</f>
        <v>-0.000705104276011228</v>
      </c>
      <c r="AF249" s="0" t="n">
        <f aca="false">(Cc2ea_u+Cc1ea_u)*A249*2*Pi</f>
        <v>0.001484402527125</v>
      </c>
      <c r="AG249" s="0" t="n">
        <f aca="false">AC249*AE249/(AE249^2+AF249^2)+AD249*AF249/(AE249^2+AF249^2)</f>
        <v>2088.7159783366</v>
      </c>
      <c r="AH249" s="0" t="n">
        <f aca="false">AD249*AE249/(AE249^2+AF249^2)-AC249*AF249/(AE249^2+AF249^2)</f>
        <v>-1665.83020610142</v>
      </c>
      <c r="AJ249" s="0" t="n">
        <f aca="false">_Rfb1</f>
        <v>20000</v>
      </c>
      <c r="AK249" s="0" t="n">
        <f aca="false">_Rfb1*Rcea2_u*Cc3ea_u*A249*2*Pi</f>
        <v>259319.6237016</v>
      </c>
      <c r="AL249" s="0" t="n">
        <v>1</v>
      </c>
      <c r="AM249" s="0" t="n">
        <f aca="false">(_Rfb1+Rcea2_u)*Cc3ea_u*A249*2*Pi</f>
        <v>4851.01866218508</v>
      </c>
      <c r="AN249" s="0" t="n">
        <f aca="false">AJ249*AL249/(AL249^2+AM249^2)+AK249*AM249/(AL249^2+AM249^2)</f>
        <v>53.4575835687114</v>
      </c>
      <c r="AO249" s="0" t="n">
        <f aca="false">AK249*AL249/(AL249^2+AM249^2)-AJ249*AM249/(AL249^2+AM249^2)</f>
        <v>-4.1118255371639</v>
      </c>
      <c r="AQ249" s="0" t="n">
        <f aca="false">Eadcg/(1+(Eadcg*A249/GBP)^2)</f>
        <v>0.371717904375657</v>
      </c>
      <c r="AR249" s="0" t="n">
        <f aca="false">-(A249*Eadcg*Eadcg/GBP)/(1+(Eadcg*A249/GBP)^2)</f>
        <v>-34.281683731045</v>
      </c>
      <c r="AT249" s="0" t="n">
        <f aca="false">-AR249*AH249+AG249*AQ249</f>
        <v>-56331.0511488873</v>
      </c>
      <c r="AU249" s="0" t="n">
        <f aca="false">AQ249*AH249+AG249*AR249</f>
        <v>-72223.9194865733</v>
      </c>
      <c r="AV249" s="0" t="n">
        <f aca="false">ATAN2(AT249,AU249)</f>
        <v>-2.23319157737542</v>
      </c>
      <c r="AW249" s="0" t="n">
        <f aca="false">AG249-AH249*AO249/_Rfb2+AG249*AN249/_Rfb2+AN249-AO249*AR249+AQ249*AN249</f>
        <v>2068.24804782172</v>
      </c>
      <c r="AX249" s="0" t="n">
        <f aca="false">AH249+AH249*AN249/_Rfb2+AG249*AO249/_Rfb2+AO249+AO249*AQ249+AN249*AR249</f>
        <v>-3548.02430565799</v>
      </c>
      <c r="AY249" s="0" t="n">
        <f aca="false">ATAN2(AW249,AX249)</f>
        <v>-1.04302323422064</v>
      </c>
      <c r="BA249" s="0" t="n">
        <f aca="false">SQRT(AT249^2+AU249^2)/SQRT(AW249^2+AX249^2)</f>
        <v>22.3028258767702</v>
      </c>
      <c r="BB249" s="0" t="n">
        <f aca="false">20*LOG(BA249)</f>
        <v>26.9671978752542</v>
      </c>
      <c r="BC249" s="0" t="n">
        <f aca="false">AV249-AY249</f>
        <v>-1.19016834315478</v>
      </c>
      <c r="BD249" s="0" t="n">
        <f aca="false">BC249*180/Pi-180</f>
        <v>-248.191623050767</v>
      </c>
      <c r="BF249" s="0" t="n">
        <f aca="false">20*LOG(BA249*J249*F249*C249)</f>
        <v>22.1639310557641</v>
      </c>
      <c r="BG249" s="0" t="n">
        <f aca="false">(180/Pi)*(D249+H249+BC249)</f>
        <v>-238.769673956703</v>
      </c>
      <c r="BH249" s="0" t="n">
        <f aca="false">IF(BG249&gt;180,BG249-180,BG249+180)</f>
        <v>-58.7696739567031</v>
      </c>
      <c r="BI249" s="0" t="n">
        <f aca="false">IF(BH249&gt;180,BH249-360,BH249)</f>
        <v>-58.7696739567031</v>
      </c>
      <c r="BJ249" s="0" t="n">
        <f aca="false">SUM((BF250&lt;0)*(BF249&gt;0))*A249</f>
        <v>0</v>
      </c>
      <c r="BK249" s="0" t="n">
        <f aca="false">IF(BJ249&gt;0,BI249,0)</f>
        <v>0</v>
      </c>
      <c r="BM249" s="0" t="n">
        <f aca="false">20*LOG(J249*F249*C249)</f>
        <v>-4.80326681949012</v>
      </c>
      <c r="BN249" s="0" t="n">
        <f aca="false">(H249+D249)*180/Pi</f>
        <v>-170.578050905936</v>
      </c>
      <c r="BQ249" s="347" t="n">
        <f aca="false">20*LOG(BA249*7)</f>
        <v>43.8691586755393</v>
      </c>
      <c r="BR249" s="353"/>
      <c r="BS249" s="353"/>
      <c r="BT249" s="353" t="n">
        <v>24547.089</v>
      </c>
      <c r="BU249" s="353" t="n">
        <v>-3.17093</v>
      </c>
      <c r="BV249" s="353" t="n">
        <v>-163.651</v>
      </c>
      <c r="BY249" s="353"/>
      <c r="BZ249" s="353"/>
      <c r="CA249" s="353"/>
      <c r="CC249" s="353"/>
    </row>
    <row r="250" customFormat="false" ht="12.75" hidden="false" customHeight="false" outlineLevel="0" collapsed="false">
      <c r="A250" s="0" t="n">
        <f aca="false">A249+5000</f>
        <v>180000</v>
      </c>
      <c r="B250" s="0" t="n">
        <f aca="false">A250/1000</f>
        <v>180</v>
      </c>
      <c r="C250" s="0" t="n">
        <f aca="false">SQRT((A250/Fesr)^2+1)</f>
        <v>1.00000063955016</v>
      </c>
      <c r="D250" s="0" t="n">
        <f aca="false">ATAN(A250/Fesr)</f>
        <v>0.00113097287179076</v>
      </c>
      <c r="F250" s="0" t="n">
        <f aca="false">(Ro/(Ro+Rdcr))/SQRT((A250/(Q*Fo))^2+(1-(A250^2/Fo^2))^2)</f>
        <v>0.0602460041929939</v>
      </c>
      <c r="G250" s="0" t="n">
        <f aca="false">-ATAN(A250*Fo/(Q*(Fo^2-A250^2)))</f>
        <v>0.158327463911792</v>
      </c>
      <c r="H250" s="0" t="n">
        <f aca="false">IF(G250&gt;0,G250-Pi,G250)</f>
        <v>-2.98326518608821</v>
      </c>
      <c r="J250" s="0" t="n">
        <f aca="false">Vin/Vramp</f>
        <v>9</v>
      </c>
      <c r="M250" s="0" t="n">
        <f aca="false">1/(2*Pi*_Rfb1*(Cc1ea_u+Cc2ea_u)*A250)</f>
        <v>0.0327479307147647</v>
      </c>
      <c r="N250" s="0" t="n">
        <f aca="false">-Pi/2</f>
        <v>-1.570796325</v>
      </c>
      <c r="O250" s="0" t="n">
        <f aca="false">SQRT(1+(A250/Fz1_u)^2)</f>
        <v>4.50949913261451</v>
      </c>
      <c r="P250" s="0" t="n">
        <f aca="false">ATAN2(Fz1_u,A250)</f>
        <v>1.34718331772049</v>
      </c>
      <c r="Q250" s="0" t="n">
        <f aca="false">SQRT(1+(A250/Fz2_u)^2)</f>
        <v>4989.61929559842</v>
      </c>
      <c r="R250" s="0" t="n">
        <f aca="false">ATAN2(Fz2_u,A250)</f>
        <v>1.57059591070151</v>
      </c>
      <c r="S250" s="0" t="n">
        <f aca="false">1/SQRT(1+(A250/Fp1_u)^2)</f>
        <v>0.0747726359790943</v>
      </c>
      <c r="T250" s="0" t="n">
        <f aca="false">-ATAN2(Fp1_u,A250)</f>
        <v>-1.49595383995783</v>
      </c>
      <c r="U250" s="0" t="n">
        <f aca="false">1/SQRT(1+(A250/Fp2_u)^2)</f>
        <v>0.898493669255772</v>
      </c>
      <c r="V250" s="0" t="n">
        <f aca="false">-ATAN2(Fp2_u,A250)</f>
        <v>-0.454470336633364</v>
      </c>
      <c r="X250" s="0" t="n">
        <f aca="false">20*LOG(C250*J250*O250*Q250*F250*M250*S250*U250)</f>
        <v>28.5761665731853</v>
      </c>
      <c r="Y250" s="0" t="n">
        <f aca="false">(180/Pi)*(D250+H250+N250+P250+R250+T250+V250)</f>
        <v>-205.43834273021</v>
      </c>
      <c r="Z250" s="0" t="n">
        <f aca="false">Y250+180</f>
        <v>-25.4383427302099</v>
      </c>
      <c r="AC250" s="0" t="n">
        <v>1</v>
      </c>
      <c r="AD250" s="0" t="n">
        <f aca="false">Rcea1_u*Cc1ea_u*A250*2*Pi</f>
        <v>4.397224400352</v>
      </c>
      <c r="AE250" s="0" t="n">
        <f aca="false">-Rcea1_u*Cc1ea_u*Cc2ea_u*(A250*2*Pi)^2</f>
        <v>-0.000745971544253511</v>
      </c>
      <c r="AF250" s="0" t="n">
        <f aca="false">(Cc2ea_u+Cc1ea_u)*A250*2*Pi</f>
        <v>0.0015268140279</v>
      </c>
      <c r="AG250" s="0" t="n">
        <f aca="false">AC250*AE250/(AE250^2+AF250^2)+AD250*AF250/(AE250^2+AF250^2)</f>
        <v>2066.66463665331</v>
      </c>
      <c r="AH250" s="0" t="n">
        <f aca="false">AD250*AE250/(AE250^2+AF250^2)-AC250*AF250/(AE250^2+AF250^2)</f>
        <v>-1664.69063292158</v>
      </c>
      <c r="AJ250" s="0" t="n">
        <f aca="false">_Rfb1</f>
        <v>20000</v>
      </c>
      <c r="AK250" s="0" t="n">
        <f aca="false">_Rfb1*Rcea2_u*Cc3ea_u*A250*2*Pi</f>
        <v>266728.75580736</v>
      </c>
      <c r="AL250" s="0" t="n">
        <v>1</v>
      </c>
      <c r="AM250" s="0" t="n">
        <f aca="false">(_Rfb1+Rcea2_u)*Cc3ea_u*A250*2*Pi</f>
        <v>4989.61919539037</v>
      </c>
      <c r="AN250" s="0" t="n">
        <f aca="false">AJ250*AL250/(AL250^2+AM250^2)+AK250*AM250/(AL250^2+AM250^2)</f>
        <v>53.4575371326834</v>
      </c>
      <c r="AO250" s="0" t="n">
        <f aca="false">AK250*AL250/(AL250^2+AM250^2)-AJ250*AM250/(AL250^2+AM250^2)</f>
        <v>-3.9976081704381</v>
      </c>
      <c r="AQ250" s="0" t="n">
        <f aca="false">Eadcg/(1+(Eadcg*A250/GBP)^2)</f>
        <v>0.351355991890855</v>
      </c>
      <c r="AR250" s="0" t="n">
        <f aca="false">-(A250*Eadcg*Eadcg/GBP)/(1+(Eadcg*A250/GBP)^2)</f>
        <v>-33.3296293907665</v>
      </c>
      <c r="AT250" s="0" t="n">
        <f aca="false">-AR250*AH250+AG250*AQ250</f>
        <v>-54757.3868422396</v>
      </c>
      <c r="AU250" s="0" t="n">
        <f aca="false">AQ250*AH250+AG250*AR250</f>
        <v>-69466.0654431796</v>
      </c>
      <c r="AV250" s="0" t="n">
        <f aca="false">ATAN2(AT250,AU250)</f>
        <v>-2.23833821183507</v>
      </c>
      <c r="AW250" s="0" t="n">
        <f aca="false">AG250-AH250*AO250/_Rfb2+AG250*AN250/_Rfb2+AN250-AO250*AR250+AQ250*AN250</f>
        <v>2052.38681030477</v>
      </c>
      <c r="AX250" s="0" t="n">
        <f aca="false">AH250+AH250*AN250/_Rfb2+AG250*AO250/_Rfb2+AO250+AO250*AQ250+AN250*AR250</f>
        <v>-3495.5761149938</v>
      </c>
      <c r="AY250" s="0" t="n">
        <f aca="false">ATAN2(AW250,AX250)</f>
        <v>-1.03988759976361</v>
      </c>
      <c r="BA250" s="0" t="n">
        <f aca="false">SQRT(AT250^2+AU250^2)/SQRT(AW250^2+AX250^2)</f>
        <v>21.8210306193634</v>
      </c>
      <c r="BB250" s="0" t="n">
        <f aca="false">20*LOG(BA250)</f>
        <v>26.7775051741136</v>
      </c>
      <c r="BC250" s="0" t="n">
        <f aca="false">AV250-AY250</f>
        <v>-1.19845061207146</v>
      </c>
      <c r="BD250" s="0" t="n">
        <f aca="false">BC250*180/Pi-180</f>
        <v>-248.666162105027</v>
      </c>
      <c r="BF250" s="0" t="n">
        <f aca="false">20*LOG(BA250*J250*F250*C250)</f>
        <v>21.4609258717016</v>
      </c>
      <c r="BG250" s="0" t="n">
        <f aca="false">(180/Pi)*(D250+H250+BC250)</f>
        <v>-239.529866659135</v>
      </c>
      <c r="BH250" s="0" t="n">
        <f aca="false">IF(BG250&gt;180,BG250-180,BG250+180)</f>
        <v>-59.5298666591347</v>
      </c>
      <c r="BI250" s="0" t="n">
        <f aca="false">IF(BH250&gt;180,BH250-360,BH250)</f>
        <v>-59.5298666591347</v>
      </c>
      <c r="BJ250" s="0" t="n">
        <f aca="false">SUM((BF251&lt;0)*(BF250&gt;0))*A250</f>
        <v>0</v>
      </c>
      <c r="BK250" s="0" t="n">
        <f aca="false">IF(BJ250&gt;0,BI250,0)</f>
        <v>0</v>
      </c>
      <c r="BM250" s="0" t="n">
        <f aca="false">20*LOG(J250*F250*C250)</f>
        <v>-5.31657930241203</v>
      </c>
      <c r="BN250" s="0" t="n">
        <f aca="false">(H250+D250)*180/Pi</f>
        <v>-170.863704554107</v>
      </c>
      <c r="BQ250" s="347" t="n">
        <f aca="false">20*LOG(BA250*7)</f>
        <v>43.6794659743988</v>
      </c>
      <c r="BR250" s="353"/>
      <c r="BS250" s="353"/>
      <c r="BT250" s="353" t="n">
        <v>25118.864</v>
      </c>
      <c r="BU250" s="353" t="n">
        <v>-3.10698</v>
      </c>
      <c r="BV250" s="353" t="n">
        <v>-162.522</v>
      </c>
      <c r="BY250" s="353"/>
      <c r="BZ250" s="353"/>
      <c r="CA250" s="353"/>
      <c r="CC250" s="353"/>
    </row>
    <row r="251" customFormat="false" ht="12.75" hidden="false" customHeight="false" outlineLevel="0" collapsed="false">
      <c r="A251" s="0" t="n">
        <f aca="false">A250+5000</f>
        <v>185000</v>
      </c>
      <c r="B251" s="0" t="n">
        <f aca="false">A251/1000</f>
        <v>185</v>
      </c>
      <c r="C251" s="0" t="n">
        <f aca="false">SQRT((A251/Fesr)^2+1)</f>
        <v>1.00000067557419</v>
      </c>
      <c r="D251" s="0" t="n">
        <f aca="false">ATAN(A251/Fesr)</f>
        <v>0.00116238875698012</v>
      </c>
      <c r="F251" s="0" t="n">
        <f aca="false">(Ro/(Ro+Rdcr))/SQRT((A251/(Q*Fo))^2+(1-(A251^2/Fo^2))^2)</f>
        <v>0.0568892042512719</v>
      </c>
      <c r="G251" s="0" t="n">
        <f aca="false">-ATAN(A251*Fo/(Q*(Fo^2-A251^2)))</f>
        <v>0.153621021149499</v>
      </c>
      <c r="H251" s="0" t="n">
        <f aca="false">IF(G251&gt;0,G251-Pi,G251)</f>
        <v>-2.9879716288505</v>
      </c>
      <c r="J251" s="0" t="n">
        <f aca="false">Vin/Vramp</f>
        <v>9</v>
      </c>
      <c r="M251" s="0" t="n">
        <f aca="false">1/(2*Pi*_Rfb1*(Cc1ea_u+Cc2ea_u)*A251)</f>
        <v>0.0318628515062575</v>
      </c>
      <c r="N251" s="0" t="n">
        <f aca="false">-Pi/2</f>
        <v>-1.570796325</v>
      </c>
      <c r="O251" s="0" t="n">
        <f aca="false">SQRT(1+(A251/Fz1_u)^2)</f>
        <v>4.62868241313456</v>
      </c>
      <c r="P251" s="0" t="n">
        <f aca="false">ATAN2(Fz1_u,A251)</f>
        <v>1.35303516408773</v>
      </c>
      <c r="Q251" s="0" t="n">
        <f aca="false">SQRT(1+(A251/Fz2_u)^2)</f>
        <v>5128.21982609538</v>
      </c>
      <c r="R251" s="0" t="n">
        <f aca="false">ATAN2(Fz2_u,A251)</f>
        <v>1.57060132735255</v>
      </c>
      <c r="S251" s="0" t="n">
        <f aca="false">1/SQRT(1+(A251/Fp1_u)^2)</f>
        <v>0.0727626010691375</v>
      </c>
      <c r="T251" s="0" t="n">
        <f aca="false">-ATAN2(Fp1_u,A251)</f>
        <v>-1.49796936660127</v>
      </c>
      <c r="U251" s="0" t="n">
        <f aca="false">1/SQRT(1+(A251/Fp2_u)^2)</f>
        <v>0.893656547544483</v>
      </c>
      <c r="V251" s="0" t="n">
        <f aca="false">-ATAN2(Fp2_u,A251)</f>
        <v>-0.465367861733284</v>
      </c>
      <c r="X251" s="0" t="n">
        <f aca="false">20*LOG(C251*J251*O251*Q251*F251*M251*S251*U251)</f>
        <v>28.0212035129079</v>
      </c>
      <c r="Y251" s="0" t="n">
        <f aca="false">(180/Pi)*(D251+H251+N251+P251+R251+T251+V251)</f>
        <v>-206.11046895523</v>
      </c>
      <c r="Z251" s="0" t="n">
        <f aca="false">Y251+180</f>
        <v>-26.11046895523</v>
      </c>
      <c r="AC251" s="0" t="n">
        <v>1</v>
      </c>
      <c r="AD251" s="0" t="n">
        <f aca="false">Rcea1_u*Cc1ea_u*A251*2*Pi</f>
        <v>4.519369522584</v>
      </c>
      <c r="AE251" s="0" t="n">
        <f aca="false">-Rcea1_u*Cc1ea_u*Cc2ea_u*(A251*2*Pi)^2</f>
        <v>-0.000787990003150507</v>
      </c>
      <c r="AF251" s="0" t="n">
        <f aca="false">(Cc2ea_u+Cc1ea_u)*A251*2*Pi</f>
        <v>0.001569225528675</v>
      </c>
      <c r="AG251" s="0" t="n">
        <f aca="false">AC251*AE251/(AE251^2+AF251^2)+AD251*AF251/(AE251^2+AF251^2)</f>
        <v>2044.47238392096</v>
      </c>
      <c r="AH251" s="0" t="n">
        <f aca="false">AD251*AE251/(AE251^2+AF251^2)-AC251*AF251/(AE251^2+AF251^2)</f>
        <v>-1663.89327253149</v>
      </c>
      <c r="AJ251" s="0" t="n">
        <f aca="false">_Rfb1</f>
        <v>20000</v>
      </c>
      <c r="AK251" s="0" t="n">
        <f aca="false">_Rfb1*Rcea2_u*Cc3ea_u*A251*2*Pi</f>
        <v>274137.88791312</v>
      </c>
      <c r="AL251" s="0" t="n">
        <v>1</v>
      </c>
      <c r="AM251" s="0" t="n">
        <f aca="false">(_Rfb1+Rcea2_u)*Cc3ea_u*A251*2*Pi</f>
        <v>5128.21972859566</v>
      </c>
      <c r="AN251" s="0" t="n">
        <f aca="false">AJ251*AL251/(AL251^2+AM251^2)+AK251*AM251/(AL251^2+AM251^2)</f>
        <v>53.4574944106203</v>
      </c>
      <c r="AO251" s="0" t="n">
        <f aca="false">AK251*AL251/(AL251^2+AM251^2)-AJ251*AM251/(AL251^2+AM251^2)</f>
        <v>-3.88956471470298</v>
      </c>
      <c r="AQ251" s="0" t="n">
        <f aca="false">Eadcg/(1+(Eadcg*A251/GBP)^2)</f>
        <v>0.332622398540379</v>
      </c>
      <c r="AR251" s="0" t="n">
        <f aca="false">-(A251*Eadcg*Eadcg/GBP)/(1+(Eadcg*A251/GBP)^2)</f>
        <v>-32.4290207456942</v>
      </c>
      <c r="AT251" s="0" t="n">
        <f aca="false">-AR251*AH251+AG251*AQ251</f>
        <v>-53278.3921454553</v>
      </c>
      <c r="AU251" s="0" t="n">
        <f aca="false">AQ251*AH251+AG251*AR251</f>
        <v>-66853.6855233964</v>
      </c>
      <c r="AV251" s="0" t="n">
        <f aca="false">ATAN2(AT251,AU251)</f>
        <v>-2.24366877465228</v>
      </c>
      <c r="AW251" s="0" t="n">
        <f aca="false">AG251-AH251*AO251/_Rfb2+AG251*AN251/_Rfb2+AN251-AO251*AR251+AQ251*AN251</f>
        <v>2035.84551123099</v>
      </c>
      <c r="AX251" s="0" t="n">
        <f aca="false">AH251+AH251*AN251/_Rfb2+AG251*AO251/_Rfb2+AO251+AO251*AQ251+AN251*AR251</f>
        <v>-3446.25564167812</v>
      </c>
      <c r="AY251" s="0" t="n">
        <f aca="false">ATAN2(AW251,AX251)</f>
        <v>-1.03721251572796</v>
      </c>
      <c r="BA251" s="0" t="n">
        <f aca="false">SQRT(AT251^2+AU251^2)/SQRT(AW251^2+AX251^2)</f>
        <v>21.357472409043</v>
      </c>
      <c r="BB251" s="0" t="n">
        <f aca="false">20*LOG(BA251)</f>
        <v>26.5909970797162</v>
      </c>
      <c r="BC251" s="0" t="n">
        <f aca="false">AV251-AY251</f>
        <v>-1.20645625892432</v>
      </c>
      <c r="BD251" s="0" t="n">
        <f aca="false">BC251*180/Pi-180</f>
        <v>-249.124851882493</v>
      </c>
      <c r="BF251" s="0" t="n">
        <f aca="false">20*LOG(BA251*J251*F251*C251)</f>
        <v>20.7764503171104</v>
      </c>
      <c r="BG251" s="0" t="n">
        <f aca="false">(180/Pi)*(D251+H251+BC251)</f>
        <v>-240.256415746074</v>
      </c>
      <c r="BH251" s="0" t="n">
        <f aca="false">IF(BG251&gt;180,BG251-180,BG251+180)</f>
        <v>-60.2564157460743</v>
      </c>
      <c r="BI251" s="0" t="n">
        <f aca="false">IF(BH251&gt;180,BH251-360,BH251)</f>
        <v>-60.2564157460743</v>
      </c>
      <c r="BJ251" s="0" t="n">
        <f aca="false">SUM((BF252&lt;0)*(BF251&gt;0))*A251</f>
        <v>0</v>
      </c>
      <c r="BK251" s="0" t="n">
        <f aca="false">IF(BJ251&gt;0,BI251,0)</f>
        <v>0</v>
      </c>
      <c r="BM251" s="0" t="n">
        <f aca="false">20*LOG(J251*F251*C251)</f>
        <v>-5.81454676260577</v>
      </c>
      <c r="BN251" s="0" t="n">
        <f aca="false">(H251+D251)*180/Pi</f>
        <v>-171.131563863582</v>
      </c>
      <c r="BQ251" s="347" t="n">
        <f aca="false">20*LOG(BA251*7)</f>
        <v>43.4929578800013</v>
      </c>
      <c r="BR251" s="353"/>
      <c r="BS251" s="353"/>
      <c r="BT251" s="353" t="n">
        <v>25703.958</v>
      </c>
      <c r="BU251" s="353" t="n">
        <v>-3.01727</v>
      </c>
      <c r="BV251" s="353" t="n">
        <v>-161.326</v>
      </c>
      <c r="BY251" s="353"/>
      <c r="BZ251" s="353"/>
      <c r="CA251" s="353"/>
      <c r="CC251" s="353"/>
    </row>
    <row r="252" customFormat="false" ht="12.75" hidden="false" customHeight="false" outlineLevel="0" collapsed="false">
      <c r="A252" s="0" t="n">
        <f aca="false">A251+5000</f>
        <v>190000</v>
      </c>
      <c r="B252" s="0" t="n">
        <f aca="false">A252/1000</f>
        <v>190</v>
      </c>
      <c r="C252" s="0" t="n">
        <f aca="false">SQRT((A252/Fesr)^2+1)</f>
        <v>1.00000071258518</v>
      </c>
      <c r="D252" s="0" t="n">
        <f aca="false">ATAN(A252/Fesr)</f>
        <v>0.00119380463987502</v>
      </c>
      <c r="F252" s="0" t="n">
        <f aca="false">(Ro/(Ro+Rdcr))/SQRT((A252/(Q*Fo))^2+(1-(A252^2/Fo^2))^2)</f>
        <v>0.0538087349005612</v>
      </c>
      <c r="G252" s="0" t="n">
        <f aca="false">-ATAN(A252*Fo/(Q*(Fo^2-A252^2)))</f>
        <v>0.149196388999713</v>
      </c>
      <c r="H252" s="0" t="n">
        <f aca="false">IF(G252&gt;0,G252-Pi,G252)</f>
        <v>-2.99239626100029</v>
      </c>
      <c r="J252" s="0" t="n">
        <f aca="false">Vin/Vramp</f>
        <v>9</v>
      </c>
      <c r="M252" s="0" t="n">
        <f aca="false">1/(2*Pi*_Rfb1*(Cc1ea_u+Cc2ea_u)*A252)</f>
        <v>0.0310243554139876</v>
      </c>
      <c r="N252" s="0" t="n">
        <f aca="false">-Pi/2</f>
        <v>-1.570796325</v>
      </c>
      <c r="O252" s="0" t="n">
        <f aca="false">SQRT(1+(A252/Fz1_u)^2)</f>
        <v>4.74801623818215</v>
      </c>
      <c r="P252" s="0" t="n">
        <f aca="false">ATAN2(Fz1_u,A252)</f>
        <v>1.35859303921735</v>
      </c>
      <c r="Q252" s="0" t="n">
        <f aca="false">SQRT(1+(A252/Fz2_u)^2)</f>
        <v>5266.82035673488</v>
      </c>
      <c r="R252" s="0" t="n">
        <f aca="false">ATAN2(Fz2_u,A252)</f>
        <v>1.57060645891669</v>
      </c>
      <c r="S252" s="0" t="n">
        <f aca="false">1/SQRT(1+(A252/Fp1_u)^2)</f>
        <v>0.0708575388614334</v>
      </c>
      <c r="T252" s="0" t="n">
        <f aca="false">-ATAN2(Fp1_u,A252)</f>
        <v>-1.49987936008662</v>
      </c>
      <c r="U252" s="0" t="n">
        <f aca="false">1/SQRT(1+(A252/Fp2_u)^2)</f>
        <v>0.888767379173094</v>
      </c>
      <c r="V252" s="0" t="n">
        <f aca="false">-ATAN2(Fp2_u,A252)</f>
        <v>-0.476147415363855</v>
      </c>
      <c r="X252" s="0" t="n">
        <f aca="false">20*LOG(C252*J252*O252*Q252*F252*M252*S252*U252)</f>
        <v>27.4806647640413</v>
      </c>
      <c r="Y252" s="0" t="n">
        <f aca="false">(180/Pi)*(D252+H252+N252+P252+R252+T252+V252)</f>
        <v>-206.770502395284</v>
      </c>
      <c r="Z252" s="0" t="n">
        <f aca="false">Y252+180</f>
        <v>-26.7705023952843</v>
      </c>
      <c r="AC252" s="0" t="n">
        <v>1</v>
      </c>
      <c r="AD252" s="0" t="n">
        <f aca="false">Rcea1_u*Cc1ea_u*A252*2*Pi</f>
        <v>4.641514644816</v>
      </c>
      <c r="AE252" s="0" t="n">
        <f aca="false">-Rcea1_u*Cc1ea_u*Cc2ea_u*(A252*2*Pi)^2</f>
        <v>-0.000831159652702215</v>
      </c>
      <c r="AF252" s="0" t="n">
        <f aca="false">(Cc2ea_u+Cc1ea_u)*A252*2*Pi</f>
        <v>0.00161163702945</v>
      </c>
      <c r="AG252" s="0" t="n">
        <f aca="false">AC252*AE252/(AE252^2+AF252^2)+AD252*AF252/(AE252^2+AF252^2)</f>
        <v>2022.16308296246</v>
      </c>
      <c r="AH252" s="0" t="n">
        <f aca="false">AD252*AE252/(AE252^2+AF252^2)-AC252*AF252/(AE252^2+AF252^2)</f>
        <v>-1663.36483758825</v>
      </c>
      <c r="AJ252" s="0" t="n">
        <f aca="false">_Rfb1</f>
        <v>20000</v>
      </c>
      <c r="AK252" s="0" t="n">
        <f aca="false">_Rfb1*Rcea2_u*Cc3ea_u*A252*2*Pi</f>
        <v>281547.02001888</v>
      </c>
      <c r="AL252" s="0" t="n">
        <v>1</v>
      </c>
      <c r="AM252" s="0" t="n">
        <f aca="false">(_Rfb1+Rcea2_u)*Cc3ea_u*A252*2*Pi</f>
        <v>5266.82026180094</v>
      </c>
      <c r="AN252" s="0" t="n">
        <f aca="false">AJ252*AL252/(AL252^2+AM252^2)+AK252*AM252/(AL252^2+AM252^2)</f>
        <v>53.4574550167699</v>
      </c>
      <c r="AO252" s="0" t="n">
        <f aca="false">AK252*AL252/(AL252^2+AM252^2)-AJ252*AM252/(AL252^2+AM252^2)</f>
        <v>-3.78720775600622</v>
      </c>
      <c r="AQ252" s="0" t="n">
        <f aca="false">Eadcg/(1+(Eadcg*A252/GBP)^2)</f>
        <v>0.315348027387886</v>
      </c>
      <c r="AR252" s="0" t="n">
        <f aca="false">-(A252*Eadcg*Eadcg/GBP)/(1+(Eadcg*A252/GBP)^2)</f>
        <v>-31.5757979823491</v>
      </c>
      <c r="AT252" s="0" t="n">
        <f aca="false">-AR252*AH252+AG252*AQ252</f>
        <v>-51884.3869433608</v>
      </c>
      <c r="AU252" s="0" t="n">
        <f aca="false">AQ252*AH252+AG252*AR252</f>
        <v>-64375.9518153466</v>
      </c>
      <c r="AV252" s="0" t="n">
        <f aca="false">ATAN2(AT252,AU252)</f>
        <v>-2.24916034487508</v>
      </c>
      <c r="AW252" s="0" t="n">
        <f aca="false">AG252-AH252*AO252/_Rfb2+AG252*AN252/_Rfb2+AN252-AO252*AR252+AQ252*AN252</f>
        <v>2018.70421667063</v>
      </c>
      <c r="AX252" s="0" t="n">
        <f aca="false">AH252+AH252*AN252/_Rfb2+AG252*AO252/_Rfb2+AO252+AO252*AQ252+AN252*AR252</f>
        <v>-3399.76805531156</v>
      </c>
      <c r="AY252" s="0" t="n">
        <f aca="false">ATAN2(AW252,AX252)</f>
        <v>-1.034965096151</v>
      </c>
      <c r="BA252" s="0" t="n">
        <f aca="false">SQRT(AT252^2+AU252^2)/SQRT(AW252^2+AX252^2)</f>
        <v>20.9112360173655</v>
      </c>
      <c r="BB252" s="0" t="n">
        <f aca="false">20*LOG(BA252)</f>
        <v>26.4075940754416</v>
      </c>
      <c r="BC252" s="0" t="n">
        <f aca="false">AV252-AY252</f>
        <v>-1.21419524872408</v>
      </c>
      <c r="BD252" s="0" t="n">
        <f aca="false">BC252*180/Pi-180</f>
        <v>-249.56826333622</v>
      </c>
      <c r="BF252" s="0" t="n">
        <f aca="false">20*LOG(BA252*J252*F252*C252)</f>
        <v>20.1095060826745</v>
      </c>
      <c r="BG252" s="0" t="n">
        <f aca="false">(180/Pi)*(D252+H252+BC252)</f>
        <v>-240.951539950671</v>
      </c>
      <c r="BH252" s="0" t="n">
        <f aca="false">IF(BG252&gt;180,BG252-180,BG252+180)</f>
        <v>-60.9515399506706</v>
      </c>
      <c r="BI252" s="0" t="n">
        <f aca="false">IF(BH252&gt;180,BH252-360,BH252)</f>
        <v>-60.9515399506706</v>
      </c>
      <c r="BJ252" s="0" t="n">
        <f aca="false">SUM((BF253&lt;0)*(BF252&gt;0))*A252</f>
        <v>0</v>
      </c>
      <c r="BK252" s="0" t="n">
        <f aca="false">IF(BJ252&gt;0,BI252,0)</f>
        <v>0</v>
      </c>
      <c r="BM252" s="0" t="n">
        <f aca="false">20*LOG(J252*F252*C252)</f>
        <v>-6.2980879927671</v>
      </c>
      <c r="BN252" s="0" t="n">
        <f aca="false">(H252+D252)*180/Pi</f>
        <v>-171.38327661445</v>
      </c>
      <c r="BQ252" s="347" t="n">
        <f aca="false">20*LOG(BA252*7)</f>
        <v>43.3095548757267</v>
      </c>
      <c r="BR252" s="353"/>
      <c r="BS252" s="353"/>
      <c r="BT252" s="353" t="n">
        <v>26302.68</v>
      </c>
      <c r="BU252" s="353" t="n">
        <v>-2.94948</v>
      </c>
      <c r="BV252" s="353" t="n">
        <v>-160.23</v>
      </c>
      <c r="BY252" s="353"/>
      <c r="BZ252" s="353"/>
      <c r="CA252" s="353"/>
      <c r="CC252" s="353"/>
    </row>
    <row r="253" customFormat="false" ht="12.75" hidden="false" customHeight="false" outlineLevel="0" collapsed="false">
      <c r="A253" s="0" t="n">
        <f aca="false">A252+5000</f>
        <v>195000</v>
      </c>
      <c r="B253" s="0" t="n">
        <f aca="false">A253/1000</f>
        <v>195</v>
      </c>
      <c r="C253" s="0" t="n">
        <f aca="false">SQRT((A253/Fesr)^2+1)</f>
        <v>1.00000075058313</v>
      </c>
      <c r="D253" s="0" t="n">
        <f aca="false">ATAN(A253/Fesr)</f>
        <v>0.00122522052041345</v>
      </c>
      <c r="F253" s="0" t="n">
        <f aca="false">(Ro/(Ro+Rdcr))/SQRT((A253/(Q*Fo))^2+(1-(A253^2/Fo^2))^2)</f>
        <v>0.0509747572430285</v>
      </c>
      <c r="G253" s="0" t="n">
        <f aca="false">-ATAN(A253*Fo/(Q*(Fo^2-A253^2)))</f>
        <v>0.14502831885527</v>
      </c>
      <c r="H253" s="0" t="n">
        <f aca="false">IF(G253&gt;0,G253-Pi,G253)</f>
        <v>-2.99656433114473</v>
      </c>
      <c r="J253" s="0" t="n">
        <f aca="false">Vin/Vramp</f>
        <v>9</v>
      </c>
      <c r="M253" s="0" t="n">
        <f aca="false">1/(2*Pi*_Rfb1*(Cc1ea_u+Cc2ea_u)*A253)</f>
        <v>0.0302288591213212</v>
      </c>
      <c r="N253" s="0" t="n">
        <f aca="false">-Pi/2</f>
        <v>-1.570796325</v>
      </c>
      <c r="O253" s="0" t="n">
        <f aca="false">SQRT(1+(A253/Fz1_u)^2)</f>
        <v>4.86748953529351</v>
      </c>
      <c r="P253" s="0" t="n">
        <f aca="false">ATAN2(Fz1_u,A253)</f>
        <v>1.36387823315627</v>
      </c>
      <c r="Q253" s="0" t="n">
        <f aca="false">SQRT(1+(A253/Fz2_u)^2)</f>
        <v>5405.42088750597</v>
      </c>
      <c r="R253" s="0" t="n">
        <f aca="false">ATAN2(Fz2_u,A253)</f>
        <v>1.57061132732371</v>
      </c>
      <c r="S253" s="0" t="n">
        <f aca="false">1/SQRT(1+(A253/Fp1_u)^2)</f>
        <v>0.069049454787192</v>
      </c>
      <c r="T253" s="0" t="n">
        <f aca="false">-ATAN2(Fp1_u,A253)</f>
        <v>-1.50169188463767</v>
      </c>
      <c r="U253" s="0" t="n">
        <f aca="false">1/SQRT(1+(A253/Fp2_u)^2)</f>
        <v>0.88383039379767</v>
      </c>
      <c r="V253" s="0" t="n">
        <f aca="false">-ATAN2(Fp2_u,A253)</f>
        <v>-0.486808438461634</v>
      </c>
      <c r="X253" s="0" t="n">
        <f aca="false">20*LOG(C253*J253*O253*Q253*F253*M253*S253*U253)</f>
        <v>26.9536697260406</v>
      </c>
      <c r="Y253" s="0" t="n">
        <f aca="false">(180/Pi)*(D253+H253+N253+P253+R253+T253+V253)</f>
        <v>-207.419098616701</v>
      </c>
      <c r="Z253" s="0" t="n">
        <f aca="false">Y253+180</f>
        <v>-27.4190986167014</v>
      </c>
      <c r="AC253" s="0" t="n">
        <v>1</v>
      </c>
      <c r="AD253" s="0" t="n">
        <f aca="false">Rcea1_u*Cc1ea_u*A253*2*Pi</f>
        <v>4.763659767048</v>
      </c>
      <c r="AE253" s="0" t="n">
        <f aca="false">-Rcea1_u*Cc1ea_u*Cc2ea_u*(A253*2*Pi)^2</f>
        <v>-0.000875480492908634</v>
      </c>
      <c r="AF253" s="0" t="n">
        <f aca="false">(Cc2ea_u+Cc1ea_u)*A253*2*Pi</f>
        <v>0.001654048530225</v>
      </c>
      <c r="AG253" s="0" t="n">
        <f aca="false">AC253*AE253/(AE253^2+AF253^2)+AD253*AF253/(AE253^2+AF253^2)</f>
        <v>1999.7597824014</v>
      </c>
      <c r="AH253" s="0" t="n">
        <f aca="false">AD253*AE253/(AE253^2+AF253^2)-AC253*AF253/(AE253^2+AF253^2)</f>
        <v>-1663.04109566933</v>
      </c>
      <c r="AJ253" s="0" t="n">
        <f aca="false">_Rfb1</f>
        <v>20000</v>
      </c>
      <c r="AK253" s="0" t="n">
        <f aca="false">_Rfb1*Rcea2_u*Cc3ea_u*A253*2*Pi</f>
        <v>288956.15212464</v>
      </c>
      <c r="AL253" s="0" t="n">
        <v>1</v>
      </c>
      <c r="AM253" s="0" t="n">
        <f aca="false">(_Rfb1+Rcea2_u)*Cc3ea_u*A253*2*Pi</f>
        <v>5405.42079500623</v>
      </c>
      <c r="AN253" s="0" t="n">
        <f aca="false">AJ253*AL253/(AL253^2+AM253^2)+AK253*AM253/(AL253^2+AM253^2)</f>
        <v>53.4574186141929</v>
      </c>
      <c r="AO253" s="0" t="n">
        <f aca="false">AK253*AL253/(AL253^2+AM253^2)-AJ253*AM253/(AL253^2+AM253^2)</f>
        <v>-3.69009987156103</v>
      </c>
      <c r="AQ253" s="0" t="n">
        <f aca="false">Eadcg/(1+(Eadcg*A253/GBP)^2)</f>
        <v>0.299385174623682</v>
      </c>
      <c r="AR253" s="0" t="n">
        <f aca="false">-(A253*Eadcg*Eadcg/GBP)/(1+(Eadcg*A253/GBP)^2)</f>
        <v>-30.7663174702027</v>
      </c>
      <c r="AT253" s="0" t="n">
        <f aca="false">-AR253*AH253+AG253*AQ253</f>
        <v>-50566.9518836968</v>
      </c>
      <c r="AU253" s="0" t="n">
        <f aca="false">AQ253*AH253+AG253*AR253</f>
        <v>-62023.1341783381</v>
      </c>
      <c r="AV253" s="0" t="n">
        <f aca="false">ATAN2(AT253,AU253)</f>
        <v>-2.25479222650022</v>
      </c>
      <c r="AW253" s="0" t="n">
        <f aca="false">AG253-AH253*AO253/_Rfb2+AG253*AN253/_Rfb2+AN253-AO253*AR253+AQ253*AN253</f>
        <v>2001.03511911409</v>
      </c>
      <c r="AX253" s="0" t="n">
        <f aca="false">AH253+AH253*AN253/_Rfb2+AG253*AO253/_Rfb2+AO253+AO253*AQ253+AN253*AR253</f>
        <v>-3355.8504077601</v>
      </c>
      <c r="AY253" s="0" t="n">
        <f aca="false">ATAN2(AW253,AX253)</f>
        <v>-1.03311471140466</v>
      </c>
      <c r="BA253" s="0" t="n">
        <f aca="false">SQRT(AT253^2+AU253^2)/SQRT(AW253^2+AX253^2)</f>
        <v>20.4814622522969</v>
      </c>
      <c r="BB253" s="0" t="n">
        <f aca="false">20*LOG(BA253)</f>
        <v>26.2272191881011</v>
      </c>
      <c r="BC253" s="0" t="n">
        <f aca="false">AV253-AY253</f>
        <v>-1.22167751509556</v>
      </c>
      <c r="BD253" s="0" t="n">
        <f aca="false">BC253*180/Pi-180</f>
        <v>-249.996965620989</v>
      </c>
      <c r="BF253" s="0" t="n">
        <f aca="false">20*LOG(BA253*J253*F253*C253)</f>
        <v>19.4591792206768</v>
      </c>
      <c r="BG253" s="0" t="n">
        <f aca="false">(180/Pi)*(D253+H253+BC253)</f>
        <v>-241.617255066337</v>
      </c>
      <c r="BH253" s="0" t="n">
        <f aca="false">IF(BG253&gt;180,BG253-180,BG253+180)</f>
        <v>-61.6172550663366</v>
      </c>
      <c r="BI253" s="0" t="n">
        <f aca="false">IF(BH253&gt;180,BH253-360,BH253)</f>
        <v>-61.6172550663366</v>
      </c>
      <c r="BJ253" s="0" t="n">
        <f aca="false">SUM((BF254&lt;0)*(BF253&gt;0))*A253</f>
        <v>0</v>
      </c>
      <c r="BK253" s="0" t="n">
        <f aca="false">IF(BJ253&gt;0,BI253,0)</f>
        <v>0</v>
      </c>
      <c r="BM253" s="0" t="n">
        <f aca="false">20*LOG(J253*F253*C253)</f>
        <v>-6.7680399674243</v>
      </c>
      <c r="BN253" s="0" t="n">
        <f aca="false">(H253+D253)*180/Pi</f>
        <v>-171.620289445348</v>
      </c>
      <c r="BQ253" s="347" t="n">
        <f aca="false">20*LOG(BA253*7)</f>
        <v>43.1291799883863</v>
      </c>
      <c r="BR253" s="353"/>
      <c r="BS253" s="353"/>
      <c r="BT253" s="353" t="n">
        <v>26915.348</v>
      </c>
      <c r="BU253" s="353" t="n">
        <v>-2.84113</v>
      </c>
      <c r="BV253" s="353" t="n">
        <v>-159.276</v>
      </c>
      <c r="BY253" s="353"/>
      <c r="BZ253" s="353"/>
      <c r="CA253" s="353"/>
      <c r="CC253" s="353"/>
    </row>
    <row r="254" customFormat="false" ht="12.75" hidden="false" customHeight="false" outlineLevel="0" collapsed="false">
      <c r="A254" s="0" t="n">
        <f aca="false">A253+5000</f>
        <v>200000</v>
      </c>
      <c r="B254" s="0" t="n">
        <f aca="false">A254/1000</f>
        <v>200</v>
      </c>
      <c r="C254" s="0" t="n">
        <f aca="false">SQRT((A254/Fesr)^2+1)</f>
        <v>1.00000078956804</v>
      </c>
      <c r="D254" s="0" t="n">
        <f aca="false">ATAN(A254/Fesr)</f>
        <v>0.00125663639853339</v>
      </c>
      <c r="F254" s="0" t="n">
        <f aca="false">(Ro/(Ro+Rdcr))/SQRT((A254/(Q*Fo))^2+(1-(A254^2/Fo^2))^2)</f>
        <v>0.0483613903404441</v>
      </c>
      <c r="G254" s="0" t="n">
        <f aca="false">-ATAN(A254*Fo/(Q*(Fo^2-A254^2)))</f>
        <v>0.141094546451091</v>
      </c>
      <c r="H254" s="0" t="n">
        <f aca="false">IF(G254&gt;0,G254-Pi,G254)</f>
        <v>-3.00049810354891</v>
      </c>
      <c r="J254" s="0" t="n">
        <f aca="false">Vin/Vramp</f>
        <v>9</v>
      </c>
      <c r="M254" s="0" t="n">
        <f aca="false">1/(2*Pi*_Rfb1*(Cc1ea_u+Cc2ea_u)*A254)</f>
        <v>0.0294731376432882</v>
      </c>
      <c r="N254" s="0" t="n">
        <f aca="false">-Pi/2</f>
        <v>-1.570796325</v>
      </c>
      <c r="O254" s="0" t="n">
        <f aca="false">SQRT(1+(A254/Fz1_u)^2)</f>
        <v>4.98709228068946</v>
      </c>
      <c r="P254" s="0" t="n">
        <f aca="false">ATAN2(Fz1_u,A254)</f>
        <v>1.3689100581755</v>
      </c>
      <c r="Q254" s="0" t="n">
        <f aca="false">SQRT(1+(A254/Fz2_u)^2)</f>
        <v>5544.02141839876</v>
      </c>
      <c r="R254" s="0" t="n">
        <f aca="false">ATAN2(Fz2_u,A254)</f>
        <v>1.57061595231039</v>
      </c>
      <c r="S254" s="0" t="n">
        <f aca="false">1/SQRT(1+(A254/Fp1_u)^2)</f>
        <v>0.0673311441457449</v>
      </c>
      <c r="T254" s="0" t="n">
        <f aca="false">-ATAN2(Fp1_u,A254)</f>
        <v>-1.50341420448238</v>
      </c>
      <c r="U254" s="0" t="n">
        <f aca="false">1/SQRT(1+(A254/Fp2_u)^2)</f>
        <v>0.878849721964135</v>
      </c>
      <c r="V254" s="0" t="n">
        <f aca="false">-ATAN2(Fp2_u,A254)</f>
        <v>-0.497350491945779</v>
      </c>
      <c r="X254" s="0" t="n">
        <f aca="false">20*LOG(C254*J254*O254*Q254*F254*M254*S254*U254)</f>
        <v>26.4394184100534</v>
      </c>
      <c r="Y254" s="0" t="n">
        <f aca="false">(180/Pi)*(D254+H254+N254+P254+R254+T254+V254)</f>
        <v>-208.056816677578</v>
      </c>
      <c r="Z254" s="0" t="n">
        <f aca="false">Y254+180</f>
        <v>-28.056816677578</v>
      </c>
      <c r="AC254" s="0" t="n">
        <v>1</v>
      </c>
      <c r="AD254" s="0" t="n">
        <f aca="false">Rcea1_u*Cc1ea_u*A254*2*Pi</f>
        <v>4.88580488928</v>
      </c>
      <c r="AE254" s="0" t="n">
        <f aca="false">-Rcea1_u*Cc1ea_u*Cc2ea_u*(A254*2*Pi)^2</f>
        <v>-0.000920952523769767</v>
      </c>
      <c r="AF254" s="0" t="n">
        <f aca="false">(Cc2ea_u+Cc1ea_u)*A254*2*Pi</f>
        <v>0.001696460031</v>
      </c>
      <c r="AG254" s="0" t="n">
        <f aca="false">AC254*AE254/(AE254^2+AF254^2)+AD254*AF254/(AE254^2+AF254^2)</f>
        <v>1977.28469451888</v>
      </c>
      <c r="AH254" s="0" t="n">
        <f aca="false">AD254*AE254/(AE254^2+AF254^2)-AC254*AF254/(AE254^2+AF254^2)</f>
        <v>-1662.86577819675</v>
      </c>
      <c r="AJ254" s="0" t="n">
        <f aca="false">_Rfb1</f>
        <v>20000</v>
      </c>
      <c r="AK254" s="0" t="n">
        <f aca="false">_Rfb1*Rcea2_u*Cc3ea_u*A254*2*Pi</f>
        <v>296365.2842304</v>
      </c>
      <c r="AL254" s="0" t="n">
        <v>1</v>
      </c>
      <c r="AM254" s="0" t="n">
        <f aca="false">(_Rfb1+Rcea2_u)*Cc3ea_u*A254*2*Pi</f>
        <v>5544.02132821152</v>
      </c>
      <c r="AN254" s="0" t="n">
        <f aca="false">AJ254*AL254/(AL254^2+AM254^2)+AK254*AM254/(AL254^2+AM254^2)</f>
        <v>53.457384907534</v>
      </c>
      <c r="AO254" s="0" t="n">
        <f aca="false">AK254*AL254/(AL254^2+AM254^2)-AJ254*AM254/(AL254^2+AM254^2)</f>
        <v>-3.59784738085182</v>
      </c>
      <c r="AQ254" s="0" t="n">
        <f aca="false">Eadcg/(1+(Eadcg*A254/GBP)^2)</f>
        <v>0.284604362133399</v>
      </c>
      <c r="AR254" s="0" t="n">
        <f aca="false">-(A254*Eadcg*Eadcg/GBP)/(1+(Eadcg*A254/GBP)^2)</f>
        <v>-29.9972997688602</v>
      </c>
      <c r="AT254" s="0" t="n">
        <f aca="false">-AR254*AH254+AG254*AQ254</f>
        <v>-49318.7393747072</v>
      </c>
      <c r="AU254" s="0" t="n">
        <f aca="false">AQ254*AH254+AG254*AR254</f>
        <v>-59786.4605639792</v>
      </c>
      <c r="AV254" s="0" t="n">
        <f aca="false">ATAN2(AT254,AU254)</f>
        <v>-2.26054570599051</v>
      </c>
      <c r="AW254" s="0" t="n">
        <f aca="false">AG254-AH254*AO254/_Rfb2+AG254*AN254/_Rfb2+AN254-AO254*AR254+AQ254*AN254</f>
        <v>1982.90355721917</v>
      </c>
      <c r="AX254" s="0" t="n">
        <f aca="false">AH254+AH254*AN254/_Rfb2+AG254*AO254/_Rfb2+AO254+AO254*AQ254+AN254*AR254</f>
        <v>-3314.26767959842</v>
      </c>
      <c r="AY254" s="0" t="n">
        <f aca="false">ATAN2(AW254,AX254)</f>
        <v>-1.03163282901961</v>
      </c>
      <c r="BA254" s="0" t="n">
        <f aca="false">SQRT(AT254^2+AU254^2)/SQRT(AW254^2+AX254^2)</f>
        <v>20.067343489445</v>
      </c>
      <c r="BB254" s="0" t="n">
        <f aca="false">20*LOG(BA254)</f>
        <v>26.0497976896744</v>
      </c>
      <c r="BC254" s="0" t="n">
        <f aca="false">AV254-AY254</f>
        <v>-1.22891287697091</v>
      </c>
      <c r="BD254" s="0" t="n">
        <f aca="false">BC254*180/Pi-180</f>
        <v>-250.411521320169</v>
      </c>
      <c r="BF254" s="0" t="n">
        <f aca="false">20*LOG(BA254*J254*F254*C254)</f>
        <v>18.8246302943549</v>
      </c>
      <c r="BG254" s="0" t="n">
        <f aca="false">(180/Pi)*(D254+H254+BC254)</f>
        <v>-242.255399324871</v>
      </c>
      <c r="BH254" s="0" t="n">
        <f aca="false">IF(BG254&gt;180,BG254-180,BG254+180)</f>
        <v>-62.2553993248712</v>
      </c>
      <c r="BI254" s="0" t="n">
        <f aca="false">IF(BH254&gt;180,BH254-360,BH254)</f>
        <v>-62.2553993248712</v>
      </c>
      <c r="BJ254" s="0" t="n">
        <f aca="false">SUM((BF255&lt;0)*(BF254&gt;0))*A254</f>
        <v>0</v>
      </c>
      <c r="BK254" s="0" t="n">
        <f aca="false">IF(BJ254&gt;0,BI254,0)</f>
        <v>0</v>
      </c>
      <c r="BM254" s="0" t="n">
        <f aca="false">20*LOG(J254*F254*C254)</f>
        <v>-7.22516739531952</v>
      </c>
      <c r="BN254" s="0" t="n">
        <f aca="false">(H254+D254)*180/Pi</f>
        <v>-171.843878004702</v>
      </c>
      <c r="BQ254" s="347" t="n">
        <f aca="false">20*LOG(BA254*7)</f>
        <v>42.9517584899595</v>
      </c>
      <c r="BR254" s="353"/>
      <c r="BS254" s="353"/>
      <c r="BT254" s="353" t="n">
        <v>27542.287</v>
      </c>
      <c r="BU254" s="353" t="n">
        <v>-2.73666</v>
      </c>
      <c r="BV254" s="353" t="n">
        <v>-158.108</v>
      </c>
      <c r="BY254" s="353"/>
      <c r="BZ254" s="353"/>
      <c r="CA254" s="353"/>
      <c r="CC254" s="353"/>
    </row>
    <row r="255" customFormat="false" ht="12.75" hidden="false" customHeight="false" outlineLevel="0" collapsed="false">
      <c r="A255" s="0" t="n">
        <f aca="false">A254+5000</f>
        <v>205000</v>
      </c>
      <c r="B255" s="0" t="n">
        <f aca="false">A255/1000</f>
        <v>205</v>
      </c>
      <c r="C255" s="0" t="n">
        <f aca="false">SQRT((A255/Fesr)^2+1)</f>
        <v>1.0000008295399</v>
      </c>
      <c r="D255" s="0" t="n">
        <f aca="false">ATAN(A255/Fesr)</f>
        <v>0.00128805227417285</v>
      </c>
      <c r="F255" s="0" t="n">
        <f aca="false">(Ro/(Ro+Rdcr))/SQRT((A255/(Q*Fo))^2+(1-(A255^2/Fo^2))^2)</f>
        <v>0.0459460927374669</v>
      </c>
      <c r="G255" s="0" t="n">
        <f aca="false">-ATAN(A255*Fo/(Q*(Fo^2-A255^2)))</f>
        <v>0.137375358228273</v>
      </c>
      <c r="H255" s="0" t="n">
        <f aca="false">IF(G255&gt;0,G255-Pi,G255)</f>
        <v>-3.00421729177173</v>
      </c>
      <c r="J255" s="0" t="n">
        <f aca="false">Vin/Vramp</f>
        <v>9</v>
      </c>
      <c r="M255" s="0" t="n">
        <f aca="false">1/(2*Pi*_Rfb1*(Cc1ea_u+Cc2ea_u)*A255)</f>
        <v>0.0287542806275983</v>
      </c>
      <c r="N255" s="0" t="n">
        <f aca="false">-Pi/2</f>
        <v>-1.570796325</v>
      </c>
      <c r="O255" s="0" t="n">
        <f aca="false">SQRT(1+(A255/Fz1_u)^2)</f>
        <v>5.10681537925575</v>
      </c>
      <c r="P255" s="0" t="n">
        <f aca="false">ATAN2(Fz1_u,A255)</f>
        <v>1.37370606984721</v>
      </c>
      <c r="Q255" s="0" t="n">
        <f aca="false">SQRT(1+(A255/Fz2_u)^2)</f>
        <v>5682.62194940436</v>
      </c>
      <c r="R255" s="0" t="n">
        <f aca="false">ATAN2(Fz2_u,A255)</f>
        <v>1.57062035168797</v>
      </c>
      <c r="S255" s="0" t="n">
        <f aca="false">1/SQRT(1+(A255/Fp1_u)^2)</f>
        <v>0.0656960971204105</v>
      </c>
      <c r="T255" s="0" t="n">
        <f aca="false">-ATAN2(Fp1_u,A255)</f>
        <v>-1.50505288051303</v>
      </c>
      <c r="U255" s="0" t="n">
        <f aca="false">1/SQRT(1+(A255/Fp2_u)^2)</f>
        <v>0.873829390630357</v>
      </c>
      <c r="V255" s="0" t="n">
        <f aca="false">-ATAN2(Fp2_u,A255)</f>
        <v>-0.507773252236524</v>
      </c>
      <c r="X255" s="0" t="n">
        <f aca="false">20*LOG(C255*J255*O255*Q255*F255*M255*S255*U255)</f>
        <v>25.9371820211647</v>
      </c>
      <c r="Y255" s="0" t="n">
        <f aca="false">(180/Pi)*(D255+H255+N255+P255+R255+T255+V255)</f>
        <v>-208.684136572623</v>
      </c>
      <c r="Z255" s="0" t="n">
        <f aca="false">Y255+180</f>
        <v>-28.6841365726226</v>
      </c>
      <c r="AC255" s="0" t="n">
        <v>1</v>
      </c>
      <c r="AD255" s="0" t="n">
        <f aca="false">Rcea1_u*Cc1ea_u*A255*2*Pi</f>
        <v>5.007950011512</v>
      </c>
      <c r="AE255" s="0" t="n">
        <f aca="false">-Rcea1_u*Cc1ea_u*Cc2ea_u*(A255*2*Pi)^2</f>
        <v>-0.000967575745285611</v>
      </c>
      <c r="AF255" s="0" t="n">
        <f aca="false">(Cc2ea_u+Cc1ea_u)*A255*2*Pi</f>
        <v>0.001738871531775</v>
      </c>
      <c r="AG255" s="0" t="n">
        <f aca="false">AC255*AE255/(AE255^2+AF255^2)+AD255*AF255/(AE255^2+AF255^2)</f>
        <v>1954.75917805932</v>
      </c>
      <c r="AH255" s="0" t="n">
        <f aca="false">AD255*AE255/(AE255^2+AF255^2)-AC255*AF255/(AE255^2+AF255^2)</f>
        <v>-1662.789640137</v>
      </c>
      <c r="AJ255" s="0" t="n">
        <f aca="false">_Rfb1</f>
        <v>20000</v>
      </c>
      <c r="AK255" s="0" t="n">
        <f aca="false">_Rfb1*Rcea2_u*Cc3ea_u*A255*2*Pi</f>
        <v>303774.41633616</v>
      </c>
      <c r="AL255" s="0" t="n">
        <v>1</v>
      </c>
      <c r="AM255" s="0" t="n">
        <f aca="false">(_Rfb1+Rcea2_u)*Cc3ea_u*A255*2*Pi</f>
        <v>5682.62186141681</v>
      </c>
      <c r="AN255" s="0" t="n">
        <f aca="false">AJ255*AL255/(AL255^2+AM255^2)+AK255*AM255/(AL255^2+AM255^2)</f>
        <v>53.4573536370116</v>
      </c>
      <c r="AO255" s="0" t="n">
        <f aca="false">AK255*AL255/(AL255^2+AM255^2)-AJ255*AM255/(AL255^2+AM255^2)</f>
        <v>-3.51009501121193</v>
      </c>
      <c r="AQ255" s="0" t="n">
        <f aca="false">Eadcg/(1+(Eadcg*A255/GBP)^2)</f>
        <v>0.27089170397562</v>
      </c>
      <c r="AR255" s="0" t="n">
        <f aca="false">-(A255*Eadcg*Eadcg/GBP)/(1+(Eadcg*A255/GBP)^2)</f>
        <v>-29.2657852390061</v>
      </c>
      <c r="AT255" s="0" t="n">
        <f aca="false">-AR255*AH255+AG255*AQ255</f>
        <v>-48133.3164612873</v>
      </c>
      <c r="AU255" s="0" t="n">
        <f aca="false">AQ255*AH255+AG255*AR255</f>
        <v>-57657.9982180298</v>
      </c>
      <c r="AV255" s="0" t="n">
        <f aca="false">ATAN2(AT255,AU255)</f>
        <v>-2.26640384077365</v>
      </c>
      <c r="AW255" s="0" t="n">
        <f aca="false">AG255-AH255*AO255/_Rfb2+AG255*AN255/_Rfb2+AN255-AO255*AR255+AQ255*AN255</f>
        <v>1964.36886491273</v>
      </c>
      <c r="AX255" s="0" t="n">
        <f aca="false">AH255+AH255*AN255/_Rfb2+AG255*AO255/_Rfb2+AO255+AO255*AQ255+AN255*AR255</f>
        <v>-3274.80939766841</v>
      </c>
      <c r="AY255" s="0" t="n">
        <f aca="false">ATAN2(AW255,AX255)</f>
        <v>-1.03049286598218</v>
      </c>
      <c r="BA255" s="0" t="n">
        <f aca="false">SQRT(AT255^2+AU255^2)/SQRT(AW255^2+AX255^2)</f>
        <v>19.6681197710986</v>
      </c>
      <c r="BB255" s="0" t="n">
        <f aca="false">20*LOG(BA255)</f>
        <v>25.8752568861685</v>
      </c>
      <c r="BC255" s="0" t="n">
        <f aca="false">AV255-AY255</f>
        <v>-1.23591097479148</v>
      </c>
      <c r="BD255" s="0" t="n">
        <f aca="false">BC255*180/Pi-180</f>
        <v>-250.812482790366</v>
      </c>
      <c r="BF255" s="0" t="n">
        <f aca="false">20*LOG(BA255*J255*F255*C255)</f>
        <v>18.2050859767507</v>
      </c>
      <c r="BG255" s="0" t="n">
        <f aca="false">(180/Pi)*(D255+H255+BC255)</f>
        <v>-242.867654586608</v>
      </c>
      <c r="BH255" s="0" t="n">
        <f aca="false">IF(BG255&gt;180,BG255-180,BG255+180)</f>
        <v>-62.8676545866077</v>
      </c>
      <c r="BI255" s="0" t="n">
        <f aca="false">IF(BH255&gt;180,BH255-360,BH255)</f>
        <v>-62.8676545866077</v>
      </c>
      <c r="BJ255" s="0" t="n">
        <f aca="false">SUM((BF256&lt;0)*(BF255&gt;0))*A255</f>
        <v>0</v>
      </c>
      <c r="BK255" s="0" t="n">
        <f aca="false">IF(BJ255&gt;0,BI255,0)</f>
        <v>0</v>
      </c>
      <c r="BM255" s="0" t="n">
        <f aca="false">20*LOG(J255*F255*C255)</f>
        <v>-7.67017090941778</v>
      </c>
      <c r="BN255" s="0" t="n">
        <f aca="false">(H255+D255)*180/Pi</f>
        <v>-172.055171796242</v>
      </c>
      <c r="BQ255" s="347" t="n">
        <f aca="false">20*LOG(BA255*7)</f>
        <v>42.7772176864536</v>
      </c>
      <c r="BR255" s="353"/>
      <c r="BS255" s="353"/>
      <c r="BT255" s="353" t="n">
        <v>28183.829</v>
      </c>
      <c r="BU255" s="353" t="n">
        <v>-2.65234</v>
      </c>
      <c r="BV255" s="353" t="n">
        <v>-157.063</v>
      </c>
      <c r="BY255" s="353"/>
      <c r="BZ255" s="353"/>
      <c r="CA255" s="353"/>
      <c r="CC255" s="353"/>
    </row>
    <row r="256" customFormat="false" ht="12.75" hidden="false" customHeight="false" outlineLevel="0" collapsed="false">
      <c r="A256" s="0" t="n">
        <f aca="false">A255+5000</f>
        <v>210000</v>
      </c>
      <c r="B256" s="0" t="n">
        <f aca="false">A256/1000</f>
        <v>210</v>
      </c>
      <c r="C256" s="0" t="n">
        <f aca="false">SQRT((A256/Fesr)^2+1)</f>
        <v>1.00000087049873</v>
      </c>
      <c r="D256" s="0" t="n">
        <f aca="false">ATAN(A256/Fesr)</f>
        <v>0.00131946814726979</v>
      </c>
      <c r="F256" s="0" t="n">
        <f aca="false">(Ro/(Ro+Rdcr))/SQRT((A256/(Q*Fo))^2+(1-(A256^2/Fo^2))^2)</f>
        <v>0.0437091545764901</v>
      </c>
      <c r="G256" s="0" t="n">
        <f aca="false">-ATAN(A256*Fo/(Q*(Fo^2-A256^2)))</f>
        <v>0.133853231751024</v>
      </c>
      <c r="H256" s="0" t="n">
        <f aca="false">IF(G256&gt;0,G256-Pi,G256)</f>
        <v>-3.00773941824898</v>
      </c>
      <c r="J256" s="0" t="n">
        <f aca="false">Vin/Vramp</f>
        <v>9</v>
      </c>
      <c r="M256" s="0" t="n">
        <f aca="false">1/(2*Pi*_Rfb1*(Cc1ea_u+Cc2ea_u)*A256)</f>
        <v>0.0280696548983697</v>
      </c>
      <c r="N256" s="0" t="n">
        <f aca="false">-Pi/2</f>
        <v>-1.570796325</v>
      </c>
      <c r="O256" s="0" t="n">
        <f aca="false">SQRT(1+(A256/Fz1_u)^2)</f>
        <v>5.22665056047024</v>
      </c>
      <c r="P256" s="0" t="n">
        <f aca="false">ATAN2(Fz1_u,A256)</f>
        <v>1.37828225956883</v>
      </c>
      <c r="Q256" s="0" t="n">
        <f aca="false">SQRT(1+(A256/Fz2_u)^2)</f>
        <v>5821.22248051471</v>
      </c>
      <c r="R256" s="0" t="n">
        <f aca="false">ATAN2(Fz2_u,A256)</f>
        <v>1.57062454157139</v>
      </c>
      <c r="S256" s="0" t="n">
        <f aca="false">1/SQRT(1+(A256/Fp1_u)^2)</f>
        <v>0.0641384171498537</v>
      </c>
      <c r="T256" s="0" t="n">
        <f aca="false">-ATAN2(Fp1_u,A256)</f>
        <v>-1.50661385328136</v>
      </c>
      <c r="U256" s="0" t="n">
        <f aca="false">1/SQRT(1+(A256/Fp2_u)^2)</f>
        <v>0.868773319317117</v>
      </c>
      <c r="V256" s="0" t="n">
        <f aca="false">-ATAN2(Fp2_u,A256)</f>
        <v>-0.518076506695026</v>
      </c>
      <c r="X256" s="0" t="n">
        <f aca="false">20*LOG(C256*J256*O256*Q256*F256*M256*S256*U256)</f>
        <v>25.4462948641157</v>
      </c>
      <c r="Y256" s="0" t="n">
        <f aca="false">(180/Pi)*(D256+H256+N256+P256+R256+T256+V256)</f>
        <v>-209.301473285793</v>
      </c>
      <c r="Z256" s="0" t="n">
        <f aca="false">Y256+180</f>
        <v>-29.3014732857929</v>
      </c>
      <c r="AC256" s="0" t="n">
        <v>1</v>
      </c>
      <c r="AD256" s="0" t="n">
        <f aca="false">Rcea1_u*Cc1ea_u*A256*2*Pi</f>
        <v>5.130095133744</v>
      </c>
      <c r="AE256" s="0" t="n">
        <f aca="false">-Rcea1_u*Cc1ea_u*Cc2ea_u*(A256*2*Pi)^2</f>
        <v>-0.00101535015745617</v>
      </c>
      <c r="AF256" s="0" t="n">
        <f aca="false">(Cc2ea_u+Cc1ea_u)*A256*2*Pi</f>
        <v>0.00178128303255</v>
      </c>
      <c r="AG256" s="0" t="n">
        <f aca="false">AC256*AE256/(AE256^2+AF256^2)+AD256*AF256/(AE256^2+AF256^2)</f>
        <v>1932.20372571464</v>
      </c>
      <c r="AH256" s="0" t="n">
        <f aca="false">AD256*AE256/(AE256^2+AF256^2)-AC256*AF256/(AE256^2+AF256^2)</f>
        <v>-1662.76964582192</v>
      </c>
      <c r="AJ256" s="0" t="n">
        <f aca="false">_Rfb1</f>
        <v>20000</v>
      </c>
      <c r="AK256" s="0" t="n">
        <f aca="false">_Rfb1*Rcea2_u*Cc3ea_u*A256*2*Pi</f>
        <v>311183.54844192</v>
      </c>
      <c r="AL256" s="0" t="n">
        <v>1</v>
      </c>
      <c r="AM256" s="0" t="n">
        <f aca="false">(_Rfb1+Rcea2_u)*Cc3ea_u*A256*2*Pi</f>
        <v>5821.2223946221</v>
      </c>
      <c r="AN256" s="0" t="n">
        <f aca="false">AJ256*AL256/(AL256^2+AM256^2)+AK256*AM256/(AL256^2+AM256^2)</f>
        <v>53.4573245733978</v>
      </c>
      <c r="AO256" s="0" t="n">
        <f aca="false">AK256*AL256/(AL256^2+AM256^2)-AJ256*AM256/(AL256^2+AM256^2)</f>
        <v>-3.42652132546149</v>
      </c>
      <c r="AQ256" s="0" t="n">
        <f aca="false">Eadcg/(1+(Eadcg*A256/GBP)^2)</f>
        <v>0.258146706340708</v>
      </c>
      <c r="AR256" s="0" t="n">
        <f aca="false">-(A256*Eadcg*Eadcg/GBP)/(1+(Eadcg*A256/GBP)^2)</f>
        <v>-28.5690959907261</v>
      </c>
      <c r="AT256" s="0" t="n">
        <f aca="false">-AR256*AH256+AG256*AQ256</f>
        <v>-47005.0335941795</v>
      </c>
      <c r="AU256" s="0" t="n">
        <f aca="false">AQ256*AH256+AG256*AR256</f>
        <v>-55630.5522210524</v>
      </c>
      <c r="AV256" s="0" t="n">
        <f aca="false">ATAN2(AT256,AU256)</f>
        <v>-2.27235127420772</v>
      </c>
      <c r="AW256" s="0" t="n">
        <f aca="false">AG256-AH256*AO256/_Rfb2+AG256*AN256/_Rfb2+AN256-AO256*AR256+AQ256*AN256</f>
        <v>1945.48508262059</v>
      </c>
      <c r="AX256" s="0" t="n">
        <f aca="false">AH256+AH256*AN256/_Rfb2+AG256*AO256/_Rfb2+AO256+AO256*AQ256+AN256*AR256</f>
        <v>-3237.28672875001</v>
      </c>
      <c r="AY256" s="0" t="n">
        <f aca="false">ATAN2(AW256,AX256)</f>
        <v>-1.02967005166213</v>
      </c>
      <c r="BA256" s="0" t="n">
        <f aca="false">SQRT(AT256^2+AU256^2)/SQRT(AW256^2+AX256^2)</f>
        <v>19.2830753573885</v>
      </c>
      <c r="BB256" s="0" t="n">
        <f aca="false">20*LOG(BA256)</f>
        <v>25.7035259691715</v>
      </c>
      <c r="BC256" s="0" t="n">
        <f aca="false">AV256-AY256</f>
        <v>-1.24268122254559</v>
      </c>
      <c r="BD256" s="0" t="n">
        <f aca="false">BC256*180/Pi-180</f>
        <v>-251.200389413378</v>
      </c>
      <c r="BF256" s="0" t="n">
        <f aca="false">20*LOG(BA256*J256*F256*C256)</f>
        <v>17.5998318477439</v>
      </c>
      <c r="BG256" s="0" t="n">
        <f aca="false">(180/Pi)*(D256+H256+BC256)</f>
        <v>-243.455564194967</v>
      </c>
      <c r="BH256" s="0" t="n">
        <f aca="false">IF(BG256&gt;180,BG256-180,BG256+180)</f>
        <v>-63.4555641949675</v>
      </c>
      <c r="BI256" s="0" t="n">
        <f aca="false">IF(BH256&gt;180,BH256-360,BH256)</f>
        <v>-63.4555641949675</v>
      </c>
      <c r="BJ256" s="0" t="n">
        <f aca="false">SUM((BF257&lt;0)*(BF256&gt;0))*A256</f>
        <v>0</v>
      </c>
      <c r="BK256" s="0" t="n">
        <f aca="false">IF(BJ256&gt;0,BI256,0)</f>
        <v>0</v>
      </c>
      <c r="BM256" s="0" t="n">
        <f aca="false">20*LOG(J256*F256*C256)</f>
        <v>-8.1036941214276</v>
      </c>
      <c r="BN256" s="0" t="n">
        <f aca="false">(H256+D256)*180/Pi</f>
        <v>-172.25517478159</v>
      </c>
      <c r="BQ256" s="347" t="n">
        <f aca="false">20*LOG(BA256*7)</f>
        <v>42.6054867694567</v>
      </c>
      <c r="BR256" s="353"/>
      <c r="BS256" s="353"/>
      <c r="BT256" s="353" t="n">
        <v>28840.315</v>
      </c>
      <c r="BU256" s="353" t="n">
        <v>-2.55068</v>
      </c>
      <c r="BV256" s="353" t="n">
        <v>-156.01</v>
      </c>
      <c r="BY256" s="353"/>
      <c r="BZ256" s="353"/>
      <c r="CA256" s="353"/>
      <c r="CC256" s="353"/>
    </row>
    <row r="257" customFormat="false" ht="12.75" hidden="false" customHeight="false" outlineLevel="0" collapsed="false">
      <c r="A257" s="0" t="n">
        <f aca="false">A256+5000</f>
        <v>215000</v>
      </c>
      <c r="B257" s="0" t="n">
        <f aca="false">A257/1000</f>
        <v>215</v>
      </c>
      <c r="C257" s="0" t="n">
        <f aca="false">SQRT((A257/Fesr)^2+1)</f>
        <v>1.00000091244451</v>
      </c>
      <c r="D257" s="0" t="n">
        <f aca="false">ATAN(A257/Fesr)</f>
        <v>0.00135088401776222</v>
      </c>
      <c r="F257" s="0" t="n">
        <f aca="false">(Ro/(Ro+Rdcr))/SQRT((A257/(Q*Fo))^2+(1-(A257^2/Fo^2))^2)</f>
        <v>0.0416332781528632</v>
      </c>
      <c r="G257" s="0" t="n">
        <f aca="false">-ATAN(A257*Fo/(Q*(Fo^2-A257^2)))</f>
        <v>0.130512535764225</v>
      </c>
      <c r="H257" s="0" t="n">
        <f aca="false">IF(G257&gt;0,G257-Pi,G257)</f>
        <v>-3.01108011423578</v>
      </c>
      <c r="J257" s="0" t="n">
        <f aca="false">Vin/Vramp</f>
        <v>9</v>
      </c>
      <c r="M257" s="0" t="n">
        <f aca="false">1/(2*Pi*_Rfb1*(Cc1ea_u+Cc2ea_u)*A257)</f>
        <v>0.0274168722263146</v>
      </c>
      <c r="N257" s="0" t="n">
        <f aca="false">-Pi/2</f>
        <v>-1.570796325</v>
      </c>
      <c r="O257" s="0" t="n">
        <f aca="false">SQRT(1+(A257/Fz1_u)^2)</f>
        <v>5.34659028788394</v>
      </c>
      <c r="P257" s="0" t="n">
        <f aca="false">ATAN2(Fz1_u,A257)</f>
        <v>1.38265322267588</v>
      </c>
      <c r="Q257" s="0" t="n">
        <f aca="false">SQRT(1+(A257/Fz2_u)^2)</f>
        <v>5959.82301172249</v>
      </c>
      <c r="R257" s="0" t="n">
        <f aca="false">ATAN2(Fz2_u,A257)</f>
        <v>1.57062853657651</v>
      </c>
      <c r="S257" s="0" t="n">
        <f aca="false">1/SQRT(1+(A257/Fp1_u)^2)</f>
        <v>0.0626527505187862</v>
      </c>
      <c r="T257" s="0" t="n">
        <f aca="false">-ATAN2(Fp1_u,A257)</f>
        <v>-1.50810251452782</v>
      </c>
      <c r="U257" s="0" t="n">
        <f aca="false">1/SQRT(1+(A257/Fp2_u)^2)</f>
        <v>0.863685316862556</v>
      </c>
      <c r="V257" s="0" t="n">
        <f aca="false">-ATAN2(Fp2_u,A257)</f>
        <v>-0.52826014900864</v>
      </c>
      <c r="X257" s="0" t="n">
        <f aca="false">20*LOG(C257*J257*O257*Q257*F257*M257*S257*U257)</f>
        <v>24.9661473564743</v>
      </c>
      <c r="Y257" s="0" t="n">
        <f aca="false">(180/Pi)*(D257+H257+N257+P257+R257+T257+V257)</f>
        <v>-209.909188166192</v>
      </c>
      <c r="Z257" s="0" t="n">
        <f aca="false">Y257+180</f>
        <v>-29.9091881661917</v>
      </c>
      <c r="AC257" s="0" t="n">
        <v>1</v>
      </c>
      <c r="AD257" s="0" t="n">
        <f aca="false">Rcea1_u*Cc1ea_u*A257*2*Pi</f>
        <v>5.252240255976</v>
      </c>
      <c r="AE257" s="0" t="n">
        <f aca="false">-Rcea1_u*Cc1ea_u*Cc2ea_u*(A257*2*Pi)^2</f>
        <v>-0.00106427576028144</v>
      </c>
      <c r="AF257" s="0" t="n">
        <f aca="false">(Cc2ea_u+Cc1ea_u)*A257*2*Pi</f>
        <v>0.001823694533325</v>
      </c>
      <c r="AG257" s="0" t="n">
        <f aca="false">AC257*AE257/(AE257^2+AF257^2)+AD257*AF257/(AE257^2+AF257^2)</f>
        <v>1909.63795600377</v>
      </c>
      <c r="AH257" s="0" t="n">
        <f aca="false">AD257*AE257/(AE257^2+AF257^2)-AC257*AF257/(AE257^2+AF257^2)</f>
        <v>-1662.76826084438</v>
      </c>
      <c r="AJ257" s="0" t="n">
        <f aca="false">_Rfb1</f>
        <v>20000</v>
      </c>
      <c r="AK257" s="0" t="n">
        <f aca="false">_Rfb1*Rcea2_u*Cc3ea_u*A257*2*Pi</f>
        <v>318592.68054768</v>
      </c>
      <c r="AL257" s="0" t="n">
        <v>1</v>
      </c>
      <c r="AM257" s="0" t="n">
        <f aca="false">(_Rfb1+Rcea2_u)*Cc3ea_u*A257*2*Pi</f>
        <v>5959.82292782738</v>
      </c>
      <c r="AN257" s="0" t="n">
        <f aca="false">AJ257*AL257/(AL257^2+AM257^2)+AK257*AM257/(AL257^2+AM257^2)</f>
        <v>53.4572975138055</v>
      </c>
      <c r="AO257" s="0" t="n">
        <f aca="false">AK257*AL257/(AL257^2+AM257^2)-AJ257*AM257/(AL257^2+AM257^2)</f>
        <v>-3.34683478754923</v>
      </c>
      <c r="AQ257" s="0" t="n">
        <f aca="false">Eadcg/(1+(Eadcg*A257/GBP)^2)</f>
        <v>0.246280421325126</v>
      </c>
      <c r="AR257" s="0" t="n">
        <f aca="false">-(A257*Eadcg*Eadcg/GBP)/(1+(Eadcg*A257/GBP)^2)</f>
        <v>-27.9048031382435</v>
      </c>
      <c r="AT257" s="0" t="n">
        <f aca="false">-AR257*AH257+AG257*AQ257</f>
        <v>-45928.9145429987</v>
      </c>
      <c r="AU257" s="0" t="n">
        <f aca="false">AQ257*AH257+AG257*AR257</f>
        <v>-53697.5784954498</v>
      </c>
      <c r="AV257" s="0" t="n">
        <f aca="false">ATAN2(AT257,AU257)</f>
        <v>-2.27837407322227</v>
      </c>
      <c r="AW257" s="0" t="n">
        <f aca="false">AG257-AH257*AO257/_Rfb2+AG257*AN257/_Rfb2+AN257-AO257*AR257+AQ257*AN257</f>
        <v>1926.30155655382</v>
      </c>
      <c r="AX257" s="0" t="n">
        <f aca="false">AH257+AH257*AN257/_Rfb2+AG257*AO257/_Rfb2+AO257+AO257*AQ257+AN257*AR257</f>
        <v>-3201.52997210042</v>
      </c>
      <c r="AY257" s="0" t="n">
        <f aca="false">ATAN2(AW257,AX257)</f>
        <v>-1.029141300607</v>
      </c>
      <c r="BA257" s="0" t="n">
        <f aca="false">SQRT(AT257^2+AU257^2)/SQRT(AW257^2+AX257^2)</f>
        <v>18.9115356433</v>
      </c>
      <c r="BB257" s="0" t="n">
        <f aca="false">20*LOG(BA257)</f>
        <v>25.5345359119966</v>
      </c>
      <c r="BC257" s="0" t="n">
        <f aca="false">AV257-AY257</f>
        <v>-1.24923277261527</v>
      </c>
      <c r="BD257" s="0" t="n">
        <f aca="false">BC257*180/Pi-180</f>
        <v>-251.575765582068</v>
      </c>
      <c r="BF257" s="0" t="n">
        <f aca="false">20*LOG(BA257*J257*F257*C257)</f>
        <v>17.0082061870485</v>
      </c>
      <c r="BG257" s="0" t="n">
        <f aca="false">(180/Pi)*(D257+H257+BC257)</f>
        <v>-244.020548147765</v>
      </c>
      <c r="BH257" s="0" t="n">
        <f aca="false">IF(BG257&gt;180,BG257-180,BG257+180)</f>
        <v>-64.0205481477653</v>
      </c>
      <c r="BI257" s="0" t="n">
        <f aca="false">IF(BH257&gt;180,BH257-360,BH257)</f>
        <v>-64.0205481477653</v>
      </c>
      <c r="BJ257" s="0" t="n">
        <f aca="false">SUM((BF258&lt;0)*(BF257&gt;0))*A257</f>
        <v>0</v>
      </c>
      <c r="BK257" s="0" t="n">
        <f aca="false">IF(BJ257&gt;0,BI257,0)</f>
        <v>0</v>
      </c>
      <c r="BM257" s="0" t="n">
        <f aca="false">20*LOG(J257*F257*C257)</f>
        <v>-8.52632972494812</v>
      </c>
      <c r="BN257" s="0" t="n">
        <f aca="false">(H257+D257)*180/Pi</f>
        <v>-172.444782565697</v>
      </c>
      <c r="BQ257" s="347" t="n">
        <f aca="false">20*LOG(BA257*7)</f>
        <v>42.4364967122818</v>
      </c>
      <c r="BR257" s="353"/>
      <c r="BS257" s="353"/>
      <c r="BT257" s="353" t="n">
        <v>29512.092</v>
      </c>
      <c r="BU257" s="353" t="n">
        <v>-2.44991</v>
      </c>
      <c r="BV257" s="353" t="n">
        <v>-155.032</v>
      </c>
      <c r="BY257" s="353"/>
      <c r="BZ257" s="353"/>
      <c r="CA257" s="353"/>
      <c r="CC257" s="353"/>
    </row>
    <row r="258" customFormat="false" ht="12.75" hidden="false" customHeight="false" outlineLevel="0" collapsed="false">
      <c r="A258" s="0" t="n">
        <f aca="false">A257+5000</f>
        <v>220000</v>
      </c>
      <c r="B258" s="0" t="n">
        <f aca="false">A258/1000</f>
        <v>220</v>
      </c>
      <c r="C258" s="0" t="n">
        <f aca="false">SQRT((A258/Fesr)^2+1)</f>
        <v>1.00000095537725</v>
      </c>
      <c r="D258" s="0" t="n">
        <f aca="false">ATAN(A258/Fesr)</f>
        <v>0.00138229988558812</v>
      </c>
      <c r="F258" s="0" t="n">
        <f aca="false">(Ro/(Ro+Rdcr))/SQRT((A258/(Q*Fo))^2+(1-(A258^2/Fo^2))^2)</f>
        <v>0.0397032296487598</v>
      </c>
      <c r="G258" s="0" t="n">
        <f aca="false">-ATAN(A258*Fo/(Q*(Fo^2-A258^2)))</f>
        <v>0.12733927860605</v>
      </c>
      <c r="H258" s="0" t="n">
        <f aca="false">IF(G258&gt;0,G258-Pi,G258)</f>
        <v>-3.01425337139395</v>
      </c>
      <c r="J258" s="0" t="n">
        <f aca="false">Vin/Vramp</f>
        <v>9</v>
      </c>
      <c r="M258" s="0" t="n">
        <f aca="false">1/(2*Pi*_Rfb1*(Cc1ea_u+Cc2ea_u)*A258)</f>
        <v>0.0267937614938984</v>
      </c>
      <c r="N258" s="0" t="n">
        <f aca="false">-Pi/2</f>
        <v>-1.570796325</v>
      </c>
      <c r="O258" s="0" t="n">
        <f aca="false">SQRT(1+(A258/Fz1_u)^2)</f>
        <v>5.46662768016041</v>
      </c>
      <c r="P258" s="0" t="n">
        <f aca="false">ATAN2(Fz1_u,A258)</f>
        <v>1.38683230562486</v>
      </c>
      <c r="Q258" s="0" t="n">
        <f aca="false">SQRT(1+(A258/Fz2_u)^2)</f>
        <v>6098.42354302107</v>
      </c>
      <c r="R258" s="0" t="n">
        <f aca="false">ATAN2(Fz2_u,A258)</f>
        <v>1.57063234999049</v>
      </c>
      <c r="S258" s="0" t="n">
        <f aca="false">1/SQRT(1+(A258/Fp1_u)^2)</f>
        <v>0.0612342254128179</v>
      </c>
      <c r="T258" s="0" t="n">
        <f aca="false">-ATAN2(Fp1_u,A258)</f>
        <v>-1.50952376904889</v>
      </c>
      <c r="U258" s="0" t="n">
        <f aca="false">1/SQRT(1+(A258/Fp2_u)^2)</f>
        <v>0.858569078752747</v>
      </c>
      <c r="V258" s="0" t="n">
        <f aca="false">-ATAN2(Fp2_u,A258)</f>
        <v>-0.538324174544151</v>
      </c>
      <c r="X258" s="0" t="n">
        <f aca="false">20*LOG(C258*J258*O258*Q258*F258*M258*S258*U258)</f>
        <v>24.4961799730652</v>
      </c>
      <c r="Y258" s="0" t="n">
        <f aca="false">(180/Pi)*(D258+H258+N258+P258+R258+T258+V258)</f>
        <v>-210.507598178742</v>
      </c>
      <c r="Z258" s="0" t="n">
        <f aca="false">Y258+180</f>
        <v>-30.5075981787417</v>
      </c>
      <c r="AC258" s="0" t="n">
        <v>1</v>
      </c>
      <c r="AD258" s="0" t="n">
        <f aca="false">Rcea1_u*Cc1ea_u*A258*2*Pi</f>
        <v>5.374385378208</v>
      </c>
      <c r="AE258" s="0" t="n">
        <f aca="false">-Rcea1_u*Cc1ea_u*Cc2ea_u*(A258*2*Pi)^2</f>
        <v>-0.00111435255376142</v>
      </c>
      <c r="AF258" s="0" t="n">
        <f aca="false">(Cc2ea_u+Cc1ea_u)*A258*2*Pi</f>
        <v>0.0018661060341</v>
      </c>
      <c r="AG258" s="0" t="n">
        <f aca="false">AC258*AE258/(AE258^2+AF258^2)+AD258*AF258/(AE258^2+AF258^2)</f>
        <v>1887.08060925527</v>
      </c>
      <c r="AH258" s="0" t="n">
        <f aca="false">AD258*AE258/(AE258^2+AF258^2)-AC258*AF258/(AE258^2+AF258^2)</f>
        <v>-1662.75283364257</v>
      </c>
      <c r="AJ258" s="0" t="n">
        <f aca="false">_Rfb1</f>
        <v>20000</v>
      </c>
      <c r="AK258" s="0" t="n">
        <f aca="false">_Rfb1*Rcea2_u*Cc3ea_u*A258*2*Pi</f>
        <v>326001.81265344</v>
      </c>
      <c r="AL258" s="0" t="n">
        <v>1</v>
      </c>
      <c r="AM258" s="0" t="n">
        <f aca="false">(_Rfb1+Rcea2_u)*Cc3ea_u*A258*2*Pi</f>
        <v>6098.42346103267</v>
      </c>
      <c r="AN258" s="0" t="n">
        <f aca="false">AJ258*AL258/(AL258^2+AM258^2)+AK258*AM258/(AL258^2+AM258^2)</f>
        <v>53.4572722781374</v>
      </c>
      <c r="AO258" s="0" t="n">
        <f aca="false">AK258*AL258/(AL258^2+AM258^2)-AJ258*AM258/(AL258^2+AM258^2)</f>
        <v>-3.27077036469754</v>
      </c>
      <c r="AQ258" s="0" t="n">
        <f aca="false">Eadcg/(1+(Eadcg*A258/GBP)^2)</f>
        <v>0.235213890955792</v>
      </c>
      <c r="AR258" s="0" t="n">
        <f aca="false">-(A258*Eadcg*Eadcg/GBP)/(1+(Eadcg*A258/GBP)^2)</f>
        <v>-27.2706985174146</v>
      </c>
      <c r="AT258" s="0" t="n">
        <f aca="false">-AR258*AH258+AG258*AQ258</f>
        <v>-44900.563662593</v>
      </c>
      <c r="AU258" s="0" t="n">
        <f aca="false">AQ258*AH258+AG258*AR258</f>
        <v>-51853.1089367584</v>
      </c>
      <c r="AV258" s="0" t="n">
        <f aca="false">ATAN2(AT258,AU258)</f>
        <v>-2.28445958544367</v>
      </c>
      <c r="AW258" s="0" t="n">
        <f aca="false">AG258-AH258*AO258/_Rfb2+AG258*AN258/_Rfb2+AN258-AO258*AR258+AQ258*AN258</f>
        <v>1906.86344667192</v>
      </c>
      <c r="AX258" s="0" t="n">
        <f aca="false">AH258+AH258*AN258/_Rfb2+AG258*AO258/_Rfb2+AO258+AO258*AQ258+AN258*AR258</f>
        <v>-3167.38638772292</v>
      </c>
      <c r="AY258" s="0" t="n">
        <f aca="false">ATAN2(AW258,AX258)</f>
        <v>-1.02888509450048</v>
      </c>
      <c r="BA258" s="0" t="n">
        <f aca="false">SQRT(AT258^2+AU258^2)/SQRT(AW258^2+AX258^2)</f>
        <v>18.5528643767339</v>
      </c>
      <c r="BB258" s="0" t="n">
        <f aca="false">20*LOG(BA258)</f>
        <v>25.3682193970541</v>
      </c>
      <c r="BC258" s="0" t="n">
        <f aca="false">AV258-AY258</f>
        <v>-1.25557449094319</v>
      </c>
      <c r="BD258" s="0" t="n">
        <f aca="false">BC258*180/Pi-180</f>
        <v>-251.939119277534</v>
      </c>
      <c r="BF258" s="0" t="n">
        <f aca="false">20*LOG(BA258*J258*F258*C258)</f>
        <v>16.4295945995441</v>
      </c>
      <c r="BG258" s="0" t="n">
        <f aca="false">(180/Pi)*(D258+H258+BC258)</f>
        <v>-244.563916089274</v>
      </c>
      <c r="BH258" s="0" t="n">
        <f aca="false">IF(BG258&gt;180,BG258-180,BG258+180)</f>
        <v>-64.5639160892736</v>
      </c>
      <c r="BI258" s="0" t="n">
        <f aca="false">IF(BH258&gt;180,BH258-360,BH258)</f>
        <v>-64.5639160892736</v>
      </c>
      <c r="BJ258" s="0" t="n">
        <f aca="false">SUM((BF259&lt;0)*(BF258&gt;0))*A258</f>
        <v>0</v>
      </c>
      <c r="BK258" s="0" t="n">
        <f aca="false">IF(BJ258&gt;0,BI258,0)</f>
        <v>0</v>
      </c>
      <c r="BM258" s="0" t="n">
        <f aca="false">20*LOG(J258*F258*C258)</f>
        <v>-8.93862479751</v>
      </c>
      <c r="BN258" s="0" t="n">
        <f aca="false">(H258+D258)*180/Pi</f>
        <v>-172.62479681174</v>
      </c>
      <c r="BQ258" s="347" t="n">
        <f aca="false">20*LOG(BA258*7)</f>
        <v>42.2701801973392</v>
      </c>
      <c r="BR258" s="353"/>
      <c r="BS258" s="353"/>
      <c r="BT258" s="353" t="n">
        <v>30199.517</v>
      </c>
      <c r="BU258" s="353" t="n">
        <v>-2.35533</v>
      </c>
      <c r="BV258" s="353" t="n">
        <v>-154.002</v>
      </c>
      <c r="BY258" s="353"/>
      <c r="BZ258" s="353"/>
      <c r="CA258" s="353"/>
      <c r="CC258" s="353"/>
    </row>
    <row r="259" customFormat="false" ht="12.75" hidden="false" customHeight="false" outlineLevel="0" collapsed="false">
      <c r="A259" s="0" t="n">
        <f aca="false">A258+5000</f>
        <v>225000</v>
      </c>
      <c r="B259" s="0" t="n">
        <f aca="false">A259/1000</f>
        <v>225</v>
      </c>
      <c r="C259" s="0" t="n">
        <f aca="false">SQRT((A259/Fesr)^2+1)</f>
        <v>1.00000099929694</v>
      </c>
      <c r="D259" s="0" t="n">
        <f aca="false">ATAN(A259/Fesr)</f>
        <v>0.00141371575068548</v>
      </c>
      <c r="F259" s="0" t="n">
        <f aca="false">(Ro/(Ro+Rdcr))/SQRT((A259/(Q*Fo))^2+(1-(A259^2/Fo^2))^2)</f>
        <v>0.0379055484992356</v>
      </c>
      <c r="G259" s="0" t="n">
        <f aca="false">-ATAN(A259*Fo/(Q*(Fo^2-A259^2)))</f>
        <v>0.124320896073057</v>
      </c>
      <c r="H259" s="0" t="n">
        <f aca="false">IF(G259&gt;0,G259-Pi,G259)</f>
        <v>-3.01727175392694</v>
      </c>
      <c r="J259" s="0" t="n">
        <f aca="false">Vin/Vramp</f>
        <v>9</v>
      </c>
      <c r="M259" s="0" t="n">
        <f aca="false">1/(2*Pi*_Rfb1*(Cc1ea_u+Cc2ea_u)*A259)</f>
        <v>0.0261983445718117</v>
      </c>
      <c r="N259" s="0" t="n">
        <f aca="false">-Pi/2</f>
        <v>-1.570796325</v>
      </c>
      <c r="O259" s="0" t="n">
        <f aca="false">SQRT(1+(A259/Fz1_u)^2)</f>
        <v>5.58675644200346</v>
      </c>
      <c r="P259" s="0" t="n">
        <f aca="false">ATAN2(Fz1_u,A259)</f>
        <v>1.39083173518074</v>
      </c>
      <c r="Q259" s="0" t="n">
        <f aca="false">SQRT(1+(A259/Fz2_u)^2)</f>
        <v>6237.0240744044</v>
      </c>
      <c r="R259" s="0" t="n">
        <f aca="false">ATAN2(Fz2_u,A259)</f>
        <v>1.57063599391942</v>
      </c>
      <c r="S259" s="0" t="n">
        <f aca="false">1/SQRT(1+(A259/Fp1_u)^2)</f>
        <v>0.0598783989886153</v>
      </c>
      <c r="T259" s="0" t="n">
        <f aca="false">-ATAN2(Fp1_u,A259)</f>
        <v>-1.51088208838988</v>
      </c>
      <c r="U259" s="0" t="n">
        <f aca="false">1/SQRT(1+(A259/Fp2_u)^2)</f>
        <v>0.853428184999498</v>
      </c>
      <c r="V259" s="0" t="n">
        <f aca="false">-ATAN2(Fp2_u,A259)</f>
        <v>-0.548268675689923</v>
      </c>
      <c r="X259" s="0" t="n">
        <f aca="false">20*LOG(C259*J259*O259*Q259*F259*M259*S259*U259)</f>
        <v>24.035877977182</v>
      </c>
      <c r="Y259" s="0" t="n">
        <f aca="false">(180/Pi)*(D259+H259+N259+P259+R259+T259+V259)</f>
        <v>-211.096983457757</v>
      </c>
      <c r="Z259" s="0" t="n">
        <f aca="false">Y259+180</f>
        <v>-31.0969834577573</v>
      </c>
      <c r="AC259" s="0" t="n">
        <v>1</v>
      </c>
      <c r="AD259" s="0" t="n">
        <f aca="false">Rcea1_u*Cc1ea_u*A259*2*Pi</f>
        <v>5.49653050044</v>
      </c>
      <c r="AE259" s="0" t="n">
        <f aca="false">-Rcea1_u*Cc1ea_u*Cc2ea_u*(A259*2*Pi)^2</f>
        <v>-0.00116558053789611</v>
      </c>
      <c r="AF259" s="0" t="n">
        <f aca="false">(Cc2ea_u+Cc1ea_u)*A259*2*Pi</f>
        <v>0.001908517534875</v>
      </c>
      <c r="AG259" s="0" t="n">
        <f aca="false">AC259*AE259/(AE259^2+AF259^2)+AD259*AF259/(AE259^2+AF259^2)</f>
        <v>1864.54954739593</v>
      </c>
      <c r="AH259" s="0" t="n">
        <f aca="false">AD259*AE259/(AE259^2+AF259^2)-AC259*AF259/(AE259^2+AF259^2)</f>
        <v>-1662.69505330772</v>
      </c>
      <c r="AJ259" s="0" t="n">
        <f aca="false">_Rfb1</f>
        <v>20000</v>
      </c>
      <c r="AK259" s="0" t="n">
        <f aca="false">_Rfb1*Rcea2_u*Cc3ea_u*A259*2*Pi</f>
        <v>333410.9447592</v>
      </c>
      <c r="AL259" s="0" t="n">
        <v>1</v>
      </c>
      <c r="AM259" s="0" t="n">
        <f aca="false">(_Rfb1+Rcea2_u)*Cc3ea_u*A259*2*Pi</f>
        <v>6237.02399423796</v>
      </c>
      <c r="AN259" s="0" t="n">
        <f aca="false">AJ259*AL259/(AL259^2+AM259^2)+AK259*AM259/(AL259^2+AM259^2)</f>
        <v>53.4572487060825</v>
      </c>
      <c r="AO259" s="0" t="n">
        <f aca="false">AK259*AL259/(AL259^2+AM259^2)-AJ259*AM259/(AL259^2+AM259^2)</f>
        <v>-3.19808658259475</v>
      </c>
      <c r="AQ259" s="0" t="n">
        <f aca="false">Eadcg/(1+(Eadcg*A259/GBP)^2)</f>
        <v>0.224876830463485</v>
      </c>
      <c r="AR259" s="0" t="n">
        <f aca="false">-(A259*Eadcg*Eadcg/GBP)/(1+(Eadcg*A259/GBP)^2)</f>
        <v>-26.6647701722078</v>
      </c>
      <c r="AT259" s="0" t="n">
        <f aca="false">-AR259*AH259+AG259*AQ259</f>
        <v>-43916.0874704565</v>
      </c>
      <c r="AU259" s="0" t="n">
        <f aca="false">AQ259*AH259+AG259*AR259</f>
        <v>-50091.6867496218</v>
      </c>
      <c r="AV259" s="0" t="n">
        <f aca="false">ATAN2(AT259,AU259)</f>
        <v>-2.29059631311104</v>
      </c>
      <c r="AW259" s="0" t="n">
        <f aca="false">AG259-AH259*AO259/_Rfb2+AG259*AN259/_Rfb2+AN259-AO259*AR259+AQ259*AN259</f>
        <v>1887.21215980319</v>
      </c>
      <c r="AX259" s="0" t="n">
        <f aca="false">AH259+AH259*AN259/_Rfb2+AG259*AO259/_Rfb2+AO259+AO259*AQ259+AN259*AR259</f>
        <v>-3134.71830849551</v>
      </c>
      <c r="AY259" s="0" t="n">
        <f aca="false">ATAN2(AW259,AX259)</f>
        <v>-1.02888137263406</v>
      </c>
      <c r="BA259" s="0" t="n">
        <f aca="false">SQRT(AT259^2+AU259^2)/SQRT(AW259^2+AX259^2)</f>
        <v>18.2064611285113</v>
      </c>
      <c r="BB259" s="0" t="n">
        <f aca="false">20*LOG(BA259)</f>
        <v>25.2045107646427</v>
      </c>
      <c r="BC259" s="0" t="n">
        <f aca="false">AV259-AY259</f>
        <v>-1.26171494047698</v>
      </c>
      <c r="BD259" s="0" t="n">
        <f aca="false">BC259*180/Pi-180</f>
        <v>-252.290941120535</v>
      </c>
      <c r="BF259" s="0" t="n">
        <f aca="false">20*LOG(BA259*J259*F259*C259)</f>
        <v>15.8634253398153</v>
      </c>
      <c r="BG259" s="0" t="n">
        <f aca="false">(180/Pi)*(D259+H259+BC259)</f>
        <v>-245.086878516087</v>
      </c>
      <c r="BH259" s="0" t="n">
        <f aca="false">IF(BG259&gt;180,BG259-180,BG259+180)</f>
        <v>-65.0868785160872</v>
      </c>
      <c r="BI259" s="0" t="n">
        <f aca="false">IF(BH259&gt;180,BH259-360,BH259)</f>
        <v>-65.0868785160872</v>
      </c>
      <c r="BJ259" s="0" t="n">
        <f aca="false">SUM((BF260&lt;0)*(BF259&gt;0))*A259</f>
        <v>0</v>
      </c>
      <c r="BK259" s="0" t="n">
        <f aca="false">IF(BJ259&gt;0,BI259,0)</f>
        <v>0</v>
      </c>
      <c r="BM259" s="0" t="n">
        <f aca="false">20*LOG(J259*F259*C259)</f>
        <v>-9.34108542482738</v>
      </c>
      <c r="BN259" s="0" t="n">
        <f aca="false">(H259+D259)*180/Pi</f>
        <v>-172.795937395552</v>
      </c>
      <c r="BQ259" s="347" t="n">
        <f aca="false">20*LOG(BA259*7)</f>
        <v>42.1064715649278</v>
      </c>
      <c r="BR259" s="353"/>
      <c r="BS259" s="353"/>
      <c r="BT259" s="353" t="n">
        <v>30902.954</v>
      </c>
      <c r="BU259" s="353" t="n">
        <v>-2.25435</v>
      </c>
      <c r="BV259" s="353" t="n">
        <v>-152.994</v>
      </c>
      <c r="BY259" s="353"/>
      <c r="BZ259" s="353"/>
      <c r="CA259" s="353"/>
      <c r="CC259" s="353"/>
    </row>
    <row r="260" customFormat="false" ht="12.75" hidden="false" customHeight="false" outlineLevel="0" collapsed="false">
      <c r="A260" s="0" t="n">
        <f aca="false">A259+5000</f>
        <v>230000</v>
      </c>
      <c r="B260" s="0" t="n">
        <f aca="false">A260/1000</f>
        <v>230</v>
      </c>
      <c r="C260" s="0" t="n">
        <f aca="false">SQRT((A260/Fesr)^2+1)</f>
        <v>1.0000010442036</v>
      </c>
      <c r="D260" s="0" t="n">
        <f aca="false">ATAN(A260/Fesr)</f>
        <v>0.00144513161299228</v>
      </c>
      <c r="F260" s="0" t="n">
        <f aca="false">(Ro/(Ro+Rdcr))/SQRT((A260/(Q*Fo))^2+(1-(A260^2/Fo^2))^2)</f>
        <v>0.0362283036887511</v>
      </c>
      <c r="G260" s="0" t="n">
        <f aca="false">-ATAN(A260*Fo/(Q*(Fo^2-A260^2)))</f>
        <v>0.121446071665811</v>
      </c>
      <c r="H260" s="0" t="n">
        <f aca="false">IF(G260&gt;0,G260-Pi,G260)</f>
        <v>-3.02014657833419</v>
      </c>
      <c r="J260" s="0" t="n">
        <f aca="false">Vin/Vramp</f>
        <v>9</v>
      </c>
      <c r="M260" s="0" t="n">
        <f aca="false">1/(2*Pi*_Rfb1*(Cc1ea_u+Cc2ea_u)*A260)</f>
        <v>0.0256288153419898</v>
      </c>
      <c r="N260" s="0" t="n">
        <f aca="false">-Pi/2</f>
        <v>-1.570796325</v>
      </c>
      <c r="O260" s="0" t="n">
        <f aca="false">SQRT(1+(A260/Fz1_u)^2)</f>
        <v>5.70697080357072</v>
      </c>
      <c r="P260" s="0" t="n">
        <f aca="false">ATAN2(Fz1_u,A260)</f>
        <v>1.39466273208989</v>
      </c>
      <c r="Q260" s="0" t="n">
        <f aca="false">SQRT(1+(A260/Fz2_u)^2)</f>
        <v>6375.62460586694</v>
      </c>
      <c r="R260" s="0" t="n">
        <f aca="false">ATAN2(Fz2_u,A260)</f>
        <v>1.57063947941665</v>
      </c>
      <c r="S260" s="0" t="n">
        <f aca="false">1/SQRT(1+(A260/Fp1_u)^2)</f>
        <v>0.0585812112581181</v>
      </c>
      <c r="T260" s="0" t="n">
        <f aca="false">-ATAN2(Fp1_u,A260)</f>
        <v>-1.51218155759455</v>
      </c>
      <c r="U260" s="0" t="n">
        <f aca="false">1/SQRT(1+(A260/Fp2_u)^2)</f>
        <v>0.848266098535355</v>
      </c>
      <c r="V260" s="0" t="n">
        <f aca="false">-ATAN2(Fp2_u,A260)</f>
        <v>-0.558093837206362</v>
      </c>
      <c r="X260" s="0" t="n">
        <f aca="false">20*LOG(C260*J260*O260*Q260*F260*M260*S260*U260)</f>
        <v>23.5847668194975</v>
      </c>
      <c r="Y260" s="0" t="n">
        <f aca="false">(180/Pi)*(D260+H260+N260+P260+R260+T260+V260)</f>
        <v>-211.677593497935</v>
      </c>
      <c r="Z260" s="0" t="n">
        <f aca="false">Y260+180</f>
        <v>-31.6775934979355</v>
      </c>
      <c r="AC260" s="0" t="n">
        <v>1</v>
      </c>
      <c r="AD260" s="0" t="n">
        <f aca="false">Rcea1_u*Cc1ea_u*A260*2*Pi</f>
        <v>5.618675622672</v>
      </c>
      <c r="AE260" s="0" t="n">
        <f aca="false">-Rcea1_u*Cc1ea_u*Cc2ea_u*(A260*2*Pi)^2</f>
        <v>-0.00121795971268552</v>
      </c>
      <c r="AF260" s="0" t="n">
        <f aca="false">(Cc2ea_u+Cc1ea_u)*A260*2*Pi</f>
        <v>0.00195092903565</v>
      </c>
      <c r="AG260" s="0" t="n">
        <f aca="false">AC260*AE260/(AE260^2+AF260^2)+AD260*AF260/(AE260^2+AF260^2)</f>
        <v>1842.06175724645</v>
      </c>
      <c r="AH260" s="0" t="n">
        <f aca="false">AD260*AE260/(AE260^2+AF260^2)-AC260*AF260/(AE260^2+AF260^2)</f>
        <v>-1662.57047249501</v>
      </c>
      <c r="AJ260" s="0" t="n">
        <f aca="false">_Rfb1</f>
        <v>20000</v>
      </c>
      <c r="AK260" s="0" t="n">
        <f aca="false">_Rfb1*Rcea2_u*Cc3ea_u*A260*2*Pi</f>
        <v>340820.07686496</v>
      </c>
      <c r="AL260" s="0" t="n">
        <v>1</v>
      </c>
      <c r="AM260" s="0" t="n">
        <f aca="false">(_Rfb1+Rcea2_u)*Cc3ea_u*A260*2*Pi</f>
        <v>6375.62452744325</v>
      </c>
      <c r="AN260" s="0" t="n">
        <f aca="false">AJ260*AL260/(AL260^2+AM260^2)+AK260*AM260/(AL260^2+AM260^2)</f>
        <v>53.457226654563</v>
      </c>
      <c r="AO260" s="0" t="n">
        <f aca="false">AK260*AL260/(AL260^2+AM260^2)-AJ260*AM260/(AL260^2+AM260^2)</f>
        <v>-3.12856296469271</v>
      </c>
      <c r="AQ260" s="0" t="n">
        <f aca="false">Eadcg/(1+(Eadcg*A260/GBP)^2)</f>
        <v>0.215206509668867</v>
      </c>
      <c r="AR260" s="0" t="n">
        <f aca="false">-(A260*Eadcg*Eadcg/GBP)/(1+(Eadcg*A260/GBP)^2)</f>
        <v>-26.0851810369634</v>
      </c>
      <c r="AT260" s="0" t="n">
        <f aca="false">-AR260*AH260+AG260*AQ260</f>
        <v>-42972.0280803706</v>
      </c>
      <c r="AU260" s="0" t="n">
        <f aca="false">AQ260*AH260+AG260*AR260</f>
        <v>-48408.3104075046</v>
      </c>
      <c r="AV260" s="0" t="n">
        <f aca="false">ATAN2(AT260,AU260)</f>
        <v>-2.29677380150279</v>
      </c>
      <c r="AW260" s="0" t="n">
        <f aca="false">AG260-AH260*AO260/_Rfb2+AG260*AN260/_Rfb2+AN260-AO260*AR260+AQ260*AN260</f>
        <v>1867.38572115444</v>
      </c>
      <c r="AX260" s="0" t="n">
        <f aca="false">AH260+AH260*AN260/_Rfb2+AG260*AO260/_Rfb2+AO260+AO260*AQ260+AN260*AR260</f>
        <v>-3103.40149334026</v>
      </c>
      <c r="AY260" s="0" t="n">
        <f aca="false">ATAN2(AW260,AX260)</f>
        <v>-1.02911143028561</v>
      </c>
      <c r="BA260" s="0" t="n">
        <f aca="false">SQRT(AT260^2+AU260^2)/SQRT(AW260^2+AX260^2)</f>
        <v>17.8717589767207</v>
      </c>
      <c r="BB260" s="0" t="n">
        <f aca="false">20*LOG(BA260)</f>
        <v>25.0433459760103</v>
      </c>
      <c r="BC260" s="0" t="n">
        <f aca="false">AV260-AY260</f>
        <v>-1.26766237121719</v>
      </c>
      <c r="BD260" s="0" t="n">
        <f aca="false">BC260*180/Pi-180</f>
        <v>-252.631703801285</v>
      </c>
      <c r="BF260" s="0" t="n">
        <f aca="false">20*LOG(BA260*J260*F260*C260)</f>
        <v>15.3091652270165</v>
      </c>
      <c r="BG260" s="0" t="n">
        <f aca="false">(180/Pi)*(D260+H260+BC260)</f>
        <v>-245.590556506079</v>
      </c>
      <c r="BH260" s="0" t="n">
        <f aca="false">IF(BG260&gt;180,BG260-180,BG260+180)</f>
        <v>-65.5905565060795</v>
      </c>
      <c r="BI260" s="0" t="n">
        <f aca="false">IF(BH260&gt;180,BH260-360,BH260)</f>
        <v>-65.5905565060795</v>
      </c>
      <c r="BJ260" s="0" t="n">
        <f aca="false">SUM((BF261&lt;0)*(BF260&gt;0))*A260</f>
        <v>0</v>
      </c>
      <c r="BK260" s="0" t="n">
        <f aca="false">IF(BJ260&gt;0,BI260,0)</f>
        <v>0</v>
      </c>
      <c r="BM260" s="0" t="n">
        <f aca="false">20*LOG(J260*F260*C260)</f>
        <v>-9.73418074899384</v>
      </c>
      <c r="BN260" s="0" t="n">
        <f aca="false">(H260+D260)*180/Pi</f>
        <v>-172.958852704795</v>
      </c>
      <c r="BQ260" s="347" t="n">
        <f aca="false">20*LOG(BA260*7)</f>
        <v>41.9453067762955</v>
      </c>
      <c r="BR260" s="353"/>
      <c r="BS260" s="353"/>
      <c r="BT260" s="353" t="n">
        <v>31622.777</v>
      </c>
      <c r="BU260" s="353" t="n">
        <v>-2.12822</v>
      </c>
      <c r="BV260" s="353" t="n">
        <v>-152.041</v>
      </c>
      <c r="BY260" s="353"/>
      <c r="BZ260" s="353"/>
      <c r="CA260" s="353"/>
      <c r="CC260" s="353"/>
    </row>
    <row r="261" customFormat="false" ht="12.75" hidden="false" customHeight="false" outlineLevel="0" collapsed="false">
      <c r="A261" s="0" t="n">
        <f aca="false">A260+5000</f>
        <v>235000</v>
      </c>
      <c r="B261" s="0" t="n">
        <f aca="false">A261/1000</f>
        <v>235</v>
      </c>
      <c r="C261" s="0" t="n">
        <f aca="false">SQRT((A261/Fesr)^2+1)</f>
        <v>1.00000109009721</v>
      </c>
      <c r="D261" s="0" t="n">
        <f aca="false">ATAN(A261/Fesr)</f>
        <v>0.00147654747244652</v>
      </c>
      <c r="F261" s="0" t="n">
        <f aca="false">(Ro/(Ro+Rdcr))/SQRT((A261/(Q*Fo))^2+(1-(A261^2/Fo^2))^2)</f>
        <v>0.0346608884703866</v>
      </c>
      <c r="G261" s="0" t="n">
        <f aca="false">-ATAN(A261*Fo/(Q*(Fo^2-A261^2)))</f>
        <v>0.118704583560328</v>
      </c>
      <c r="H261" s="0" t="n">
        <f aca="false">IF(G261&gt;0,G261-Pi,G261)</f>
        <v>-3.02288806643967</v>
      </c>
      <c r="J261" s="0" t="n">
        <f aca="false">Vin/Vramp</f>
        <v>9</v>
      </c>
      <c r="M261" s="0" t="n">
        <f aca="false">1/(2*Pi*_Rfb1*(Cc1ea_u+Cc2ea_u)*A261)</f>
        <v>0.0250835213985432</v>
      </c>
      <c r="N261" s="0" t="n">
        <f aca="false">-Pi/2</f>
        <v>-1.570796325</v>
      </c>
      <c r="O261" s="0" t="n">
        <f aca="false">SQRT(1+(A261/Fz1_u)^2)</f>
        <v>5.82726546719129</v>
      </c>
      <c r="P261" s="0" t="n">
        <f aca="false">ATAN2(Fz1_u,A261)</f>
        <v>1.39833561134168</v>
      </c>
      <c r="Q261" s="0" t="n">
        <f aca="false">SQRT(1+(A261/Fz2_u)^2)</f>
        <v>6514.22513740364</v>
      </c>
      <c r="R261" s="0" t="n">
        <f aca="false">ATAN2(Fz2_u,A261)</f>
        <v>1.57064281659486</v>
      </c>
      <c r="S261" s="0" t="n">
        <f aca="false">1/SQRT(1+(A261/Fp1_u)^2)</f>
        <v>0.05733894478664</v>
      </c>
      <c r="T261" s="0" t="n">
        <f aca="false">-ATAN2(Fp1_u,A261)</f>
        <v>-1.51342591603594</v>
      </c>
      <c r="U261" s="0" t="n">
        <f aca="false">1/SQRT(1+(A261/Fp2_u)^2)</f>
        <v>0.843086164094994</v>
      </c>
      <c r="V261" s="0" t="n">
        <f aca="false">-ATAN2(Fp2_u,A261)</f>
        <v>-0.567799931602484</v>
      </c>
      <c r="X261" s="0" t="n">
        <f aca="false">20*LOG(C261*J261*O261*Q261*F261*M261*S261*U261)</f>
        <v>23.1424081060409</v>
      </c>
      <c r="Y261" s="0" t="n">
        <f aca="false">(180/Pi)*(D261+H261+N261+P261+R261+T261+V261)</f>
        <v>-212.249652245793</v>
      </c>
      <c r="Z261" s="0" t="n">
        <f aca="false">Y261+180</f>
        <v>-32.249652245793</v>
      </c>
      <c r="AC261" s="0" t="n">
        <v>1</v>
      </c>
      <c r="AD261" s="0" t="n">
        <f aca="false">Rcea1_u*Cc1ea_u*A261*2*Pi</f>
        <v>5.740820744904</v>
      </c>
      <c r="AE261" s="0" t="n">
        <f aca="false">-Rcea1_u*Cc1ea_u*Cc2ea_u*(A261*2*Pi)^2</f>
        <v>-0.00127149007812963</v>
      </c>
      <c r="AF261" s="0" t="n">
        <f aca="false">(Cc2ea_u+Cc1ea_u)*A261*2*Pi</f>
        <v>0.001993340536425</v>
      </c>
      <c r="AG261" s="0" t="n">
        <f aca="false">AC261*AE261/(AE261^2+AF261^2)+AD261*AF261/(AE261^2+AF261^2)</f>
        <v>1819.63335702633</v>
      </c>
      <c r="AH261" s="0" t="n">
        <f aca="false">AD261*AE261/(AE261^2+AF261^2)-AC261*AF261/(AE261^2+AF261^2)</f>
        <v>-1662.35808620821</v>
      </c>
      <c r="AJ261" s="0" t="n">
        <f aca="false">_Rfb1</f>
        <v>20000</v>
      </c>
      <c r="AK261" s="0" t="n">
        <f aca="false">_Rfb1*Rcea2_u*Cc3ea_u*A261*2*Pi</f>
        <v>348229.20897072</v>
      </c>
      <c r="AL261" s="0" t="n">
        <v>1</v>
      </c>
      <c r="AM261" s="0" t="n">
        <f aca="false">(_Rfb1+Rcea2_u)*Cc3ea_u*A261*2*Pi</f>
        <v>6514.22506064854</v>
      </c>
      <c r="AN261" s="0" t="n">
        <f aca="false">AJ261*AL261/(AL261^2+AM261^2)+AK261*AM261/(AL261^2+AM261^2)</f>
        <v>53.4572059955585</v>
      </c>
      <c r="AO261" s="0" t="n">
        <f aca="false">AK261*AL261/(AL261^2+AM261^2)-AJ261*AM261/(AL261^2+AM261^2)</f>
        <v>-3.06199779840254</v>
      </c>
      <c r="AQ261" s="0" t="n">
        <f aca="false">Eadcg/(1+(Eadcg*A261/GBP)^2)</f>
        <v>0.206146799133892</v>
      </c>
      <c r="AR261" s="0" t="n">
        <f aca="false">-(A261*Eadcg*Eadcg/GBP)/(1+(Eadcg*A261/GBP)^2)</f>
        <v>-25.5302503387369</v>
      </c>
      <c r="AT261" s="0" t="n">
        <f aca="false">-AR261*AH261+AG261*AQ261</f>
        <v>-42065.3065013708</v>
      </c>
      <c r="AU261" s="0" t="n">
        <f aca="false">AQ261*AH261+AG261*AR261</f>
        <v>-46798.3849280846</v>
      </c>
      <c r="AV261" s="0" t="n">
        <f aca="false">ATAN2(AT261,AU261)</f>
        <v>-2.3029825399393</v>
      </c>
      <c r="AW261" s="0" t="n">
        <f aca="false">AG261-AH261*AO261/_Rfb2+AG261*AN261/_Rfb2+AN261-AO261*AR261+AQ261*AN261</f>
        <v>1847.41909487991</v>
      </c>
      <c r="AX261" s="0" t="n">
        <f aca="false">AH261+AH261*AN261/_Rfb2+AG261*AO261/_Rfb2+AO261+AO261*AQ261+AN261*AR261</f>
        <v>-3073.32368592141</v>
      </c>
      <c r="AY261" s="0" t="n">
        <f aca="false">ATAN2(AW261,AX261)</f>
        <v>-1.02955782443924</v>
      </c>
      <c r="BA261" s="0" t="n">
        <f aca="false">SQRT(AT261^2+AU261^2)/SQRT(AW261^2+AX261^2)</f>
        <v>17.5482223762652</v>
      </c>
      <c r="BB261" s="0" t="n">
        <f aca="false">20*LOG(BA261)</f>
        <v>24.8846625855186</v>
      </c>
      <c r="BC261" s="0" t="n">
        <f aca="false">AV261-AY261</f>
        <v>-1.27342471550006</v>
      </c>
      <c r="BD261" s="0" t="n">
        <f aca="false">BC261*180/Pi-180</f>
        <v>-252.961861809172</v>
      </c>
      <c r="BF261" s="0" t="n">
        <f aca="false">20*LOG(BA261*J261*F261*C261)</f>
        <v>14.7663160605475</v>
      </c>
      <c r="BG261" s="0" t="n">
        <f aca="false">(180/Pi)*(D261+H261+BC261)</f>
        <v>-246.075990216017</v>
      </c>
      <c r="BH261" s="0" t="n">
        <f aca="false">IF(BG261&gt;180,BG261-180,BG261+180)</f>
        <v>-66.0759902160174</v>
      </c>
      <c r="BI261" s="0" t="n">
        <f aca="false">IF(BH261&gt;180,BH261-360,BH261)</f>
        <v>-66.0759902160174</v>
      </c>
      <c r="BJ261" s="0" t="n">
        <f aca="false">SUM((BF262&lt;0)*(BF261&gt;0))*A261</f>
        <v>0</v>
      </c>
      <c r="BK261" s="0" t="n">
        <f aca="false">IF(BJ261&gt;0,BI261,0)</f>
        <v>0</v>
      </c>
      <c r="BM261" s="0" t="n">
        <f aca="false">20*LOG(J261*F261*C261)</f>
        <v>-10.1183465249711</v>
      </c>
      <c r="BN261" s="0" t="n">
        <f aca="false">(H261+D261)*180/Pi</f>
        <v>-173.114128406845</v>
      </c>
      <c r="BQ261" s="347" t="n">
        <f aca="false">20*LOG(BA261*7)</f>
        <v>41.7866233858037</v>
      </c>
      <c r="BR261" s="353"/>
      <c r="BS261" s="353"/>
      <c r="BT261" s="353" t="n">
        <v>32359.366</v>
      </c>
      <c r="BU261" s="353" t="n">
        <v>-2.03586</v>
      </c>
      <c r="BV261" s="353" t="n">
        <v>-151.05</v>
      </c>
      <c r="BY261" s="353"/>
      <c r="BZ261" s="353"/>
      <c r="CA261" s="353"/>
      <c r="CC261" s="353"/>
    </row>
    <row r="262" customFormat="false" ht="12.75" hidden="false" customHeight="false" outlineLevel="0" collapsed="false">
      <c r="A262" s="0" t="n">
        <f aca="false">A261+5000</f>
        <v>240000</v>
      </c>
      <c r="B262" s="0" t="n">
        <f aca="false">A262/1000</f>
        <v>240</v>
      </c>
      <c r="C262" s="0" t="n">
        <f aca="false">SQRT((A262/Fesr)^2+1)</f>
        <v>1.00000113697778</v>
      </c>
      <c r="D262" s="0" t="n">
        <f aca="false">ATAN(A262/Fesr)</f>
        <v>0.00150796332898618</v>
      </c>
      <c r="F262" s="0" t="n">
        <f aca="false">(Ro/(Ro+Rdcr))/SQRT((A262/(Q*Fo))^2+(1-(A262^2/Fo^2))^2)</f>
        <v>0.0331938467036705</v>
      </c>
      <c r="G262" s="0" t="n">
        <f aca="false">-ATAN(A262*Fo/(Q*(Fo^2-A262^2)))</f>
        <v>0.116087173755482</v>
      </c>
      <c r="H262" s="0" t="n">
        <f aca="false">IF(G262&gt;0,G262-Pi,G262)</f>
        <v>-3.02550547624452</v>
      </c>
      <c r="J262" s="0" t="n">
        <f aca="false">Vin/Vramp</f>
        <v>9</v>
      </c>
      <c r="M262" s="0" t="n">
        <f aca="false">1/(2*Pi*_Rfb1*(Cc1ea_u+Cc2ea_u)*A262)</f>
        <v>0.0245609480360735</v>
      </c>
      <c r="N262" s="0" t="n">
        <f aca="false">-Pi/2</f>
        <v>-1.570796325</v>
      </c>
      <c r="O262" s="0" t="n">
        <f aca="false">SQRT(1+(A262/Fz1_u)^2)</f>
        <v>5.94763556038883</v>
      </c>
      <c r="P262" s="0" t="n">
        <f aca="false">ATAN2(Fz1_u,A262)</f>
        <v>1.4018598708067</v>
      </c>
      <c r="Q262" s="0" t="n">
        <f aca="false">SQRT(1+(A262/Fz2_u)^2)</f>
        <v>6652.82566900986</v>
      </c>
      <c r="R262" s="0" t="n">
        <f aca="false">ATAN2(Fz2_u,A262)</f>
        <v>1.57064601472398</v>
      </c>
      <c r="S262" s="0" t="n">
        <f aca="false">1/SQRT(1+(A262/Fp1_u)^2)</f>
        <v>0.0561481893687276</v>
      </c>
      <c r="T262" s="0" t="n">
        <f aca="false">-ATAN2(Fp1_u,A262)</f>
        <v>-1.51461859318347</v>
      </c>
      <c r="U262" s="0" t="n">
        <f aca="false">1/SQRT(1+(A262/Fp2_u)^2)</f>
        <v>0.837891607551714</v>
      </c>
      <c r="V262" s="0" t="n">
        <f aca="false">-ATAN2(Fp2_u,A262)</f>
        <v>-0.577387314554829</v>
      </c>
      <c r="X262" s="0" t="n">
        <f aca="false">20*LOG(C262*J262*O262*Q262*F262*M262*S262*U262)</f>
        <v>22.7083960531573</v>
      </c>
      <c r="Y262" s="0" t="n">
        <f aca="false">(180/Pi)*(D262+H262+N262+P262+R262+T262+V262)</f>
        <v>-212.813362299587</v>
      </c>
      <c r="Z262" s="0" t="n">
        <f aca="false">Y262+180</f>
        <v>-32.8133622995866</v>
      </c>
      <c r="AC262" s="0" t="n">
        <v>1</v>
      </c>
      <c r="AD262" s="0" t="n">
        <f aca="false">Rcea1_u*Cc1ea_u*A262*2*Pi</f>
        <v>5.862965867136</v>
      </c>
      <c r="AE262" s="0" t="n">
        <f aca="false">-Rcea1_u*Cc1ea_u*Cc2ea_u*(A262*2*Pi)^2</f>
        <v>-0.00132617163422846</v>
      </c>
      <c r="AF262" s="0" t="n">
        <f aca="false">(Cc2ea_u+Cc1ea_u)*A262*2*Pi</f>
        <v>0.0020357520372</v>
      </c>
      <c r="AG262" s="0" t="n">
        <f aca="false">AC262*AE262/(AE262^2+AF262^2)+AD262*AF262/(AE262^2+AF262^2)</f>
        <v>1797.27960577433</v>
      </c>
      <c r="AH262" s="0" t="n">
        <f aca="false">AD262*AE262/(AE262^2+AF262^2)-AC262*AF262/(AE262^2+AF262^2)</f>
        <v>-1662.03995876086</v>
      </c>
      <c r="AJ262" s="0" t="n">
        <f aca="false">_Rfb1</f>
        <v>20000</v>
      </c>
      <c r="AK262" s="0" t="n">
        <f aca="false">_Rfb1*Rcea2_u*Cc3ea_u*A262*2*Pi</f>
        <v>355638.34107648</v>
      </c>
      <c r="AL262" s="0" t="n">
        <v>1</v>
      </c>
      <c r="AM262" s="0" t="n">
        <f aca="false">(_Rfb1+Rcea2_u)*Cc3ea_u*A262*2*Pi</f>
        <v>6652.82559385382</v>
      </c>
      <c r="AN262" s="0" t="n">
        <f aca="false">AJ262*AL262/(AL262^2+AM262^2)+AK262*AM262/(AL262^2+AM262^2)</f>
        <v>53.4571866142437</v>
      </c>
      <c r="AO262" s="0" t="n">
        <f aca="false">AK262*AL262/(AL262^2+AM262^2)-AJ262*AM262/(AL262^2+AM262^2)</f>
        <v>-2.99820618051573</v>
      </c>
      <c r="AQ262" s="0" t="n">
        <f aca="false">Eadcg/(1+(Eadcg*A262/GBP)^2)</f>
        <v>0.197647353915728</v>
      </c>
      <c r="AR262" s="0" t="n">
        <f aca="false">-(A262*Eadcg*Eadcg/GBP)/(1+(Eadcg*A262/GBP)^2)</f>
        <v>-24.9984373232613</v>
      </c>
      <c r="AT262" s="0" t="n">
        <f aca="false">-AR262*AH262+AG262*AQ262</f>
        <v>-41193.1741795111</v>
      </c>
      <c r="AU262" s="0" t="n">
        <f aca="false">AQ262*AH262+AG262*AR262</f>
        <v>-45257.6793772765</v>
      </c>
      <c r="AV262" s="0" t="n">
        <f aca="false">ATAN2(AT262,AU262)</f>
        <v>-2.3092138737153</v>
      </c>
      <c r="AW262" s="0" t="n">
        <f aca="false">AG262-AH262*AO262/_Rfb2+AG262*AN262/_Rfb2+AN262-AO262*AR262+AQ262*AN262</f>
        <v>1827.34446234807</v>
      </c>
      <c r="AX262" s="0" t="n">
        <f aca="false">AH262+AH262*AN262/_Rfb2+AG262*AO262/_Rfb2+AO262+AO262*AQ262+AN262*AR262</f>
        <v>-3044.38334928958</v>
      </c>
      <c r="AY262" s="0" t="n">
        <f aca="false">ATAN2(AW262,AX262)</f>
        <v>-1.03020428631758</v>
      </c>
      <c r="BA262" s="0" t="n">
        <f aca="false">SQRT(AT262^2+AU262^2)/SQRT(AW262^2+AX262^2)</f>
        <v>17.2353451907002</v>
      </c>
      <c r="BB262" s="0" t="n">
        <f aca="false">20*LOG(BA262)</f>
        <v>24.7283997182272</v>
      </c>
      <c r="BC262" s="0" t="n">
        <f aca="false">AV262-AY262</f>
        <v>-1.27900958739772</v>
      </c>
      <c r="BD262" s="0" t="n">
        <f aca="false">BC262*180/Pi-180</f>
        <v>-253.281851398395</v>
      </c>
      <c r="BF262" s="0" t="n">
        <f aca="false">20*LOG(BA262*J262*F262*C262)</f>
        <v>14.2344114625847</v>
      </c>
      <c r="BG262" s="0" t="n">
        <f aca="false">(180/Pi)*(D262+H262+BC262)</f>
        <v>-246.544146344493</v>
      </c>
      <c r="BH262" s="0" t="n">
        <f aca="false">IF(BG262&gt;180,BG262-180,BG262+180)</f>
        <v>-66.5441463444935</v>
      </c>
      <c r="BI262" s="0" t="n">
        <f aca="false">IF(BH262&gt;180,BH262-360,BH262)</f>
        <v>-66.5441463444935</v>
      </c>
      <c r="BJ262" s="0" t="n">
        <f aca="false">SUM((BF263&lt;0)*(BF262&gt;0))*A262</f>
        <v>0</v>
      </c>
      <c r="BK262" s="0" t="n">
        <f aca="false">IF(BJ262&gt;0,BI262,0)</f>
        <v>0</v>
      </c>
      <c r="BM262" s="0" t="n">
        <f aca="false">20*LOG(J262*F262*C262)</f>
        <v>-10.4939882556426</v>
      </c>
      <c r="BN262" s="0" t="n">
        <f aca="false">(H262+D262)*180/Pi</f>
        <v>-173.262294946099</v>
      </c>
      <c r="BQ262" s="347" t="n">
        <f aca="false">20*LOG(BA262*7)</f>
        <v>41.6303605185124</v>
      </c>
      <c r="BR262" s="353"/>
      <c r="BS262" s="353"/>
      <c r="BT262" s="353" t="n">
        <v>33113.112</v>
      </c>
      <c r="BU262" s="353" t="n">
        <v>-1.91717</v>
      </c>
      <c r="BV262" s="353" t="n">
        <v>-150.174</v>
      </c>
      <c r="BY262" s="353"/>
      <c r="BZ262" s="353"/>
      <c r="CA262" s="353"/>
      <c r="CC262" s="353"/>
    </row>
    <row r="263" customFormat="false" ht="12.75" hidden="false" customHeight="false" outlineLevel="0" collapsed="false">
      <c r="A263" s="0" t="n">
        <f aca="false">A262+5000</f>
        <v>245000</v>
      </c>
      <c r="B263" s="0" t="n">
        <f aca="false">A263/1000</f>
        <v>245</v>
      </c>
      <c r="C263" s="0" t="n">
        <f aca="false">SQRT((A263/Fesr)^2+1)</f>
        <v>1.0000011848453</v>
      </c>
      <c r="D263" s="0" t="n">
        <f aca="false">ATAN(A263/Fesr)</f>
        <v>0.00153937918254925</v>
      </c>
      <c r="F263" s="0" t="n">
        <f aca="false">(Ro/(Ro+Rdcr))/SQRT((A263/(Q*Fo))^2+(1-(A263^2/Fo^2))^2)</f>
        <v>0.0318187253385625</v>
      </c>
      <c r="G263" s="0" t="n">
        <f aca="false">-ATAN(A263*Fo/(Q*(Fo^2-A263^2)))</f>
        <v>0.113585435713959</v>
      </c>
      <c r="H263" s="0" t="n">
        <f aca="false">IF(G263&gt;0,G263-Pi,G263)</f>
        <v>-3.02800721428604</v>
      </c>
      <c r="J263" s="0" t="n">
        <f aca="false">Vin/Vramp</f>
        <v>9</v>
      </c>
      <c r="M263" s="0" t="n">
        <f aca="false">1/(2*Pi*_Rfb1*(Cc1ea_u+Cc2ea_u)*A263)</f>
        <v>0.0240597041986026</v>
      </c>
      <c r="N263" s="0" t="n">
        <f aca="false">-Pi/2</f>
        <v>-1.570796325</v>
      </c>
      <c r="O263" s="0" t="n">
        <f aca="false">SQRT(1+(A263/Fz1_u)^2)</f>
        <v>6.0680765943628</v>
      </c>
      <c r="P263" s="0" t="n">
        <f aca="false">ATAN2(Fz1_u,A263)</f>
        <v>1.40524426977584</v>
      </c>
      <c r="Q263" s="0" t="n">
        <f aca="false">SQRT(1+(A263/Fz2_u)^2)</f>
        <v>6791.42620068135</v>
      </c>
      <c r="R263" s="0" t="n">
        <f aca="false">ATAN2(Fz2_u,A263)</f>
        <v>1.57064908231722</v>
      </c>
      <c r="S263" s="0" t="n">
        <f aca="false">1/SQRT(1+(A263/Fp1_u)^2)</f>
        <v>0.0550058109800961</v>
      </c>
      <c r="T263" s="0" t="n">
        <f aca="false">-ATAN2(Fp1_u,A263)</f>
        <v>-1.51576274002367</v>
      </c>
      <c r="U263" s="0" t="n">
        <f aca="false">1/SQRT(1+(A263/Fp2_u)^2)</f>
        <v>0.832685535677617</v>
      </c>
      <c r="V263" s="0" t="n">
        <f aca="false">-ATAN2(Fp2_u,A263)</f>
        <v>-0.586856420383403</v>
      </c>
      <c r="X263" s="0" t="n">
        <f aca="false">20*LOG(C263*J263*O263*Q263*F263*M263*S263*U263)</f>
        <v>22.282354360831</v>
      </c>
      <c r="Y263" s="0" t="n">
        <f aca="false">(180/Pi)*(D263+H263+N263+P263+R263+T263+V263)</f>
        <v>-213.368908383189</v>
      </c>
      <c r="Z263" s="0" t="n">
        <f aca="false">Y263+180</f>
        <v>-33.3689083831891</v>
      </c>
      <c r="AC263" s="0" t="n">
        <v>1</v>
      </c>
      <c r="AD263" s="0" t="n">
        <f aca="false">Rcea1_u*Cc1ea_u*A263*2*Pi</f>
        <v>5.985110989368</v>
      </c>
      <c r="AE263" s="0" t="n">
        <f aca="false">-Rcea1_u*Cc1ea_u*Cc2ea_u*(A263*2*Pi)^2</f>
        <v>-0.00138200438098201</v>
      </c>
      <c r="AF263" s="0" t="n">
        <f aca="false">(Cc2ea_u+Cc1ea_u)*A263*2*Pi</f>
        <v>0.002078163537975</v>
      </c>
      <c r="AG263" s="0" t="n">
        <f aca="false">AC263*AE263/(AE263^2+AF263^2)+AD263*AF263/(AE263^2+AF263^2)</f>
        <v>1775.0149153964</v>
      </c>
      <c r="AH263" s="0" t="n">
        <f aca="false">AD263*AE263/(AE263^2+AF263^2)-AC263*AF263/(AE263^2+AF263^2)</f>
        <v>-1661.6008924644</v>
      </c>
      <c r="AJ263" s="0" t="n">
        <f aca="false">_Rfb1</f>
        <v>20000</v>
      </c>
      <c r="AK263" s="0" t="n">
        <f aca="false">_Rfb1*Rcea2_u*Cc3ea_u*A263*2*Pi</f>
        <v>363047.47318224</v>
      </c>
      <c r="AL263" s="0" t="n">
        <v>1</v>
      </c>
      <c r="AM263" s="0" t="n">
        <f aca="false">(_Rfb1+Rcea2_u)*Cc3ea_u*A263*2*Pi</f>
        <v>6791.42612705911</v>
      </c>
      <c r="AN263" s="0" t="n">
        <f aca="false">AJ263*AL263/(AL263^2+AM263^2)+AK263*AM263/(AL263^2+AM263^2)</f>
        <v>53.4571684073892</v>
      </c>
      <c r="AO263" s="0" t="n">
        <f aca="false">AK263*AL263/(AL263^2+AM263^2)-AJ263*AM263/(AL263^2+AM263^2)</f>
        <v>-2.93701830196157</v>
      </c>
      <c r="AQ263" s="0" t="n">
        <f aca="false">Eadcg/(1+(Eadcg*A263/GBP)^2)</f>
        <v>0.189662912696087</v>
      </c>
      <c r="AR263" s="0" t="n">
        <f aca="false">-(A263*Eadcg*Eadcg/GBP)/(1+(Eadcg*A263/GBP)^2)</f>
        <v>-24.4883269727553</v>
      </c>
      <c r="AT263" s="0" t="n">
        <f aca="false">-AR263*AH263+AG263*AQ263</f>
        <v>-40353.1714539572</v>
      </c>
      <c r="AU263" s="0" t="n">
        <f aca="false">AQ263*AH263+AG263*AR263</f>
        <v>-43782.289694748</v>
      </c>
      <c r="AV263" s="0" t="n">
        <f aca="false">ATAN2(AT263,AU263)</f>
        <v>-2.31545992555786</v>
      </c>
      <c r="AW263" s="0" t="n">
        <f aca="false">AG263-AH263*AO263/_Rfb2+AG263*AN263/_Rfb2+AN263-AO263*AR263+AQ263*AN263</f>
        <v>1807.19146512684</v>
      </c>
      <c r="AX263" s="0" t="n">
        <f aca="false">AH263+AH263*AN263/_Rfb2+AG263*AO263/_Rfb2+AO263+AO263*AQ263+AN263*AR263</f>
        <v>-3016.48855172215</v>
      </c>
      <c r="AY263" s="0" t="n">
        <f aca="false">ATAN2(AW263,AX263)</f>
        <v>-1.03103564023269</v>
      </c>
      <c r="BA263" s="0" t="n">
        <f aca="false">SQRT(AT263^2+AU263^2)/SQRT(AW263^2+AX263^2)</f>
        <v>16.9326488680762</v>
      </c>
      <c r="BB263" s="0" t="n">
        <f aca="false">20*LOG(BA263)</f>
        <v>24.5744980503101</v>
      </c>
      <c r="BC263" s="0" t="n">
        <f aca="false">AV263-AY263</f>
        <v>-1.28442428532517</v>
      </c>
      <c r="BD263" s="0" t="n">
        <f aca="false">BC263*180/Pi-180</f>
        <v>-253.59209073733</v>
      </c>
      <c r="BF263" s="0" t="n">
        <f aca="false">20*LOG(BA263*J263*F263*C263)</f>
        <v>13.7130140860669</v>
      </c>
      <c r="BG263" s="0" t="n">
        <f aca="false">(180/Pi)*(D263+H263+BC263)</f>
        <v>-246.995924718998</v>
      </c>
      <c r="BH263" s="0" t="n">
        <f aca="false">IF(BG263&gt;180,BG263-180,BG263+180)</f>
        <v>-66.9959247189983</v>
      </c>
      <c r="BI263" s="0" t="n">
        <f aca="false">IF(BH263&gt;180,BH263-360,BH263)</f>
        <v>-66.9959247189983</v>
      </c>
      <c r="BJ263" s="0" t="n">
        <f aca="false">SUM((BF264&lt;0)*(BF263&gt;0))*A263</f>
        <v>0</v>
      </c>
      <c r="BK263" s="0" t="n">
        <f aca="false">IF(BJ263&gt;0,BI263,0)</f>
        <v>0</v>
      </c>
      <c r="BM263" s="0" t="n">
        <f aca="false">20*LOG(J263*F263*C263)</f>
        <v>-10.8614839642432</v>
      </c>
      <c r="BN263" s="0" t="n">
        <f aca="false">(H263+D263)*180/Pi</f>
        <v>-173.403833981668</v>
      </c>
      <c r="BQ263" s="347" t="n">
        <f aca="false">20*LOG(BA263*7)</f>
        <v>41.4764588505953</v>
      </c>
      <c r="BR263" s="353"/>
      <c r="BS263" s="353"/>
      <c r="BT263" s="353" t="n">
        <v>33884.416</v>
      </c>
      <c r="BU263" s="353" t="n">
        <v>-1.81593</v>
      </c>
      <c r="BV263" s="353" t="n">
        <v>-149.483</v>
      </c>
      <c r="BY263" s="353"/>
      <c r="BZ263" s="353"/>
      <c r="CA263" s="353"/>
      <c r="CC263" s="353"/>
    </row>
    <row r="264" customFormat="false" ht="12.75" hidden="false" customHeight="false" outlineLevel="0" collapsed="false">
      <c r="A264" s="0" t="n">
        <f aca="false">A263+5000</f>
        <v>250000</v>
      </c>
      <c r="B264" s="0" t="n">
        <f aca="false">A264/1000</f>
        <v>250</v>
      </c>
      <c r="C264" s="0" t="n">
        <f aca="false">SQRT((A264/Fesr)^2+1)</f>
        <v>1.00000123369979</v>
      </c>
      <c r="D264" s="0" t="n">
        <f aca="false">ATAN(A264/Fesr)</f>
        <v>0.00157079503307372</v>
      </c>
      <c r="F264" s="0" t="n">
        <f aca="false">(Ro/(Ro+Rdcr))/SQRT((A264/(Q*Fo))^2+(1-(A264^2/Fo^2))^2)</f>
        <v>0.0305279486203864</v>
      </c>
      <c r="G264" s="0" t="n">
        <f aca="false">-ATAN(A264*Fo/(Q*(Fo^2-A264^2)))</f>
        <v>0.111191717499541</v>
      </c>
      <c r="H264" s="0" t="n">
        <f aca="false">IF(G264&gt;0,G264-Pi,G264)</f>
        <v>-3.03040093250046</v>
      </c>
      <c r="J264" s="0" t="n">
        <f aca="false">Vin/Vramp</f>
        <v>9</v>
      </c>
      <c r="M264" s="0" t="n">
        <f aca="false">1/(2*Pi*_Rfb1*(Cc1ea_u+Cc2ea_u)*A264)</f>
        <v>0.0235785101146306</v>
      </c>
      <c r="N264" s="0" t="n">
        <f aca="false">-Pi/2</f>
        <v>-1.570796325</v>
      </c>
      <c r="O264" s="0" t="n">
        <f aca="false">SQRT(1+(A264/Fz1_u)^2)</f>
        <v>6.18858442720753</v>
      </c>
      <c r="P264" s="0" t="n">
        <f aca="false">ATAN2(Fz1_u,A264)</f>
        <v>1.40849689870289</v>
      </c>
      <c r="Q264" s="0" t="n">
        <f aca="false">SQRT(1+(A264/Fz2_u)^2)</f>
        <v>6930.02673241419</v>
      </c>
      <c r="R264" s="0" t="n">
        <f aca="false">ATAN2(Fz2_u,A264)</f>
        <v>1.57065202720673</v>
      </c>
      <c r="S264" s="0" t="n">
        <f aca="false">1/SQRT(1+(A264/Fp1_u)^2)</f>
        <v>0.0539089244145898</v>
      </c>
      <c r="T264" s="0" t="n">
        <f aca="false">-ATAN2(Fp1_u,A264)</f>
        <v>-1.51686125673754</v>
      </c>
      <c r="U264" s="0" t="n">
        <f aca="false">1/SQRT(1+(A264/Fp2_u)^2)</f>
        <v>0.827470936296167</v>
      </c>
      <c r="V264" s="0" t="n">
        <f aca="false">-ATAN2(Fp2_u,A264)</f>
        <v>-0.596207757597844</v>
      </c>
      <c r="X264" s="0" t="n">
        <f aca="false">20*LOG(C264*J264*O264*Q264*F264*M264*S264*U264)</f>
        <v>21.8639334467597</v>
      </c>
      <c r="Y264" s="0" t="n">
        <f aca="false">(180/Pi)*(D264+H264+N264+P264+R264+T264+V264)</f>
        <v>-213.916460226238</v>
      </c>
      <c r="Z264" s="0" t="n">
        <f aca="false">Y264+180</f>
        <v>-33.9164602262382</v>
      </c>
      <c r="AC264" s="0" t="n">
        <v>1</v>
      </c>
      <c r="AD264" s="0" t="n">
        <f aca="false">Rcea1_u*Cc1ea_u*A264*2*Pi</f>
        <v>6.1072561116</v>
      </c>
      <c r="AE264" s="0" t="n">
        <f aca="false">-Rcea1_u*Cc1ea_u*Cc2ea_u*(A264*2*Pi)^2</f>
        <v>-0.00143898831839026</v>
      </c>
      <c r="AF264" s="0" t="n">
        <f aca="false">(Cc2ea_u+Cc1ea_u)*A264*2*Pi</f>
        <v>0.00212057503875</v>
      </c>
      <c r="AG264" s="0" t="n">
        <f aca="false">AC264*AE264/(AE264^2+AF264^2)+AD264*AF264/(AE264^2+AF264^2)</f>
        <v>1752.85286506203</v>
      </c>
      <c r="AH264" s="0" t="n">
        <f aca="false">AD264*AE264/(AE264^2+AF264^2)-AC264*AF264/(AE264^2+AF264^2)</f>
        <v>-1661.02813261324</v>
      </c>
      <c r="AJ264" s="0" t="n">
        <f aca="false">_Rfb1</f>
        <v>20000</v>
      </c>
      <c r="AK264" s="0" t="n">
        <f aca="false">_Rfb1*Rcea2_u*Cc3ea_u*A264*2*Pi</f>
        <v>370456.605288</v>
      </c>
      <c r="AL264" s="0" t="n">
        <v>1</v>
      </c>
      <c r="AM264" s="0" t="n">
        <f aca="false">(_Rfb1+Rcea2_u)*Cc3ea_u*A264*2*Pi</f>
        <v>6930.0266602644</v>
      </c>
      <c r="AN264" s="0" t="n">
        <f aca="false">AJ264*AL264/(AL264^2+AM264^2)+AK264*AM264/(AL264^2+AM264^2)</f>
        <v>53.4571512819843</v>
      </c>
      <c r="AO264" s="0" t="n">
        <f aca="false">AK264*AL264/(AL264^2+AM264^2)-AJ264*AM264/(AL264^2+AM264^2)</f>
        <v>-2.87827793839353</v>
      </c>
      <c r="AQ264" s="0" t="n">
        <f aca="false">Eadcg/(1+(Eadcg*A264/GBP)^2)</f>
        <v>0.182152694017894</v>
      </c>
      <c r="AR264" s="0" t="n">
        <f aca="false">-(A264*Eadcg*Eadcg/GBP)/(1+(Eadcg*A264/GBP)^2)</f>
        <v>-23.9986174368576</v>
      </c>
      <c r="AT264" s="0" t="n">
        <f aca="false">-AR264*AH264+AG264*AQ264</f>
        <v>-39543.091834855</v>
      </c>
      <c r="AU264" s="0" t="n">
        <f aca="false">AQ264*AH264+AG264*AR264</f>
        <v>-42368.6060809183</v>
      </c>
      <c r="AV264" s="0" t="n">
        <f aca="false">ATAN2(AT264,AU264)</f>
        <v>-2.32171352540853</v>
      </c>
      <c r="AW264" s="0" t="n">
        <f aca="false">AG264-AH264*AO264/_Rfb2+AG264*AN264/_Rfb2+AN264-AO264*AR264+AQ264*AN264</f>
        <v>1786.98741841318</v>
      </c>
      <c r="AX264" s="0" t="n">
        <f aca="false">AH264+AH264*AN264/_Rfb2+AG264*AO264/_Rfb2+AO264+AO264*AQ264+AN264*AR264</f>
        <v>-2989.55598296758</v>
      </c>
      <c r="AY264" s="0" t="n">
        <f aca="false">ATAN2(AW264,AX264)</f>
        <v>-1.03203772829448</v>
      </c>
      <c r="BA264" s="0" t="n">
        <f aca="false">SQRT(AT264^2+AU264^2)/SQRT(AW264^2+AX264^2)</f>
        <v>16.6396807459383</v>
      </c>
      <c r="BB264" s="0" t="n">
        <f aca="false">20*LOG(BA264)</f>
        <v>24.4228997905275</v>
      </c>
      <c r="BC264" s="0" t="n">
        <f aca="false">AV264-AY264</f>
        <v>-1.28967579711405</v>
      </c>
      <c r="BD264" s="0" t="n">
        <f aca="false">BC264*180/Pi-180</f>
        <v>-253.89298019924</v>
      </c>
      <c r="BF264" s="0" t="n">
        <f aca="false">20*LOG(BA264*J264*F264*C264)</f>
        <v>13.2017131369215</v>
      </c>
      <c r="BG264" s="0" t="n">
        <f aca="false">(180/Pi)*(D264+H264+BC264)</f>
        <v>-247.432164136448</v>
      </c>
      <c r="BH264" s="0" t="n">
        <f aca="false">IF(BG264&gt;180,BG264-180,BG264+180)</f>
        <v>-67.4321641364477</v>
      </c>
      <c r="BI264" s="0" t="n">
        <f aca="false">IF(BH264&gt;180,BH264-360,BH264)</f>
        <v>-67.4321641364477</v>
      </c>
      <c r="BJ264" s="0" t="n">
        <f aca="false">SUM((BF265&lt;0)*(BF264&gt;0))*A264</f>
        <v>0</v>
      </c>
      <c r="BK264" s="0" t="n">
        <f aca="false">IF(BJ264&gt;0,BI264,0)</f>
        <v>0</v>
      </c>
      <c r="BM264" s="0" t="n">
        <f aca="false">20*LOG(J264*F264*C264)</f>
        <v>-11.221186653606</v>
      </c>
      <c r="BN264" s="0" t="n">
        <f aca="false">(H264+D264)*180/Pi</f>
        <v>-173.539183937208</v>
      </c>
      <c r="BQ264" s="347" t="n">
        <f aca="false">20*LOG(BA264*7)</f>
        <v>41.3248605908126</v>
      </c>
      <c r="BR264" s="353"/>
      <c r="BS264" s="353"/>
      <c r="BT264" s="353" t="n">
        <v>34673.685</v>
      </c>
      <c r="BU264" s="353" t="n">
        <v>-1.68078</v>
      </c>
      <c r="BV264" s="353" t="n">
        <v>-148.328</v>
      </c>
      <c r="BY264" s="353"/>
      <c r="BZ264" s="353"/>
      <c r="CA264" s="353"/>
      <c r="CC264" s="353"/>
    </row>
    <row r="265" customFormat="false" ht="12.75" hidden="false" customHeight="false" outlineLevel="0" collapsed="false">
      <c r="A265" s="0" t="n">
        <f aca="false">A264+5000</f>
        <v>255000</v>
      </c>
      <c r="B265" s="0" t="n">
        <f aca="false">A265/1000</f>
        <v>255</v>
      </c>
      <c r="C265" s="0" t="n">
        <f aca="false">SQRT((A265/Fesr)^2+1)</f>
        <v>1.00000128354123</v>
      </c>
      <c r="D265" s="0" t="n">
        <f aca="false">ATAN(A265/Fesr)</f>
        <v>0.00160221088049758</v>
      </c>
      <c r="F265" s="0" t="n">
        <f aca="false">(Ro/(Ro+Rdcr))/SQRT((A265/(Q*Fo))^2+(1-(A265^2/Fo^2))^2)</f>
        <v>0.0293147104189777</v>
      </c>
      <c r="G265" s="0" t="n">
        <f aca="false">-ATAN(A265*Fo/(Q*(Fo^2-A265^2)))</f>
        <v>0.108899037958301</v>
      </c>
      <c r="H265" s="0" t="n">
        <f aca="false">IF(G265&gt;0,G265-Pi,G265)</f>
        <v>-3.0326936120417</v>
      </c>
      <c r="J265" s="0" t="n">
        <f aca="false">Vin/Vramp</f>
        <v>9</v>
      </c>
      <c r="M265" s="0" t="n">
        <f aca="false">1/(2*Pi*_Rfb1*(Cc1ea_u+Cc2ea_u)*A265)</f>
        <v>0.0231161863868927</v>
      </c>
      <c r="N265" s="0" t="n">
        <f aca="false">-Pi/2</f>
        <v>-1.570796325</v>
      </c>
      <c r="O265" s="0" t="n">
        <f aca="false">SQRT(1+(A265/Fz1_u)^2)</f>
        <v>6.30915523125463</v>
      </c>
      <c r="P265" s="0" t="n">
        <f aca="false">ATAN2(Fz1_u,A265)</f>
        <v>1.411625241267</v>
      </c>
      <c r="Q265" s="0" t="n">
        <f aca="false">SQRT(1+(A265/Fz2_u)^2)</f>
        <v>7068.62726420478</v>
      </c>
      <c r="R265" s="0" t="n">
        <f aca="false">ATAN2(Fz2_u,A265)</f>
        <v>1.57065485661038</v>
      </c>
      <c r="S265" s="0" t="n">
        <f aca="false">1/SQRT(1+(A265/Fp1_u)^2)</f>
        <v>0.0528548691065427</v>
      </c>
      <c r="T265" s="0" t="n">
        <f aca="false">-ATAN2(Fp1_u,A265)</f>
        <v>-1.51791681714458</v>
      </c>
      <c r="U265" s="0" t="n">
        <f aca="false">1/SQRT(1+(A265/Fp2_u)^2)</f>
        <v>0.822250678796171</v>
      </c>
      <c r="V265" s="0" t="n">
        <f aca="false">-ATAN2(Fp2_u,A265)</f>
        <v>-0.605441904525526</v>
      </c>
      <c r="X265" s="0" t="n">
        <f aca="false">20*LOG(C265*J265*O265*Q265*F265*M265*S265*U265)</f>
        <v>21.4528079926075</v>
      </c>
      <c r="Y265" s="0" t="n">
        <f aca="false">(180/Pi)*(D265+H265+N265+P265+R265+T265+V265)</f>
        <v>-214.456174956899</v>
      </c>
      <c r="Z265" s="0" t="n">
        <f aca="false">Y265+180</f>
        <v>-34.4561749568986</v>
      </c>
      <c r="AC265" s="0" t="n">
        <v>1</v>
      </c>
      <c r="AD265" s="0" t="n">
        <f aca="false">Rcea1_u*Cc1ea_u*A265*2*Pi</f>
        <v>6.229401233832</v>
      </c>
      <c r="AE265" s="0" t="n">
        <f aca="false">-Rcea1_u*Cc1ea_u*Cc2ea_u*(A265*2*Pi)^2</f>
        <v>-0.00149712344645323</v>
      </c>
      <c r="AF265" s="0" t="n">
        <f aca="false">(Cc2ea_u+Cc1ea_u)*A265*2*Pi</f>
        <v>0.002162986539525</v>
      </c>
      <c r="AG265" s="0" t="n">
        <f aca="false">AC265*AE265/(AE265^2+AF265^2)+AD265*AF265/(AE265^2+AF265^2)</f>
        <v>1730.80621767875</v>
      </c>
      <c r="AH265" s="0" t="n">
        <f aca="false">AD265*AE265/(AE265^2+AF265^2)-AC265*AF265/(AE265^2+AF265^2)</f>
        <v>-1660.31110417476</v>
      </c>
      <c r="AJ265" s="0" t="n">
        <f aca="false">_Rfb1</f>
        <v>20000</v>
      </c>
      <c r="AK265" s="0" t="n">
        <f aca="false">_Rfb1*Rcea2_u*Cc3ea_u*A265*2*Pi</f>
        <v>377865.73739376</v>
      </c>
      <c r="AL265" s="0" t="n">
        <v>1</v>
      </c>
      <c r="AM265" s="0" t="n">
        <f aca="false">(_Rfb1+Rcea2_u)*Cc3ea_u*A265*2*Pi</f>
        <v>7068.62719346969</v>
      </c>
      <c r="AN265" s="0" t="n">
        <f aca="false">AJ265*AL265/(AL265^2+AM265^2)+AK265*AM265/(AL265^2+AM265^2)</f>
        <v>53.4571351540466</v>
      </c>
      <c r="AO265" s="0" t="n">
        <f aca="false">AK265*AL265/(AL265^2+AM265^2)-AJ265*AM265/(AL265^2+AM265^2)</f>
        <v>-2.82184111835371</v>
      </c>
      <c r="AQ265" s="0" t="n">
        <f aca="false">Eadcg/(1+(Eadcg*A265/GBP)^2)</f>
        <v>0.175079874551948</v>
      </c>
      <c r="AR265" s="0" t="n">
        <f aca="false">-(A265*Eadcg*Eadcg/GBP)/(1+(Eadcg*A265/GBP)^2)</f>
        <v>-23.5281089416635</v>
      </c>
      <c r="AT265" s="0" t="n">
        <f aca="false">-AR265*AH265+AG265*AQ265</f>
        <v>-38760.9512006124</v>
      </c>
      <c r="AU265" s="0" t="n">
        <f aca="false">AQ265*AH265+AG265*AR265</f>
        <v>-41013.2843062904</v>
      </c>
      <c r="AV265" s="0" t="n">
        <f aca="false">ATAN2(AT265,AU265)</f>
        <v>-2.32796814749957</v>
      </c>
      <c r="AW265" s="0" t="n">
        <f aca="false">AG265-AH265*AO265/_Rfb2+AG265*AN265/_Rfb2+AN265-AO265*AR265+AQ265*AN265</f>
        <v>1766.75749959319</v>
      </c>
      <c r="AX265" s="0" t="n">
        <f aca="false">AH265+AH265*AN265/_Rfb2+AG265*AO265/_Rfb2+AO265+AO265*AQ265+AN265*AR265</f>
        <v>-2963.51008335672</v>
      </c>
      <c r="AY265" s="0" t="n">
        <f aca="false">ATAN2(AW265,AX265)</f>
        <v>-1.03319734054682</v>
      </c>
      <c r="BA265" s="0" t="n">
        <f aca="false">SQRT(AT265^2+AU265^2)/SQRT(AW265^2+AX265^2)</f>
        <v>16.3560124732172</v>
      </c>
      <c r="BB265" s="0" t="n">
        <f aca="false">20*LOG(BA265)</f>
        <v>24.2735486615727</v>
      </c>
      <c r="BC265" s="0" t="n">
        <f aca="false">AV265-AY265</f>
        <v>-1.29477080695275</v>
      </c>
      <c r="BD265" s="0" t="n">
        <f aca="false">BC265*180/Pi-180</f>
        <v>-254.184902759909</v>
      </c>
      <c r="BF265" s="0" t="n">
        <f aca="false">20*LOG(BA265*J265*F265*C265)</f>
        <v>12.7001221676161</v>
      </c>
      <c r="BG265" s="0" t="n">
        <f aca="false">(180/Pi)*(D265+H265+BC265)</f>
        <v>-247.853647563287</v>
      </c>
      <c r="BH265" s="0" t="n">
        <f aca="false">IF(BG265&gt;180,BG265-180,BG265+180)</f>
        <v>-67.8536475632866</v>
      </c>
      <c r="BI265" s="0" t="n">
        <f aca="false">IF(BH265&gt;180,BH265-360,BH265)</f>
        <v>-67.8536475632866</v>
      </c>
      <c r="BJ265" s="0" t="n">
        <f aca="false">SUM((BF266&lt;0)*(BF265&gt;0))*A265</f>
        <v>0</v>
      </c>
      <c r="BK265" s="0" t="n">
        <f aca="false">IF(BJ265&gt;0,BI265,0)</f>
        <v>0</v>
      </c>
      <c r="BM265" s="0" t="n">
        <f aca="false">20*LOG(J265*F265*C265)</f>
        <v>-11.5734264939566</v>
      </c>
      <c r="BN265" s="0" t="n">
        <f aca="false">(H265+D265)*180/Pi</f>
        <v>-173.668744803377</v>
      </c>
      <c r="BQ265" s="347" t="n">
        <f aca="false">20*LOG(BA265*7)</f>
        <v>41.1755094618579</v>
      </c>
      <c r="BR265" s="353"/>
      <c r="BS265" s="353"/>
      <c r="BT265" s="353" t="n">
        <v>35481.339</v>
      </c>
      <c r="BU265" s="353" t="n">
        <v>-1.56208</v>
      </c>
      <c r="BV265" s="353" t="n">
        <v>-147.47</v>
      </c>
      <c r="BY265" s="353"/>
      <c r="BZ265" s="353"/>
      <c r="CA265" s="353"/>
      <c r="CC265" s="353"/>
    </row>
    <row r="266" customFormat="false" ht="12.75" hidden="false" customHeight="false" outlineLevel="0" collapsed="false">
      <c r="A266" s="0" t="n">
        <f aca="false">A265+5000</f>
        <v>260000</v>
      </c>
      <c r="B266" s="0" t="n">
        <f aca="false">A266/1000</f>
        <v>260</v>
      </c>
      <c r="C266" s="0" t="n">
        <f aca="false">SQRT((A266/Fesr)^2+1)</f>
        <v>1.00000133436962</v>
      </c>
      <c r="D266" s="0" t="n">
        <f aca="false">ATAN(A266/Fesr)</f>
        <v>0.00163362672475881</v>
      </c>
      <c r="F266" s="0" t="n">
        <f aca="false">(Ro/(Ro+Rdcr))/SQRT((A266/(Q*Fo))^2+(1-(A266^2/Fo^2))^2)</f>
        <v>0.028172881744385</v>
      </c>
      <c r="G266" s="0" t="n">
        <f aca="false">-ATAN(A266*Fo/(Q*(Fo^2-A266^2)))</f>
        <v>0.106701013926826</v>
      </c>
      <c r="H266" s="0" t="n">
        <f aca="false">IF(G266&gt;0,G266-Pi,G266)</f>
        <v>-3.03489163607317</v>
      </c>
      <c r="J266" s="0" t="n">
        <f aca="false">Vin/Vramp</f>
        <v>9</v>
      </c>
      <c r="M266" s="0" t="n">
        <f aca="false">1/(2*Pi*_Rfb1*(Cc1ea_u+Cc2ea_u)*A266)</f>
        <v>0.0226716443409909</v>
      </c>
      <c r="N266" s="0" t="n">
        <f aca="false">-Pi/2</f>
        <v>-1.570796325</v>
      </c>
      <c r="O266" s="0" t="n">
        <f aca="false">SQRT(1+(A266/Fz1_u)^2)</f>
        <v>6.42978546401277</v>
      </c>
      <c r="P266" s="0" t="n">
        <f aca="false">ATAN2(Fz1_u,A266)</f>
        <v>1.41463622971426</v>
      </c>
      <c r="Q266" s="0" t="n">
        <f aca="false">SQRT(1+(A266/Fz2_u)^2)</f>
        <v>7207.22779604978</v>
      </c>
      <c r="R266" s="0" t="n">
        <f aca="false">ATAN2(Fz2_u,A266)</f>
        <v>1.57065757719082</v>
      </c>
      <c r="S266" s="0" t="n">
        <f aca="false">1/SQRT(1+(A266/Fp1_u)^2)</f>
        <v>0.05184118771475</v>
      </c>
      <c r="T266" s="0" t="n">
        <f aca="false">-ATAN2(Fp1_u,A266)</f>
        <v>-1.51893189034508</v>
      </c>
      <c r="U266" s="0" t="n">
        <f aca="false">1/SQRT(1+(A266/Fp2_u)^2)</f>
        <v>0.817027514976797</v>
      </c>
      <c r="V266" s="0" t="n">
        <f aca="false">-ATAN2(Fp2_u,A266)</f>
        <v>-0.614559505031944</v>
      </c>
      <c r="X266" s="0" t="n">
        <f aca="false">20*LOG(C266*J266*O266*Q266*F266*M266*S266*U266)</f>
        <v>21.0486747613179</v>
      </c>
      <c r="Y266" s="0" t="n">
        <f aca="false">(180/Pi)*(D266+H266+N266+P266+R266+T266+V266)</f>
        <v>-214.988199093114</v>
      </c>
      <c r="Z266" s="0" t="n">
        <f aca="false">Y266+180</f>
        <v>-34.9881990931145</v>
      </c>
      <c r="AC266" s="0" t="n">
        <v>1</v>
      </c>
      <c r="AD266" s="0" t="n">
        <f aca="false">Rcea1_u*Cc1ea_u*A266*2*Pi</f>
        <v>6.351546356064</v>
      </c>
      <c r="AE266" s="0" t="n">
        <f aca="false">-Rcea1_u*Cc1ea_u*Cc2ea_u*(A266*2*Pi)^2</f>
        <v>-0.00155640976517091</v>
      </c>
      <c r="AF266" s="0" t="n">
        <f aca="false">(Cc2ea_u+Cc1ea_u)*A266*2*Pi</f>
        <v>0.0022053980403</v>
      </c>
      <c r="AG266" s="0" t="n">
        <f aca="false">AC266*AE266/(AE266^2+AF266^2)+AD266*AF266/(AE266^2+AF266^2)</f>
        <v>1708.88693818665</v>
      </c>
      <c r="AH266" s="0" t="n">
        <f aca="false">AD266*AE266/(AE266^2+AF266^2)-AC266*AF266/(AE266^2+AF266^2)</f>
        <v>-1659.44117628257</v>
      </c>
      <c r="AJ266" s="0" t="n">
        <f aca="false">_Rfb1</f>
        <v>20000</v>
      </c>
      <c r="AK266" s="0" t="n">
        <f aca="false">_Rfb1*Rcea2_u*Cc3ea_u*A266*2*Pi</f>
        <v>385274.86949952</v>
      </c>
      <c r="AL266" s="0" t="n">
        <v>1</v>
      </c>
      <c r="AM266" s="0" t="n">
        <f aca="false">(_Rfb1+Rcea2_u)*Cc3ea_u*A266*2*Pi</f>
        <v>7207.22772667498</v>
      </c>
      <c r="AN266" s="0" t="n">
        <f aca="false">AJ266*AL266/(AL266^2+AM266^2)+AK266*AM266/(AL266^2+AM266^2)</f>
        <v>53.4571199475906</v>
      </c>
      <c r="AO266" s="0" t="n">
        <f aca="false">AK266*AL266/(AL266^2+AM266^2)-AJ266*AM266/(AL266^2+AM266^2)</f>
        <v>-2.76757494511064</v>
      </c>
      <c r="AQ266" s="0" t="n">
        <f aca="false">Eadcg/(1+(Eadcg*A266/GBP)^2)</f>
        <v>0.168411136899592</v>
      </c>
      <c r="AR266" s="0" t="n">
        <f aca="false">-(A266*Eadcg*Eadcg/GBP)/(1+(Eadcg*A266/GBP)^2)</f>
        <v>-23.075693977982</v>
      </c>
      <c r="AT266" s="0" t="n">
        <f aca="false">-AR266*AH266+AG266*AQ266</f>
        <v>-38004.9611662663</v>
      </c>
      <c r="AU266" s="0" t="n">
        <f aca="false">AQ266*AH266+AG266*AR266</f>
        <v>-39713.2204036816</v>
      </c>
      <c r="AV266" s="0" t="n">
        <f aca="false">ATAN2(AT266,AU266)</f>
        <v>-2.33421785383836</v>
      </c>
      <c r="AW266" s="0" t="n">
        <f aca="false">AG266-AH266*AO266/_Rfb2+AG266*AN266/_Rfb2+AN266-AO266*AR266+AQ266*AN266</f>
        <v>1746.52491577961</v>
      </c>
      <c r="AX266" s="0" t="n">
        <f aca="false">AH266+AH266*AN266/_Rfb2+AG266*AO266/_Rfb2+AO266+AO266*AQ266+AN266*AR266</f>
        <v>-2938.28227093182</v>
      </c>
      <c r="AY266" s="0" t="n">
        <f aca="false">ATAN2(AW266,AX266)</f>
        <v>-1.03450215013092</v>
      </c>
      <c r="BA266" s="0" t="n">
        <f aca="false">SQRT(AT266^2+AU266^2)/SQRT(AW266^2+AX266^2)</f>
        <v>16.0812385386983</v>
      </c>
      <c r="BB266" s="0" t="n">
        <f aca="false">20*LOG(BA266)</f>
        <v>24.1263898805474</v>
      </c>
      <c r="BC266" s="0" t="n">
        <f aca="false">AV266-AY266</f>
        <v>-1.29971570370744</v>
      </c>
      <c r="BD266" s="0" t="n">
        <f aca="false">BC266*180/Pi-180</f>
        <v>-254.468224474404</v>
      </c>
      <c r="BF266" s="0" t="n">
        <f aca="false">20*LOG(BA266*J266*F266*C266)</f>
        <v>12.2078771059201</v>
      </c>
      <c r="BG266" s="0" t="n">
        <f aca="false">(180/Pi)*(D266+H266+BC266)</f>
        <v>-248.26110678291</v>
      </c>
      <c r="BH266" s="0" t="n">
        <f aca="false">IF(BG266&gt;180,BG266-180,BG266+180)</f>
        <v>-68.2611067829096</v>
      </c>
      <c r="BI266" s="0" t="n">
        <f aca="false">IF(BH266&gt;180,BH266-360,BH266)</f>
        <v>-68.2611067829096</v>
      </c>
      <c r="BJ266" s="0" t="n">
        <f aca="false">SUM((BF267&lt;0)*(BF266&gt;0))*A266</f>
        <v>0</v>
      </c>
      <c r="BK266" s="0" t="n">
        <f aca="false">IF(BJ266&gt;0,BI266,0)</f>
        <v>0</v>
      </c>
      <c r="BM266" s="0" t="n">
        <f aca="false">20*LOG(J266*F266*C266)</f>
        <v>-11.9185127746273</v>
      </c>
      <c r="BN266" s="0" t="n">
        <f aca="false">(H266+D266)*180/Pi</f>
        <v>-173.792882308505</v>
      </c>
      <c r="BQ266" s="347" t="n">
        <f aca="false">20*LOG(BA266*7)</f>
        <v>41.0283506808326</v>
      </c>
      <c r="BR266" s="353"/>
      <c r="BS266" s="353"/>
      <c r="BT266" s="353" t="n">
        <v>36307.805</v>
      </c>
      <c r="BU266" s="353" t="n">
        <v>-1.42748</v>
      </c>
      <c r="BV266" s="353" t="n">
        <v>-146.525</v>
      </c>
      <c r="BY266" s="353"/>
      <c r="BZ266" s="353"/>
      <c r="CA266" s="353"/>
      <c r="CC266" s="353"/>
    </row>
    <row r="267" customFormat="false" ht="12.75" hidden="false" customHeight="false" outlineLevel="0" collapsed="false">
      <c r="A267" s="0" t="n">
        <f aca="false">A266+5000</f>
        <v>265000</v>
      </c>
      <c r="B267" s="0" t="n">
        <f aca="false">A267/1000</f>
        <v>265</v>
      </c>
      <c r="C267" s="0" t="n">
        <f aca="false">SQRT((A267/Fesr)^2+1)</f>
        <v>1.00000138618497</v>
      </c>
      <c r="D267" s="0" t="n">
        <f aca="false">ATAN(A267/Fesr)</f>
        <v>0.00166504256579541</v>
      </c>
      <c r="F267" s="0" t="n">
        <f aca="false">(Ro/(Ro+Rdcr))/SQRT((A267/(Q*Fo))^2+(1-(A267^2/Fo^2))^2)</f>
        <v>0.0270969310385761</v>
      </c>
      <c r="G267" s="0" t="n">
        <f aca="false">-ATAN(A267*Fo/(Q*(Fo^2-A267^2)))</f>
        <v>0.104591796800783</v>
      </c>
      <c r="H267" s="0" t="n">
        <f aca="false">IF(G267&gt;0,G267-Pi,G267)</f>
        <v>-3.03700085319922</v>
      </c>
      <c r="J267" s="0" t="n">
        <f aca="false">Vin/Vramp</f>
        <v>9</v>
      </c>
      <c r="M267" s="0" t="n">
        <f aca="false">1/(2*Pi*_Rfb1*(Cc1ea_u+Cc2ea_u)*A267)</f>
        <v>0.0222438774666326</v>
      </c>
      <c r="N267" s="0" t="n">
        <f aca="false">-Pi/2</f>
        <v>-1.570796325</v>
      </c>
      <c r="O267" s="0" t="n">
        <f aca="false">SQRT(1+(A267/Fz1_u)^2)</f>
        <v>6.55047184225398</v>
      </c>
      <c r="P267" s="0" t="n">
        <f aca="false">ATAN2(Fz1_u,A267)</f>
        <v>1.41753629430423</v>
      </c>
      <c r="Q267" s="0" t="n">
        <f aca="false">SQRT(1+(A267/Fz2_u)^2)</f>
        <v>7345.82832794611</v>
      </c>
      <c r="R267" s="0" t="n">
        <f aca="false">ATAN2(Fz2_u,A267)</f>
        <v>1.57066019510784</v>
      </c>
      <c r="S267" s="0" t="n">
        <f aca="false">1/SQRT(1+(A267/Fp1_u)^2)</f>
        <v>0.0508656071074071</v>
      </c>
      <c r="T267" s="0" t="n">
        <f aca="false">-ATAN2(Fp1_u,A267)</f>
        <v>-1.51990875992815</v>
      </c>
      <c r="U267" s="0" t="n">
        <f aca="false">1/SQRT(1+(A267/Fp2_u)^2)</f>
        <v>0.811804080193985</v>
      </c>
      <c r="V267" s="0" t="n">
        <f aca="false">-ATAN2(Fp2_u,A267)</f>
        <v>-0.623561264342363</v>
      </c>
      <c r="X267" s="0" t="n">
        <f aca="false">20*LOG(C267*J267*O267*Q267*F267*M267*S267*U267)</f>
        <v>20.6512506505521</v>
      </c>
      <c r="Y267" s="0" t="n">
        <f aca="false">(180/Pi)*(D267+H267+N267+P267+R267+T267+V267)</f>
        <v>-215.512670202018</v>
      </c>
      <c r="Z267" s="0" t="n">
        <f aca="false">Y267+180</f>
        <v>-35.5126702020181</v>
      </c>
      <c r="AC267" s="0" t="n">
        <v>1</v>
      </c>
      <c r="AD267" s="0" t="n">
        <f aca="false">Rcea1_u*Cc1ea_u*A267*2*Pi</f>
        <v>6.473691478296</v>
      </c>
      <c r="AE267" s="0" t="n">
        <f aca="false">-Rcea1_u*Cc1ea_u*Cc2ea_u*(A267*2*Pi)^2</f>
        <v>-0.0016168472745433</v>
      </c>
      <c r="AF267" s="0" t="n">
        <f aca="false">(Cc2ea_u+Cc1ea_u)*A267*2*Pi</f>
        <v>0.002247809541075</v>
      </c>
      <c r="AG267" s="0" t="n">
        <f aca="false">AC267*AE267/(AE267^2+AF267^2)+AD267*AF267/(AE267^2+AF267^2)</f>
        <v>1687.10621342618</v>
      </c>
      <c r="AH267" s="0" t="n">
        <f aca="false">AD267*AE267/(AE267^2+AF267^2)-AC267*AF267/(AE267^2+AF267^2)</f>
        <v>-1658.41145120346</v>
      </c>
      <c r="AJ267" s="0" t="n">
        <f aca="false">_Rfb1</f>
        <v>20000</v>
      </c>
      <c r="AK267" s="0" t="n">
        <f aca="false">_Rfb1*Rcea2_u*Cc3ea_u*A267*2*Pi</f>
        <v>392684.00160528</v>
      </c>
      <c r="AL267" s="0" t="n">
        <v>1</v>
      </c>
      <c r="AM267" s="0" t="n">
        <f aca="false">(_Rfb1+Rcea2_u)*Cc3ea_u*A267*2*Pi</f>
        <v>7345.82825988026</v>
      </c>
      <c r="AN267" s="0" t="n">
        <f aca="false">AJ267*AL267/(AL267^2+AM267^2)+AK267*AM267/(AL267^2+AM267^2)</f>
        <v>53.4571055937309</v>
      </c>
      <c r="AO267" s="0" t="n">
        <f aca="false">AK267*AL267/(AL267^2+AM267^2)-AJ267*AM267/(AL267^2+AM267^2)</f>
        <v>-2.71535655187389</v>
      </c>
      <c r="AQ267" s="0" t="n">
        <f aca="false">Eadcg/(1+(Eadcg*A267/GBP)^2)</f>
        <v>0.162116276538124</v>
      </c>
      <c r="AR267" s="0" t="n">
        <f aca="false">-(A267*Eadcg*Eadcg/GBP)/(1+(Eadcg*A267/GBP)^2)</f>
        <v>-22.6403485999317</v>
      </c>
      <c r="AT267" s="0" t="n">
        <f aca="false">-AR267*AH267+AG267*AQ267</f>
        <v>-37273.5059999201</v>
      </c>
      <c r="AU267" s="0" t="n">
        <f aca="false">AQ267*AH267+AG267*AR267</f>
        <v>-38465.5282865168</v>
      </c>
      <c r="AV267" s="0" t="n">
        <f aca="false">ATAN2(AT267,AU267)</f>
        <v>-2.34045724333654</v>
      </c>
      <c r="AW267" s="0" t="n">
        <f aca="false">AG267-AH267*AO267/_Rfb2+AG267*AN267/_Rfb2+AN267-AO267*AR267+AQ267*AN267</f>
        <v>1726.3110534954</v>
      </c>
      <c r="AX267" s="0" t="n">
        <f aca="false">AH267+AH267*AN267/_Rfb2+AG267*AO267/_Rfb2+AO267+AO267*AQ267+AN267*AR267</f>
        <v>-2913.81025397325</v>
      </c>
      <c r="AY267" s="0" t="n">
        <f aca="false">ATAN2(AW267,AX267)</f>
        <v>-1.03594065310384</v>
      </c>
      <c r="BA267" s="0" t="n">
        <f aca="false">SQRT(AT267^2+AU267^2)/SQRT(AW267^2+AX267^2)</f>
        <v>15.8149748972478</v>
      </c>
      <c r="BB267" s="0" t="n">
        <f aca="false">20*LOG(BA267)</f>
        <v>23.9813701381295</v>
      </c>
      <c r="BC267" s="0" t="n">
        <f aca="false">AV267-AY267</f>
        <v>-1.3045165902327</v>
      </c>
      <c r="BD267" s="0" t="n">
        <f aca="false">BC267*180/Pi-180</f>
        <v>-254.743295010537</v>
      </c>
      <c r="BF267" s="0" t="n">
        <f aca="false">20*LOG(BA267*J267*F267*C267)</f>
        <v>11.7246344883457</v>
      </c>
      <c r="BG267" s="0" t="n">
        <f aca="false">(180/Pi)*(D267+H267+BC267)</f>
        <v>-248.655226563476</v>
      </c>
      <c r="BH267" s="0" t="n">
        <f aca="false">IF(BG267&gt;180,BG267-180,BG267+180)</f>
        <v>-68.6552265634761</v>
      </c>
      <c r="BI267" s="0" t="n">
        <f aca="false">IF(BH267&gt;180,BH267-360,BH267)</f>
        <v>-68.6552265634761</v>
      </c>
      <c r="BJ267" s="0" t="n">
        <f aca="false">SUM((BF268&lt;0)*(BF267&gt;0))*A267</f>
        <v>0</v>
      </c>
      <c r="BK267" s="0" t="n">
        <f aca="false">IF(BJ267&gt;0,BI267,0)</f>
        <v>0</v>
      </c>
      <c r="BM267" s="0" t="n">
        <f aca="false">20*LOG(J267*F267*C267)</f>
        <v>-12.2567356497838</v>
      </c>
      <c r="BN267" s="0" t="n">
        <f aca="false">(H267+D267)*180/Pi</f>
        <v>-173.911931552939</v>
      </c>
      <c r="BQ267" s="347" t="n">
        <f aca="false">20*LOG(BA267*7)</f>
        <v>40.8833309384146</v>
      </c>
      <c r="BR267" s="353"/>
      <c r="BS267" s="353"/>
      <c r="BT267" s="353" t="n">
        <v>37153.523</v>
      </c>
      <c r="BU267" s="353" t="n">
        <v>-1.30297</v>
      </c>
      <c r="BV267" s="353" t="n">
        <v>-145.744</v>
      </c>
      <c r="BY267" s="353"/>
      <c r="BZ267" s="353"/>
      <c r="CA267" s="353"/>
      <c r="CC267" s="353"/>
    </row>
    <row r="268" customFormat="false" ht="12.75" hidden="false" customHeight="false" outlineLevel="0" collapsed="false">
      <c r="A268" s="0" t="n">
        <f aca="false">A267+5000</f>
        <v>270000</v>
      </c>
      <c r="B268" s="0" t="n">
        <f aca="false">A268/1000</f>
        <v>270</v>
      </c>
      <c r="C268" s="0" t="n">
        <f aca="false">SQRT((A268/Fesr)^2+1)</f>
        <v>1.00000143898728</v>
      </c>
      <c r="D268" s="0" t="n">
        <f aca="false">ATAN(A268/Fesr)</f>
        <v>0.00169645840354537</v>
      </c>
      <c r="F268" s="0" t="n">
        <f aca="false">(Ro/(Ro+Rdcr))/SQRT((A268/(Q*Fo))^2+(1-(A268^2/Fo^2))^2)</f>
        <v>0.0260818552563369</v>
      </c>
      <c r="G268" s="0" t="n">
        <f aca="false">-ATAN(A268*Fo/(Q*(Fo^2-A268^2)))</f>
        <v>0.102566017080196</v>
      </c>
      <c r="H268" s="0" t="n">
        <f aca="false">IF(G268&gt;0,G268-Pi,G268)</f>
        <v>-3.0390266329198</v>
      </c>
      <c r="J268" s="0" t="n">
        <f aca="false">Vin/Vramp</f>
        <v>9</v>
      </c>
      <c r="M268" s="0" t="n">
        <f aca="false">1/(2*Pi*_Rfb1*(Cc1ea_u+Cc2ea_u)*A268)</f>
        <v>0.0218319538098431</v>
      </c>
      <c r="N268" s="0" t="n">
        <f aca="false">-Pi/2</f>
        <v>-1.570796325</v>
      </c>
      <c r="O268" s="0" t="n">
        <f aca="false">SQRT(1+(A268/Fz1_u)^2)</f>
        <v>6.67121131885843</v>
      </c>
      <c r="P268" s="0" t="n">
        <f aca="false">ATAN2(Fz1_u,A268)</f>
        <v>1.42033140757474</v>
      </c>
      <c r="Q268" s="0" t="n">
        <f aca="false">SQRT(1+(A268/Fz2_u)^2)</f>
        <v>7484.42885989092</v>
      </c>
      <c r="R268" s="0" t="n">
        <f aca="false">ATAN2(Fz2_u,A268)</f>
        <v>1.57066271606498</v>
      </c>
      <c r="S268" s="0" t="n">
        <f aca="false">1/SQRT(1+(A268/Fp1_u)^2)</f>
        <v>0.0499260214401421</v>
      </c>
      <c r="T268" s="0" t="n">
        <f aca="false">-ATAN2(Fp1_u,A268)</f>
        <v>-1.52084954105867</v>
      </c>
      <c r="U268" s="0" t="n">
        <f aca="false">1/SQRT(1+(A268/Fp2_u)^2)</f>
        <v>0.806582894779497</v>
      </c>
      <c r="V268" s="0" t="n">
        <f aca="false">-ATAN2(Fp2_u,A268)</f>
        <v>-0.63244794497244</v>
      </c>
      <c r="X268" s="0" t="n">
        <f aca="false">20*LOG(C268*J268*O268*Q268*F268*M268*S268*U268)</f>
        <v>20.2602709524544</v>
      </c>
      <c r="Y268" s="0" t="n">
        <f aca="false">(180/Pi)*(D268+H268+N268+P268+R268+T268+V268)</f>
        <v>-216.029718284252</v>
      </c>
      <c r="Z268" s="0" t="n">
        <f aca="false">Y268+180</f>
        <v>-36.0297182842517</v>
      </c>
      <c r="AC268" s="0" t="n">
        <v>1</v>
      </c>
      <c r="AD268" s="0" t="n">
        <f aca="false">Rcea1_u*Cc1ea_u*A268*2*Pi</f>
        <v>6.595836600528</v>
      </c>
      <c r="AE268" s="0" t="n">
        <f aca="false">-Rcea1_u*Cc1ea_u*Cc2ea_u*(A268*2*Pi)^2</f>
        <v>-0.0016784359745704</v>
      </c>
      <c r="AF268" s="0" t="n">
        <f aca="false">(Cc2ea_u+Cc1ea_u)*A268*2*Pi</f>
        <v>0.00229022104185</v>
      </c>
      <c r="AG268" s="0" t="n">
        <f aca="false">AC268*AE268/(AE268^2+AF268^2)+AD268*AF268/(AE268^2+AF268^2)</f>
        <v>1665.47447334624</v>
      </c>
      <c r="AH268" s="0" t="n">
        <f aca="false">AD268*AE268/(AE268^2+AF268^2)-AC268*AF268/(AE268^2+AF268^2)</f>
        <v>-1657.21657492377</v>
      </c>
      <c r="AJ268" s="0" t="n">
        <f aca="false">_Rfb1</f>
        <v>20000</v>
      </c>
      <c r="AK268" s="0" t="n">
        <f aca="false">_Rfb1*Rcea2_u*Cc3ea_u*A268*2*Pi</f>
        <v>400093.13371104</v>
      </c>
      <c r="AL268" s="0" t="n">
        <v>1</v>
      </c>
      <c r="AM268" s="0" t="n">
        <f aca="false">(_Rfb1+Rcea2_u)*Cc3ea_u*A268*2*Pi</f>
        <v>7484.42879308555</v>
      </c>
      <c r="AN268" s="0" t="n">
        <f aca="false">AJ268*AL268/(AL268^2+AM268^2)+AK268*AM268/(AL268^2+AM268^2)</f>
        <v>53.4570920299007</v>
      </c>
      <c r="AO268" s="0" t="n">
        <f aca="false">AK268*AL268/(AL268^2+AM268^2)-AJ268*AM268/(AL268^2+AM268^2)</f>
        <v>-2.66507217309591</v>
      </c>
      <c r="AQ268" s="0" t="n">
        <f aca="false">Eadcg/(1+(Eadcg*A268/GBP)^2)</f>
        <v>0.156167859231181</v>
      </c>
      <c r="AR268" s="0" t="n">
        <f aca="false">-(A268*Eadcg*Eadcg/GBP)/(1+(Eadcg*A268/GBP)^2)</f>
        <v>-22.2211246900047</v>
      </c>
      <c r="AT268" s="0" t="n">
        <f aca="false">-AR268*AH268+AG268*AQ268</f>
        <v>-36565.122566617</v>
      </c>
      <c r="AU268" s="0" t="n">
        <f aca="false">AQ268*AH268+AG268*AR268</f>
        <v>-37267.5199050349</v>
      </c>
      <c r="AV268" s="0" t="n">
        <f aca="false">ATAN2(AT268,AU268)</f>
        <v>-2.34668140592395</v>
      </c>
      <c r="AW268" s="0" t="n">
        <f aca="false">AG268-AH268*AO268/_Rfb2+AG268*AN268/_Rfb2+AN268-AO268*AR268+AQ268*AN268</f>
        <v>1706.13561312037</v>
      </c>
      <c r="AX268" s="0" t="n">
        <f aca="false">AH268+AH268*AN268/_Rfb2+AG268*AO268/_Rfb2+AO268+AO268*AQ268+AN268*AR268</f>
        <v>-2890.03741815921</v>
      </c>
      <c r="AY268" s="0" t="n">
        <f aca="false">ATAN2(AW268,AX268)</f>
        <v>-1.03750211256623</v>
      </c>
      <c r="BA268" s="0" t="n">
        <f aca="false">SQRT(AT268^2+AU268^2)/SQRT(AW268^2+AX268^2)</f>
        <v>15.5568576861313</v>
      </c>
      <c r="BB268" s="0" t="n">
        <f aca="false">20*LOG(BA268)</f>
        <v>23.838437576222</v>
      </c>
      <c r="BC268" s="0" t="n">
        <f aca="false">AV268-AY268</f>
        <v>-1.30917929335772</v>
      </c>
      <c r="BD268" s="0" t="n">
        <f aca="false">BC268*180/Pi-180</f>
        <v>-255.010448221029</v>
      </c>
      <c r="BF268" s="0" t="n">
        <f aca="false">20*LOG(BA268*J268*F268*C268)</f>
        <v>11.2500698723613</v>
      </c>
      <c r="BG268" s="0" t="n">
        <f aca="false">(180/Pi)*(D268+H268+BC268)</f>
        <v>-249.036648407398</v>
      </c>
      <c r="BH268" s="0" t="n">
        <f aca="false">IF(BG268&gt;180,BG268-180,BG268+180)</f>
        <v>-69.0366484073982</v>
      </c>
      <c r="BI268" s="0" t="n">
        <f aca="false">IF(BH268&gt;180,BH268-360,BH268)</f>
        <v>-69.0366484073982</v>
      </c>
      <c r="BJ268" s="0" t="n">
        <f aca="false">SUM((BF269&lt;0)*(BF268&gt;0))*A268</f>
        <v>0</v>
      </c>
      <c r="BK268" s="0" t="n">
        <f aca="false">IF(BJ268&gt;0,BI268,0)</f>
        <v>0</v>
      </c>
      <c r="BM268" s="0" t="n">
        <f aca="false">20*LOG(J268*F268*C268)</f>
        <v>-12.5883677038606</v>
      </c>
      <c r="BN268" s="0" t="n">
        <f aca="false">(H268+D268)*180/Pi</f>
        <v>-174.026200186369</v>
      </c>
      <c r="BQ268" s="347" t="n">
        <f aca="false">20*LOG(BA268*7)</f>
        <v>40.7403983765071</v>
      </c>
      <c r="BR268" s="353"/>
      <c r="BS268" s="353"/>
      <c r="BT268" s="353" t="n">
        <v>38018.94</v>
      </c>
      <c r="BU268" s="353" t="n">
        <v>-1.18652</v>
      </c>
      <c r="BV268" s="353" t="n">
        <v>-144.868</v>
      </c>
      <c r="BY268" s="353"/>
      <c r="BZ268" s="353"/>
      <c r="CA268" s="353"/>
      <c r="CC268" s="353"/>
    </row>
    <row r="269" customFormat="false" ht="12.75" hidden="false" customHeight="false" outlineLevel="0" collapsed="false">
      <c r="A269" s="0" t="n">
        <f aca="false">A268+5000</f>
        <v>275000</v>
      </c>
      <c r="B269" s="0" t="n">
        <f aca="false">A269/1000</f>
        <v>275</v>
      </c>
      <c r="C269" s="0" t="n">
        <f aca="false">SQRT((A269/Fesr)^2+1)</f>
        <v>1.00000149277655</v>
      </c>
      <c r="D269" s="0" t="n">
        <f aca="false">ATAN(A269/Fesr)</f>
        <v>0.00172787423794666</v>
      </c>
      <c r="F269" s="0" t="n">
        <f aca="false">(Ro/(Ro+Rdcr))/SQRT((A269/(Q*Fo))^2+(1-(A269^2/Fo^2))^2)</f>
        <v>0.0251231200908295</v>
      </c>
      <c r="G269" s="0" t="n">
        <f aca="false">-ATAN(A269*Fo/(Q*(Fo^2-A269^2)))</f>
        <v>0.100618735737758</v>
      </c>
      <c r="H269" s="0" t="n">
        <f aca="false">IF(G269&gt;0,G269-Pi,G269)</f>
        <v>-3.04097391426224</v>
      </c>
      <c r="J269" s="0" t="n">
        <f aca="false">Vin/Vramp</f>
        <v>9</v>
      </c>
      <c r="M269" s="0" t="n">
        <f aca="false">1/(2*Pi*_Rfb1*(Cc1ea_u+Cc2ea_u)*A269)</f>
        <v>0.0214350091951187</v>
      </c>
      <c r="N269" s="0" t="n">
        <f aca="false">-Pi/2</f>
        <v>-1.570796325</v>
      </c>
      <c r="O269" s="0" t="n">
        <f aca="false">SQRT(1+(A269/Fz1_u)^2)</f>
        <v>6.79200106208306</v>
      </c>
      <c r="P269" s="0" t="n">
        <f aca="false">ATAN2(Fz1_u,A269)</f>
        <v>1.42302712404203</v>
      </c>
      <c r="Q269" s="0" t="n">
        <f aca="false">SQRT(1+(A269/Fz2_u)^2)</f>
        <v>7623.02939188156</v>
      </c>
      <c r="R269" s="0" t="n">
        <f aca="false">ATAN2(Fz2_u,A269)</f>
        <v>1.57066514535095</v>
      </c>
      <c r="S269" s="0" t="n">
        <f aca="false">1/SQRT(1+(A269/Fp1_u)^2)</f>
        <v>0.0490204770635199</v>
      </c>
      <c r="T269" s="0" t="n">
        <f aca="false">-ATAN2(Fp1_u,A269)</f>
        <v>-1.52175619571136</v>
      </c>
      <c r="U269" s="0" t="n">
        <f aca="false">1/SQRT(1+(A269/Fp2_u)^2)</f>
        <v>0.801366365704898</v>
      </c>
      <c r="V269" s="0" t="n">
        <f aca="false">-ATAN2(Fp2_u,A269)</f>
        <v>-0.641220362774358</v>
      </c>
      <c r="X269" s="0" t="n">
        <f aca="false">20*LOG(C269*J269*O269*Q269*F269*M269*S269*U269)</f>
        <v>19.8754877942434</v>
      </c>
      <c r="Y269" s="0" t="n">
        <f aca="false">(180/Pi)*(D269+H269+N269+P269+R269+T269+V269)</f>
        <v>-216.539466929637</v>
      </c>
      <c r="Z269" s="0" t="n">
        <f aca="false">Y269+180</f>
        <v>-36.5394669296366</v>
      </c>
      <c r="AC269" s="0" t="n">
        <v>1</v>
      </c>
      <c r="AD269" s="0" t="n">
        <f aca="false">Rcea1_u*Cc1ea_u*A269*2*Pi</f>
        <v>6.71798172276</v>
      </c>
      <c r="AE269" s="0" t="n">
        <f aca="false">-Rcea1_u*Cc1ea_u*Cc2ea_u*(A269*2*Pi)^2</f>
        <v>-0.00174117586525222</v>
      </c>
      <c r="AF269" s="0" t="n">
        <f aca="false">(Cc2ea_u+Cc1ea_u)*A269*2*Pi</f>
        <v>0.002332632542625</v>
      </c>
      <c r="AG269" s="0" t="n">
        <f aca="false">AC269*AE269/(AE269^2+AF269^2)+AD269*AF269/(AE269^2+AF269^2)</f>
        <v>1644.00141333268</v>
      </c>
      <c r="AH269" s="0" t="n">
        <f aca="false">AD269*AE269/(AE269^2+AF269^2)-AC269*AF269/(AE269^2+AF269^2)</f>
        <v>-1655.85256689799</v>
      </c>
      <c r="AJ269" s="0" t="n">
        <f aca="false">_Rfb1</f>
        <v>20000</v>
      </c>
      <c r="AK269" s="0" t="n">
        <f aca="false">_Rfb1*Rcea2_u*Cc3ea_u*A269*2*Pi</f>
        <v>407502.2658168</v>
      </c>
      <c r="AL269" s="0" t="n">
        <v>1</v>
      </c>
      <c r="AM269" s="0" t="n">
        <f aca="false">(_Rfb1+Rcea2_u)*Cc3ea_u*A269*2*Pi</f>
        <v>7623.02932629084</v>
      </c>
      <c r="AN269" s="0" t="n">
        <f aca="false">AJ269*AL269/(AL269^2+AM269^2)+AK269*AM269/(AL269^2+AM269^2)</f>
        <v>53.457079199169</v>
      </c>
      <c r="AO269" s="0" t="n">
        <f aca="false">AK269*AL269/(AL269^2+AM269^2)-AJ269*AM269/(AL269^2+AM269^2)</f>
        <v>-2.61661631708641</v>
      </c>
      <c r="AQ269" s="0" t="n">
        <f aca="false">Eadcg/(1+(Eadcg*A269/GBP)^2)</f>
        <v>0.150540921632875</v>
      </c>
      <c r="AR269" s="0" t="n">
        <f aca="false">-(A269*Eadcg*Eadcg/GBP)/(1+(Eadcg*A269/GBP)^2)</f>
        <v>-21.8171430676444</v>
      </c>
      <c r="AT269" s="0" t="n">
        <f aca="false">-AR269*AH269+AG269*AQ269</f>
        <v>-35878.4828630108</v>
      </c>
      <c r="AU269" s="0" t="n">
        <f aca="false">AQ269*AH269+AG269*AR269</f>
        <v>-36116.6876095976</v>
      </c>
      <c r="AV269" s="0" t="n">
        <f aca="false">ATAN2(AT269,AU269)</f>
        <v>-2.35288588107563</v>
      </c>
      <c r="AW269" s="0" t="n">
        <f aca="false">AG269-AH269*AO269/_Rfb2+AG269*AN269/_Rfb2+AN269-AO269*AR269+AQ269*AN269</f>
        <v>1686.01673026916</v>
      </c>
      <c r="AX269" s="0" t="n">
        <f aca="false">AH269+AH269*AN269/_Rfb2+AG269*AO269/_Rfb2+AO269+AO269*AQ269+AN269*AR269</f>
        <v>-2866.91227914409</v>
      </c>
      <c r="AY269" s="0" t="n">
        <f aca="false">ATAN2(AW269,AX269)</f>
        <v>-1.03917650677856</v>
      </c>
      <c r="BA269" s="0" t="n">
        <f aca="false">SQRT(AT269^2+AU269^2)/SQRT(AW269^2+AX269^2)</f>
        <v>15.3065420246707</v>
      </c>
      <c r="BB269" s="0" t="n">
        <f aca="false">20*LOG(BA269)</f>
        <v>23.697541764026</v>
      </c>
      <c r="BC269" s="0" t="n">
        <f aca="false">AV269-AY269</f>
        <v>-1.31370937429707</v>
      </c>
      <c r="BD269" s="0" t="n">
        <f aca="false">BC269*180/Pi-180</f>
        <v>-255.270002740002</v>
      </c>
      <c r="BF269" s="0" t="n">
        <f aca="false">20*LOG(BA269*J269*F269*C269)</f>
        <v>10.7838764052973</v>
      </c>
      <c r="BG269" s="0" t="n">
        <f aca="false">(180/Pi)*(D269+H269+BC269)</f>
        <v>-249.405973934222</v>
      </c>
      <c r="BH269" s="0" t="n">
        <f aca="false">IF(BG269&gt;180,BG269-180,BG269+180)</f>
        <v>-69.4059739342224</v>
      </c>
      <c r="BI269" s="0" t="n">
        <f aca="false">IF(BH269&gt;180,BH269-360,BH269)</f>
        <v>-69.4059739342224</v>
      </c>
      <c r="BJ269" s="0" t="n">
        <f aca="false">SUM((BF270&lt;0)*(BF269&gt;0))*A269</f>
        <v>0</v>
      </c>
      <c r="BK269" s="0" t="n">
        <f aca="false">IF(BJ269&gt;0,BI269,0)</f>
        <v>0</v>
      </c>
      <c r="BM269" s="0" t="n">
        <f aca="false">20*LOG(J269*F269*C269)</f>
        <v>-12.9136653587287</v>
      </c>
      <c r="BN269" s="0" t="n">
        <f aca="false">(H269+D269)*180/Pi</f>
        <v>-174.13597119422</v>
      </c>
      <c r="BQ269" s="347" t="n">
        <f aca="false">20*LOG(BA269*7)</f>
        <v>40.5995025643111</v>
      </c>
      <c r="BR269" s="353"/>
      <c r="BS269" s="353"/>
      <c r="BT269" s="353" t="n">
        <v>38904.514</v>
      </c>
      <c r="BU269" s="353" t="n">
        <v>-1.05156</v>
      </c>
      <c r="BV269" s="353" t="n">
        <v>-144.06</v>
      </c>
      <c r="BY269" s="353"/>
      <c r="BZ269" s="353"/>
      <c r="CA269" s="353"/>
      <c r="CC269" s="353"/>
    </row>
    <row r="270" customFormat="false" ht="12.75" hidden="false" customHeight="false" outlineLevel="0" collapsed="false">
      <c r="A270" s="0" t="n">
        <f aca="false">A269+5000</f>
        <v>280000</v>
      </c>
      <c r="B270" s="0" t="n">
        <f aca="false">A270/1000</f>
        <v>280</v>
      </c>
      <c r="C270" s="0" t="n">
        <f aca="false">SQRT((A270/Fesr)^2+1)</f>
        <v>1.00000154755277</v>
      </c>
      <c r="D270" s="0" t="n">
        <f aca="false">ATAN(A270/Fesr)</f>
        <v>0.00175929006893728</v>
      </c>
      <c r="F270" s="0" t="n">
        <f aca="false">(Ro/(Ro+Rdcr))/SQRT((A270/(Q*Fo))^2+(1-(A270^2/Fo^2))^2)</f>
        <v>0.0242166079770598</v>
      </c>
      <c r="G270" s="0" t="n">
        <f aca="false">-ATAN(A270*Fo/(Q*(Fo^2-A270^2)))</f>
        <v>0.0987454014441706</v>
      </c>
      <c r="H270" s="0" t="n">
        <f aca="false">IF(G270&gt;0,G270-Pi,G270)</f>
        <v>-3.04284724855583</v>
      </c>
      <c r="J270" s="0" t="n">
        <f aca="false">Vin/Vramp</f>
        <v>9</v>
      </c>
      <c r="M270" s="0" t="n">
        <f aca="false">1/(2*Pi*_Rfb1*(Cc1ea_u+Cc2ea_u)*A270)</f>
        <v>0.0210522411737773</v>
      </c>
      <c r="N270" s="0" t="n">
        <f aca="false">-Pi/2</f>
        <v>-1.570796325</v>
      </c>
      <c r="O270" s="0" t="n">
        <f aca="false">SQRT(1+(A270/Fz1_u)^2)</f>
        <v>6.91283843696496</v>
      </c>
      <c r="P270" s="0" t="n">
        <f aca="false">ATAN2(Fz1_u,A270)</f>
        <v>1.42562861587162</v>
      </c>
      <c r="Q270" s="0" t="n">
        <f aca="false">SQRT(1+(A270/Fz2_u)^2)</f>
        <v>7761.62992391559</v>
      </c>
      <c r="R270" s="0" t="n">
        <f aca="false">ATAN2(Fz2_u,A270)</f>
        <v>1.57066748787671</v>
      </c>
      <c r="S270" s="0" t="n">
        <f aca="false">1/SQRT(1+(A270/Fp1_u)^2)</f>
        <v>0.0481471590336213</v>
      </c>
      <c r="T270" s="0" t="n">
        <f aca="false">-ATAN2(Fp1_u,A270)</f>
        <v>-1.52263054628194</v>
      </c>
      <c r="U270" s="0" t="n">
        <f aca="false">1/SQRT(1+(A270/Fp2_u)^2)</f>
        <v>0.796156788463858</v>
      </c>
      <c r="V270" s="0" t="n">
        <f aca="false">-ATAN2(Fp2_u,A270)</f>
        <v>-0.649879383103826</v>
      </c>
      <c r="X270" s="0" t="n">
        <f aca="false">20*LOG(C270*J270*O270*Q270*F270*M270*S270*U270)</f>
        <v>19.4966687377275</v>
      </c>
      <c r="Y270" s="0" t="n">
        <f aca="false">(180/Pi)*(D270+H270+N270+P270+R270+T270+V270)</f>
        <v>-217.042034282318</v>
      </c>
      <c r="Z270" s="0" t="n">
        <f aca="false">Y270+180</f>
        <v>-37.0420342823183</v>
      </c>
      <c r="AC270" s="0" t="n">
        <v>1</v>
      </c>
      <c r="AD270" s="0" t="n">
        <f aca="false">Rcea1_u*Cc1ea_u*A270*2*Pi</f>
        <v>6.840126844992</v>
      </c>
      <c r="AE270" s="0" t="n">
        <f aca="false">-Rcea1_u*Cc1ea_u*Cc2ea_u*(A270*2*Pi)^2</f>
        <v>-0.00180506694658874</v>
      </c>
      <c r="AF270" s="0" t="n">
        <f aca="false">(Cc2ea_u+Cc1ea_u)*A270*2*Pi</f>
        <v>0.0023750440434</v>
      </c>
      <c r="AG270" s="0" t="n">
        <f aca="false">AC270*AE270/(AE270^2+AF270^2)+AD270*AF270/(AE270^2+AF270^2)</f>
        <v>1622.69601745174</v>
      </c>
      <c r="AH270" s="0" t="n">
        <f aca="false">AD270*AE270/(AE270^2+AF270^2)-AC270*AF270/(AE270^2+AF270^2)</f>
        <v>-1654.31666683479</v>
      </c>
      <c r="AJ270" s="0" t="n">
        <f aca="false">_Rfb1</f>
        <v>20000</v>
      </c>
      <c r="AK270" s="0" t="n">
        <f aca="false">_Rfb1*Rcea2_u*Cc3ea_u*A270*2*Pi</f>
        <v>414911.39792256</v>
      </c>
      <c r="AL270" s="0" t="n">
        <v>1</v>
      </c>
      <c r="AM270" s="0" t="n">
        <f aca="false">(_Rfb1+Rcea2_u)*Cc3ea_u*A270*2*Pi</f>
        <v>7761.62985949613</v>
      </c>
      <c r="AN270" s="0" t="n">
        <f aca="false">AJ270*AL270/(AL270^2+AM270^2)+AK270*AM270/(AL270^2+AM270^2)</f>
        <v>53.4570670496419</v>
      </c>
      <c r="AO270" s="0" t="n">
        <f aca="false">AK270*AL270/(AL270^2+AM270^2)-AJ270*AM270/(AL270^2+AM270^2)</f>
        <v>-2.5698910272752</v>
      </c>
      <c r="AQ270" s="0" t="n">
        <f aca="false">Eadcg/(1+(Eadcg*A270/GBP)^2)</f>
        <v>0.145212708972202</v>
      </c>
      <c r="AR270" s="0" t="n">
        <f aca="false">-(A270*Eadcg*Eadcg/GBP)/(1+(Eadcg*A270/GBP)^2)</f>
        <v>-21.4275873359381</v>
      </c>
      <c r="AT270" s="0" t="n">
        <f aca="false">-AR270*AH270+AG270*AQ270</f>
        <v>-35212.378775368</v>
      </c>
      <c r="AU270" s="0" t="n">
        <f aca="false">AQ270*AH270+AG270*AR270</f>
        <v>-35010.688438315</v>
      </c>
      <c r="AV270" s="0" t="n">
        <f aca="false">ATAN2(AT270,AU270)</f>
        <v>-2.35906662025538</v>
      </c>
      <c r="AW270" s="0" t="n">
        <f aca="false">AG270-AH270*AO270/_Rfb2+AG270*AN270/_Rfb2+AN270-AO270*AR270+AQ270*AN270</f>
        <v>1665.97108590206</v>
      </c>
      <c r="AX270" s="0" t="n">
        <f aca="false">AH270+AH270*AN270/_Rfb2+AG270*AO270/_Rfb2+AO270+AO270*AQ270+AN270*AR270</f>
        <v>-2844.38799264121</v>
      </c>
      <c r="AY270" s="0" t="n">
        <f aca="false">ATAN2(AW270,AX270)</f>
        <v>-1.04095448096878</v>
      </c>
      <c r="BA270" s="0" t="n">
        <f aca="false">SQRT(AT270^2+AU270^2)/SQRT(AW270^2+AX270^2)</f>
        <v>15.0637008912082</v>
      </c>
      <c r="BB270" s="0" t="n">
        <f aca="false">20*LOG(BA270)</f>
        <v>23.5586336725839</v>
      </c>
      <c r="BC270" s="0" t="n">
        <f aca="false">AV270-AY270</f>
        <v>-1.31811213928659</v>
      </c>
      <c r="BD270" s="0" t="n">
        <f aca="false">BC270*180/Pi-180</f>
        <v>-255.522262592379</v>
      </c>
      <c r="BF270" s="0" t="n">
        <f aca="false">20*LOG(BA270*J270*F270*C270)</f>
        <v>10.3257635310563</v>
      </c>
      <c r="BG270" s="0" t="n">
        <f aca="false">(180/Pi)*(D270+H270+BC270)</f>
        <v>-249.763767940833</v>
      </c>
      <c r="BH270" s="0" t="n">
        <f aca="false">IF(BG270&gt;180,BG270-180,BG270+180)</f>
        <v>-69.7637679408332</v>
      </c>
      <c r="BI270" s="0" t="n">
        <f aca="false">IF(BH270&gt;180,BH270-360,BH270)</f>
        <v>-69.7637679408332</v>
      </c>
      <c r="BJ270" s="0" t="n">
        <f aca="false">SUM((BF271&lt;0)*(BF270&gt;0))*A270</f>
        <v>0</v>
      </c>
      <c r="BK270" s="0" t="n">
        <f aca="false">IF(BJ270&gt;0,BI270,0)</f>
        <v>0</v>
      </c>
      <c r="BM270" s="0" t="n">
        <f aca="false">20*LOG(J270*F270*C270)</f>
        <v>-13.2328701415276</v>
      </c>
      <c r="BN270" s="0" t="n">
        <f aca="false">(H270+D270)*180/Pi</f>
        <v>-174.241505348455</v>
      </c>
      <c r="BQ270" s="347" t="n">
        <f aca="false">20*LOG(BA270*7)</f>
        <v>40.4605944728691</v>
      </c>
      <c r="BR270" s="353"/>
      <c r="BS270" s="353"/>
      <c r="BT270" s="353" t="n">
        <v>39810.717</v>
      </c>
      <c r="BU270" s="353" t="n">
        <v>-0.927217</v>
      </c>
      <c r="BV270" s="353" t="n">
        <v>-143.23</v>
      </c>
      <c r="BY270" s="353"/>
      <c r="BZ270" s="353"/>
      <c r="CA270" s="353"/>
      <c r="CC270" s="353"/>
    </row>
    <row r="271" customFormat="false" ht="12.75" hidden="false" customHeight="false" outlineLevel="0" collapsed="false">
      <c r="A271" s="0" t="n">
        <f aca="false">A270+5000</f>
        <v>285000</v>
      </c>
      <c r="B271" s="0" t="n">
        <f aca="false">A271/1000</f>
        <v>285</v>
      </c>
      <c r="C271" s="0" t="n">
        <f aca="false">SQRT((A271/Fesr)^2+1)</f>
        <v>1.00000160331595</v>
      </c>
      <c r="D271" s="0" t="n">
        <f aca="false">ATAN(A271/Fesr)</f>
        <v>0.00179070589645522</v>
      </c>
      <c r="F271" s="0" t="n">
        <f aca="false">(Ro/(Ro+Rdcr))/SQRT((A271/(Q*Fo))^2+(1-(A271^2/Fo^2))^2)</f>
        <v>0.0233585727329466</v>
      </c>
      <c r="G271" s="0" t="n">
        <f aca="false">-ATAN(A271*Fo/(Q*(Fo^2-A271^2)))</f>
        <v>0.0969418128384615</v>
      </c>
      <c r="H271" s="0" t="n">
        <f aca="false">IF(G271&gt;0,G271-Pi,G271)</f>
        <v>-3.04465083716154</v>
      </c>
      <c r="J271" s="0" t="n">
        <f aca="false">Vin/Vramp</f>
        <v>9</v>
      </c>
      <c r="M271" s="0" t="n">
        <f aca="false">1/(2*Pi*_Rfb1*(Cc1ea_u+Cc2ea_u)*A271)</f>
        <v>0.0206829036093251</v>
      </c>
      <c r="N271" s="0" t="n">
        <f aca="false">-Pi/2</f>
        <v>-1.570796325</v>
      </c>
      <c r="O271" s="0" t="n">
        <f aca="false">SQRT(1+(A271/Fz1_u)^2)</f>
        <v>7.0337209886086</v>
      </c>
      <c r="P271" s="0" t="n">
        <f aca="false">ATAN2(Fz1_u,A271)</f>
        <v>1.42814070498517</v>
      </c>
      <c r="Q271" s="0" t="n">
        <f aca="false">SQRT(1+(A271/Fz2_u)^2)</f>
        <v>7900.23045599071</v>
      </c>
      <c r="R271" s="0" t="n">
        <f aca="false">ATAN2(Fz2_u,A271)</f>
        <v>1.57066974820858</v>
      </c>
      <c r="S271" s="0" t="n">
        <f aca="false">1/SQRT(1+(A271/Fp1_u)^2)</f>
        <v>0.0473043790307298</v>
      </c>
      <c r="T271" s="0" t="n">
        <f aca="false">-ATAN2(Fp1_u,A271)</f>
        <v>-1.52347428777349</v>
      </c>
      <c r="U271" s="0" t="n">
        <f aca="false">1/SQRT(1+(A271/Fp2_u)^2)</f>
        <v>0.790956349147397</v>
      </c>
      <c r="V271" s="0" t="n">
        <f aca="false">-ATAN2(Fp2_u,A271)</f>
        <v>-0.658425917112322</v>
      </c>
      <c r="X271" s="0" t="n">
        <f aca="false">20*LOG(C271*J271*O271*Q271*F271*M271*S271*U271)</f>
        <v>19.1235955188766</v>
      </c>
      <c r="Y271" s="0" t="n">
        <f aca="false">(180/Pi)*(D271+H271+N271+P271+R271+T271+V271)</f>
        <v>-217.537533846817</v>
      </c>
      <c r="Z271" s="0" t="n">
        <f aca="false">Y271+180</f>
        <v>-37.5375338468166</v>
      </c>
      <c r="AC271" s="0" t="n">
        <v>1</v>
      </c>
      <c r="AD271" s="0" t="n">
        <f aca="false">Rcea1_u*Cc1ea_u*A271*2*Pi</f>
        <v>6.962271967224</v>
      </c>
      <c r="AE271" s="0" t="n">
        <f aca="false">-Rcea1_u*Cc1ea_u*Cc2ea_u*(A271*2*Pi)^2</f>
        <v>-0.00187010921857998</v>
      </c>
      <c r="AF271" s="0" t="n">
        <f aca="false">(Cc2ea_u+Cc1ea_u)*A271*2*Pi</f>
        <v>0.002417455544175</v>
      </c>
      <c r="AG271" s="0" t="n">
        <f aca="false">AC271*AE271/(AE271^2+AF271^2)+AD271*AF271/(AE271^2+AF271^2)</f>
        <v>1601.56658241684</v>
      </c>
      <c r="AH271" s="0" t="n">
        <f aca="false">AD271*AE271/(AE271^2+AF271^2)-AC271*AF271/(AE271^2+AF271^2)</f>
        <v>-1652.60719667578</v>
      </c>
      <c r="AJ271" s="0" t="n">
        <f aca="false">_Rfb1</f>
        <v>20000</v>
      </c>
      <c r="AK271" s="0" t="n">
        <f aca="false">_Rfb1*Rcea2_u*Cc3ea_u*A271*2*Pi</f>
        <v>422320.53002832</v>
      </c>
      <c r="AL271" s="0" t="n">
        <v>1</v>
      </c>
      <c r="AM271" s="0" t="n">
        <f aca="false">(_Rfb1+Rcea2_u)*Cc3ea_u*A271*2*Pi</f>
        <v>7900.23039270142</v>
      </c>
      <c r="AN271" s="0" t="n">
        <f aca="false">AJ271*AL271/(AL271^2+AM271^2)+AK271*AM271/(AL271^2+AM271^2)</f>
        <v>53.4570555339376</v>
      </c>
      <c r="AO271" s="0" t="n">
        <f aca="false">AK271*AL271/(AL271^2+AM271^2)-AJ271*AM271/(AL271^2+AM271^2)</f>
        <v>-2.52480522123678</v>
      </c>
      <c r="AQ271" s="0" t="n">
        <f aca="false">Eadcg/(1+(Eadcg*A271/GBP)^2)</f>
        <v>0.140162444660699</v>
      </c>
      <c r="AR271" s="0" t="n">
        <f aca="false">-(A271*Eadcg*Eadcg/GBP)/(1+(Eadcg*A271/GBP)^2)</f>
        <v>-21.0516983758137</v>
      </c>
      <c r="AT271" s="0" t="n">
        <f aca="false">-AR271*AH271+AG271*AQ271</f>
        <v>-34565.7087506392</v>
      </c>
      <c r="AU271" s="0" t="n">
        <f aca="false">AQ271*AH271+AG271*AR271</f>
        <v>-33947.3300865721</v>
      </c>
      <c r="AV271" s="0" t="n">
        <f aca="false">ATAN2(AT271,AU271)</f>
        <v>-2.36521995284354</v>
      </c>
      <c r="AW271" s="0" t="n">
        <f aca="false">AG271-AH271*AO271/_Rfb2+AG271*AN271/_Rfb2+AN271-AO271*AR271+AQ271*AN271</f>
        <v>1646.01400667005</v>
      </c>
      <c r="AX271" s="0" t="n">
        <f aca="false">AH271+AH271*AN271/_Rfb2+AG271*AO271/_Rfb2+AO271+AO271*AQ271+AN271*AR271</f>
        <v>-2822.42191518976</v>
      </c>
      <c r="AY271" s="0" t="n">
        <f aca="false">ATAN2(AW271,AX271)</f>
        <v>-1.04282730255601</v>
      </c>
      <c r="BA271" s="0" t="n">
        <f aca="false">SQRT(AT271^2+AU271^2)/SQRT(AW271^2+AX271^2)</f>
        <v>14.8280240719431</v>
      </c>
      <c r="BB271" s="0" t="n">
        <f aca="false">20*LOG(BA271)</f>
        <v>23.4216656479106</v>
      </c>
      <c r="BC271" s="0" t="n">
        <f aca="false">AV271-AY271</f>
        <v>-1.32239265028753</v>
      </c>
      <c r="BD271" s="0" t="n">
        <f aca="false">BC271*180/Pi-180</f>
        <v>-255.767517807172</v>
      </c>
      <c r="BF271" s="0" t="n">
        <f aca="false">20*LOG(BA271*J271*F271*C271)</f>
        <v>9.8754558184117</v>
      </c>
      <c r="BG271" s="0" t="n">
        <f aca="false">(180/Pi)*(D271+H271+BC271)</f>
        <v>-250.110561176501</v>
      </c>
      <c r="BH271" s="0" t="n">
        <f aca="false">IF(BG271&gt;180,BG271-180,BG271+180)</f>
        <v>-70.1105611765007</v>
      </c>
      <c r="BI271" s="0" t="n">
        <f aca="false">IF(BH271&gt;180,BH271-360,BH271)</f>
        <v>-70.1105611765007</v>
      </c>
      <c r="BJ271" s="0" t="n">
        <f aca="false">SUM((BF272&lt;0)*(BF271&gt;0))*A271</f>
        <v>0</v>
      </c>
      <c r="BK271" s="0" t="n">
        <f aca="false">IF(BJ271&gt;0,BI271,0)</f>
        <v>0</v>
      </c>
      <c r="BM271" s="0" t="n">
        <f aca="false">20*LOG(J271*F271*C271)</f>
        <v>-13.5462098294989</v>
      </c>
      <c r="BN271" s="0" t="n">
        <f aca="false">(H271+D271)*180/Pi</f>
        <v>-174.343043369329</v>
      </c>
      <c r="BQ271" s="347" t="n">
        <f aca="false">20*LOG(BA271*7)</f>
        <v>40.3236264481958</v>
      </c>
      <c r="BR271" s="353"/>
      <c r="BS271" s="353"/>
      <c r="BT271" s="353" t="n">
        <v>40738.028</v>
      </c>
      <c r="BU271" s="353" t="n">
        <v>-0.803654</v>
      </c>
      <c r="BV271" s="353" t="n">
        <v>-142.314</v>
      </c>
      <c r="BY271" s="353"/>
      <c r="BZ271" s="353"/>
      <c r="CA271" s="353"/>
      <c r="CC271" s="353"/>
    </row>
    <row r="272" customFormat="false" ht="12.75" hidden="false" customHeight="false" outlineLevel="0" collapsed="false">
      <c r="A272" s="0" t="n">
        <f aca="false">A271+5000</f>
        <v>290000</v>
      </c>
      <c r="B272" s="0" t="n">
        <f aca="false">A272/1000</f>
        <v>290</v>
      </c>
      <c r="C272" s="0" t="n">
        <f aca="false">SQRT((A272/Fesr)^2+1)</f>
        <v>1.00000166006608</v>
      </c>
      <c r="D272" s="0" t="n">
        <f aca="false">ATAN(A272/Fesr)</f>
        <v>0.00182212172043847</v>
      </c>
      <c r="F272" s="0" t="n">
        <f aca="false">(Ro/(Ro+Rdcr))/SQRT((A272/(Q*Fo))^2+(1-(A272^2/Fo^2))^2)</f>
        <v>0.0225455998830517</v>
      </c>
      <c r="G272" s="0" t="n">
        <f aca="false">-ATAN(A272*Fo/(Q*(Fo^2-A272^2)))</f>
        <v>0.0952040851579775</v>
      </c>
      <c r="H272" s="0" t="n">
        <f aca="false">IF(G272&gt;0,G272-Pi,G272)</f>
        <v>-3.04638856484202</v>
      </c>
      <c r="J272" s="0" t="n">
        <f aca="false">Vin/Vramp</f>
        <v>9</v>
      </c>
      <c r="M272" s="0" t="n">
        <f aca="false">1/(2*Pi*_Rfb1*(Cc1ea_u+Cc2ea_u)*A272)</f>
        <v>0.0203263018229574</v>
      </c>
      <c r="N272" s="0" t="n">
        <f aca="false">-Pi/2</f>
        <v>-1.570796325</v>
      </c>
      <c r="O272" s="0" t="n">
        <f aca="false">SQRT(1+(A272/Fz1_u)^2)</f>
        <v>7.15464642713924</v>
      </c>
      <c r="P272" s="0" t="n">
        <f aca="false">ATAN2(Fz1_u,A272)</f>
        <v>1.43056789200892</v>
      </c>
      <c r="Q272" s="0" t="n">
        <f aca="false">SQRT(1+(A272/Fz2_u)^2)</f>
        <v>8038.8309881048</v>
      </c>
      <c r="R272" s="0" t="n">
        <f aca="false">ATAN2(Fz2_u,A272)</f>
        <v>1.57067193059798</v>
      </c>
      <c r="S272" s="0" t="n">
        <f aca="false">1/SQRT(1+(A272/Fp1_u)^2)</f>
        <v>0.0464905645177638</v>
      </c>
      <c r="T272" s="0" t="n">
        <f aca="false">-ATAN2(Fp1_u,A272)</f>
        <v>-1.52428899872885</v>
      </c>
      <c r="U272" s="0" t="n">
        <f aca="false">1/SQRT(1+(A272/Fp2_u)^2)</f>
        <v>0.785767126687943</v>
      </c>
      <c r="V272" s="0" t="n">
        <f aca="false">-ATAN2(Fp2_u,A272)</f>
        <v>-0.666860918167902</v>
      </c>
      <c r="X272" s="0" t="n">
        <f aca="false">20*LOG(C272*J272*O272*Q272*F272*M272*S272*U272)</f>
        <v>18.7560629111392</v>
      </c>
      <c r="Y272" s="0" t="n">
        <f aca="false">(180/Pi)*(D272+H272+N272+P272+R272+T272+V272)</f>
        <v>-218.026075160972</v>
      </c>
      <c r="Z272" s="0" t="n">
        <f aca="false">Y272+180</f>
        <v>-38.0260751609724</v>
      </c>
      <c r="AC272" s="0" t="n">
        <v>1</v>
      </c>
      <c r="AD272" s="0" t="n">
        <f aca="false">Rcea1_u*Cc1ea_u*A272*2*Pi</f>
        <v>7.084417089456</v>
      </c>
      <c r="AE272" s="0" t="n">
        <f aca="false">-Rcea1_u*Cc1ea_u*Cc2ea_u*(A272*2*Pi)^2</f>
        <v>-0.00193630268122593</v>
      </c>
      <c r="AF272" s="0" t="n">
        <f aca="false">(Cc2ea_u+Cc1ea_u)*A272*2*Pi</f>
        <v>0.00245986704495</v>
      </c>
      <c r="AG272" s="0" t="n">
        <f aca="false">AC272*AE272/(AE272^2+AF272^2)+AD272*AF272/(AE272^2+AF272^2)</f>
        <v>1580.62074210157</v>
      </c>
      <c r="AH272" s="0" t="n">
        <f aca="false">AD272*AE272/(AE272^2+AF272^2)-AC272*AF272/(AE272^2+AF272^2)</f>
        <v>-1650.72343615837</v>
      </c>
      <c r="AJ272" s="0" t="n">
        <f aca="false">_Rfb1</f>
        <v>20000</v>
      </c>
      <c r="AK272" s="0" t="n">
        <f aca="false">_Rfb1*Rcea2_u*Cc3ea_u*A272*2*Pi</f>
        <v>429729.66213408</v>
      </c>
      <c r="AL272" s="0" t="n">
        <v>1</v>
      </c>
      <c r="AM272" s="0" t="n">
        <f aca="false">(_Rfb1+Rcea2_u)*Cc3ea_u*A272*2*Pi</f>
        <v>8038.8309259067</v>
      </c>
      <c r="AN272" s="0" t="n">
        <f aca="false">AJ272*AL272/(AL272^2+AM272^2)+AK272*AM272/(AL272^2+AM272^2)</f>
        <v>53.4570446087232</v>
      </c>
      <c r="AO272" s="0" t="n">
        <f aca="false">AK272*AL272/(AL272^2+AM272^2)-AJ272*AM272/(AL272^2+AM272^2)</f>
        <v>-2.48127409809176</v>
      </c>
      <c r="AQ272" s="0" t="n">
        <f aca="false">Eadcg/(1+(Eadcg*A272/GBP)^2)</f>
        <v>0.135371127459413</v>
      </c>
      <c r="AR272" s="0" t="n">
        <f aca="false">-(A272*Eadcg*Eadcg/GBP)/(1+(Eadcg*A272/GBP)^2)</f>
        <v>-20.6887694096221</v>
      </c>
      <c r="AT272" s="0" t="n">
        <f aca="false">-AR272*AH272+AG272*AQ272</f>
        <v>-33937.4661177954</v>
      </c>
      <c r="AU272" s="0" t="n">
        <f aca="false">AQ272*AH272+AG272*AR272</f>
        <v>-32924.5583500815</v>
      </c>
      <c r="AV272" s="0" t="n">
        <f aca="false">ATAN2(AT272,AU272)</f>
        <v>-2.37134255517158</v>
      </c>
      <c r="AW272" s="0" t="n">
        <f aca="false">AG272-AH272*AO272/_Rfb2+AG272*AN272/_Rfb2+AN272-AO272*AR272+AQ272*AN272</f>
        <v>1626.15955674877</v>
      </c>
      <c r="AX272" s="0" t="n">
        <f aca="false">AH272+AH272*AN272/_Rfb2+AG272*AO272/_Rfb2+AO272+AO272*AQ272+AN272*AR272</f>
        <v>-2800.97520970976</v>
      </c>
      <c r="AY272" s="0" t="n">
        <f aca="false">ATAN2(AW272,AX272)</f>
        <v>-1.04478681953589</v>
      </c>
      <c r="BA272" s="0" t="n">
        <f aca="false">SQRT(AT272^2+AU272^2)/SQRT(AW272^2+AX272^2)</f>
        <v>14.5992171766919</v>
      </c>
      <c r="BB272" s="0" t="n">
        <f aca="false">20*LOG(BA272)</f>
        <v>23.2865913828699</v>
      </c>
      <c r="BC272" s="0" t="n">
        <f aca="false">AV272-AY272</f>
        <v>-1.32655573563569</v>
      </c>
      <c r="BD272" s="0" t="n">
        <f aca="false">BC272*180/Pi-180</f>
        <v>-256.006045027647</v>
      </c>
      <c r="BF272" s="0" t="n">
        <f aca="false">20*LOG(BA272*J272*F272*C272)</f>
        <v>9.43269189691657</v>
      </c>
      <c r="BG272" s="0" t="n">
        <f aca="false">(180/Pi)*(D272+H272+BC272)</f>
        <v>-250.446852864998</v>
      </c>
      <c r="BH272" s="0" t="n">
        <f aca="false">IF(BG272&gt;180,BG272-180,BG272+180)</f>
        <v>-70.446852864998</v>
      </c>
      <c r="BI272" s="0" t="n">
        <f aca="false">IF(BH272&gt;180,BH272-360,BH272)</f>
        <v>-70.446852864998</v>
      </c>
      <c r="BJ272" s="0" t="n">
        <f aca="false">SUM((BF273&lt;0)*(BF272&gt;0))*A272</f>
        <v>0</v>
      </c>
      <c r="BK272" s="0" t="n">
        <f aca="false">IF(BJ272&gt;0,BI272,0)</f>
        <v>0</v>
      </c>
      <c r="BM272" s="0" t="n">
        <f aca="false">20*LOG(J272*F272*C272)</f>
        <v>-13.8538994859533</v>
      </c>
      <c r="BN272" s="0" t="n">
        <f aca="false">(H272+D272)*180/Pi</f>
        <v>-174.440807837351</v>
      </c>
      <c r="BQ272" s="347" t="n">
        <f aca="false">20*LOG(BA272*7)</f>
        <v>40.1885521831551</v>
      </c>
      <c r="BR272" s="353"/>
      <c r="BS272" s="353"/>
      <c r="BT272" s="353" t="n">
        <v>41686.938</v>
      </c>
      <c r="BU272" s="353" t="n">
        <v>-0.666377</v>
      </c>
      <c r="BV272" s="353" t="n">
        <v>-141.465</v>
      </c>
      <c r="BY272" s="353"/>
      <c r="BZ272" s="353"/>
      <c r="CA272" s="353"/>
      <c r="CC272" s="353"/>
    </row>
    <row r="273" customFormat="false" ht="12.75" hidden="false" customHeight="false" outlineLevel="0" collapsed="false">
      <c r="A273" s="0" t="n">
        <f aca="false">A272+5000</f>
        <v>295000</v>
      </c>
      <c r="B273" s="0" t="n">
        <f aca="false">A273/1000</f>
        <v>295</v>
      </c>
      <c r="C273" s="0" t="n">
        <f aca="false">SQRT((A273/Fesr)^2+1)</f>
        <v>1.00000171780317</v>
      </c>
      <c r="D273" s="0" t="n">
        <f aca="false">ATAN(A273/Fesr)</f>
        <v>0.00185353754082502</v>
      </c>
      <c r="F273" s="0" t="n">
        <f aca="false">(Ro/(Ro+Rdcr))/SQRT((A273/(Q*Fo))^2+(1-(A273^2/Fo^2))^2)</f>
        <v>0.0217745718624191</v>
      </c>
      <c r="G273" s="0" t="n">
        <f aca="false">-ATAN(A273*Fo/(Q*(Fo^2-A273^2)))</f>
        <v>0.0935286206476335</v>
      </c>
      <c r="H273" s="0" t="n">
        <f aca="false">IF(G273&gt;0,G273-Pi,G273)</f>
        <v>-3.04806402935237</v>
      </c>
      <c r="J273" s="0" t="n">
        <f aca="false">Vin/Vramp</f>
        <v>9</v>
      </c>
      <c r="M273" s="0" t="n">
        <f aca="false">1/(2*Pi*_Rfb1*(Cc1ea_u+Cc2ea_u)*A273)</f>
        <v>0.0199817882327378</v>
      </c>
      <c r="N273" s="0" t="n">
        <f aca="false">-Pi/2</f>
        <v>-1.570796325</v>
      </c>
      <c r="O273" s="0" t="n">
        <f aca="false">SQRT(1+(A273/Fz1_u)^2)</f>
        <v>7.27561261413288</v>
      </c>
      <c r="P273" s="0" t="n">
        <f aca="false">ATAN2(Fz1_u,A273)</f>
        <v>1.43291438241758</v>
      </c>
      <c r="Q273" s="0" t="n">
        <f aca="false">SQRT(1+(A273/Fz2_u)^2)</f>
        <v>8177.43152025589</v>
      </c>
      <c r="R273" s="0" t="n">
        <f aca="false">ATAN2(Fz2_u,A273)</f>
        <v>1.57067403900808</v>
      </c>
      <c r="S273" s="0" t="n">
        <f aca="false">1/SQRT(1+(A273/Fp1_u)^2)</f>
        <v>0.0457042489926851</v>
      </c>
      <c r="T273" s="0" t="n">
        <f aca="false">-ATAN2(Fp1_u,A273)</f>
        <v>-1.52507615105703</v>
      </c>
      <c r="U273" s="0" t="n">
        <f aca="false">1/SQRT(1+(A273/Fp2_u)^2)</f>
        <v>0.780591095249406</v>
      </c>
      <c r="V273" s="0" t="n">
        <f aca="false">-ATAN2(Fp2_u,A273)</f>
        <v>-0.675185378407054</v>
      </c>
      <c r="X273" s="0" t="n">
        <f aca="false">20*LOG(C273*J273*O273*Q273*F273*M273*S273*U273)</f>
        <v>18.3938776983681</v>
      </c>
      <c r="Y273" s="0" t="n">
        <f aca="false">(180/Pi)*(D273+H273+N273+P273+R273+T273+V273)</f>
        <v>-218.507764357354</v>
      </c>
      <c r="Z273" s="0" t="n">
        <f aca="false">Y273+180</f>
        <v>-38.5077643573539</v>
      </c>
      <c r="AC273" s="0" t="n">
        <v>1</v>
      </c>
      <c r="AD273" s="0" t="n">
        <f aca="false">Rcea1_u*Cc1ea_u*A273*2*Pi</f>
        <v>7.206562211688</v>
      </c>
      <c r="AE273" s="0" t="n">
        <f aca="false">-Rcea1_u*Cc1ea_u*Cc2ea_u*(A273*2*Pi)^2</f>
        <v>-0.0020036473345266</v>
      </c>
      <c r="AF273" s="0" t="n">
        <f aca="false">(Cc2ea_u+Cc1ea_u)*A273*2*Pi</f>
        <v>0.002502278545725</v>
      </c>
      <c r="AG273" s="0" t="n">
        <f aca="false">AC273*AE273/(AE273^2+AF273^2)+AD273*AF273/(AE273^2+AF273^2)</f>
        <v>1559.86549243563</v>
      </c>
      <c r="AH273" s="0" t="n">
        <f aca="false">AD273*AE273/(AE273^2+AF273^2)-AC273*AF273/(AE273^2+AF273^2)</f>
        <v>-1648.66551055505</v>
      </c>
      <c r="AJ273" s="0" t="n">
        <f aca="false">_Rfb1</f>
        <v>20000</v>
      </c>
      <c r="AK273" s="0" t="n">
        <f aca="false">_Rfb1*Rcea2_u*Cc3ea_u*A273*2*Pi</f>
        <v>437138.79423984</v>
      </c>
      <c r="AL273" s="0" t="n">
        <v>1</v>
      </c>
      <c r="AM273" s="0" t="n">
        <f aca="false">(_Rfb1+Rcea2_u)*Cc3ea_u*A273*2*Pi</f>
        <v>8177.43145911199</v>
      </c>
      <c r="AN273" s="0" t="n">
        <f aca="false">AJ273*AL273/(AL273^2+AM273^2)+AK273*AM273/(AL273^2+AM273^2)</f>
        <v>53.4570342343067</v>
      </c>
      <c r="AO273" s="0" t="n">
        <f aca="false">AK273*AL273/(AL273^2+AM273^2)-AJ273*AM273/(AL273^2+AM273^2)</f>
        <v>-2.43921860617243</v>
      </c>
      <c r="AQ273" s="0" t="n">
        <f aca="false">Eadcg/(1+(Eadcg*A273/GBP)^2)</f>
        <v>0.130821352501042</v>
      </c>
      <c r="AR273" s="0" t="n">
        <f aca="false">-(A273*Eadcg*Eadcg/GBP)/(1+(Eadcg*A273/GBP)^2)</f>
        <v>-20.3381415665745</v>
      </c>
      <c r="AT273" s="0" t="n">
        <f aca="false">-AR273*AH273+AG273*AQ273</f>
        <v>-33326.7288361573</v>
      </c>
      <c r="AU273" s="0" t="n">
        <f aca="false">AQ273*AH273+AG273*AR273</f>
        <v>-31940.4458618828</v>
      </c>
      <c r="AV273" s="0" t="n">
        <f aca="false">ATAN2(AT273,AU273)</f>
        <v>-2.3774314223334</v>
      </c>
      <c r="AW273" s="0" t="n">
        <f aca="false">AG273-AH273*AO273/_Rfb2+AG273*AN273/_Rfb2+AN273-AO273*AR273+AQ273*AN273</f>
        <v>1606.42062221361</v>
      </c>
      <c r="AX273" s="0" t="n">
        <f aca="false">AH273+AH273*AN273/_Rfb2+AG273*AO273/_Rfb2+AO273+AO273*AQ273+AN273*AR273</f>
        <v>-2780.0124907318</v>
      </c>
      <c r="AY273" s="0" t="n">
        <f aca="false">ATAN2(AW273,AX273)</f>
        <v>-1.04682542179226</v>
      </c>
      <c r="BA273" s="0" t="n">
        <f aca="false">SQRT(AT273^2+AU273^2)/SQRT(AW273^2+AX273^2)</f>
        <v>14.3770007170429</v>
      </c>
      <c r="BB273" s="0" t="n">
        <f aca="false">20*LOG(BA273)</f>
        <v>23.1533658879781</v>
      </c>
      <c r="BC273" s="0" t="n">
        <f aca="false">AV273-AY273</f>
        <v>-1.33060600054114</v>
      </c>
      <c r="BD273" s="0" t="n">
        <f aca="false">BC273*180/Pi-180</f>
        <v>-256.238108112904</v>
      </c>
      <c r="BF273" s="0" t="n">
        <f aca="false">20*LOG(BA273*J273*F273*C273)</f>
        <v>8.99722348833836</v>
      </c>
      <c r="BG273" s="0" t="n">
        <f aca="false">(180/Pi)*(D273+H273+BC273)</f>
        <v>-250.773113001611</v>
      </c>
      <c r="BH273" s="0" t="n">
        <f aca="false">IF(BG273&gt;180,BG273-180,BG273+180)</f>
        <v>-70.7731130016115</v>
      </c>
      <c r="BI273" s="0" t="n">
        <f aca="false">IF(BH273&gt;180,BH273-360,BH273)</f>
        <v>-70.7731130016115</v>
      </c>
      <c r="BJ273" s="0" t="n">
        <f aca="false">SUM((BF274&lt;0)*(BF273&gt;0))*A273</f>
        <v>0</v>
      </c>
      <c r="BK273" s="0" t="n">
        <f aca="false">IF(BJ273&gt;0,BI273,0)</f>
        <v>0</v>
      </c>
      <c r="BM273" s="0" t="n">
        <f aca="false">20*LOG(J273*F273*C273)</f>
        <v>-14.1561423996397</v>
      </c>
      <c r="BN273" s="0" t="n">
        <f aca="false">(H273+D273)*180/Pi</f>
        <v>-174.535004888708</v>
      </c>
      <c r="BQ273" s="347" t="n">
        <f aca="false">20*LOG(BA273*7)</f>
        <v>40.0553266882632</v>
      </c>
      <c r="BR273" s="353"/>
      <c r="BS273" s="353"/>
      <c r="BT273" s="353" t="n">
        <v>42657.952</v>
      </c>
      <c r="BU273" s="353" t="n">
        <v>-0.551823</v>
      </c>
      <c r="BV273" s="353" t="n">
        <v>-140.391</v>
      </c>
      <c r="BY273" s="353"/>
      <c r="BZ273" s="353"/>
      <c r="CA273" s="353"/>
      <c r="CC273" s="353"/>
    </row>
    <row r="274" customFormat="false" ht="12.75" hidden="false" customHeight="false" outlineLevel="0" collapsed="false">
      <c r="A274" s="0" t="n">
        <f aca="false">A273+5000</f>
        <v>300000</v>
      </c>
      <c r="B274" s="0" t="n">
        <f aca="false">A274/1000</f>
        <v>300</v>
      </c>
      <c r="C274" s="0" t="n">
        <f aca="false">SQRT((A274/Fesr)^2+1)</f>
        <v>1.00000177652721</v>
      </c>
      <c r="D274" s="0" t="n">
        <f aca="false">ATAN(A274/Fesr)</f>
        <v>0.00188495335755285</v>
      </c>
      <c r="F274" s="0" t="n">
        <f aca="false">(Ro/(Ro+Rdcr))/SQRT((A274/(Q*Fo))^2+(1-(A274^2/Fo^2))^2)</f>
        <v>0.0210426374237102</v>
      </c>
      <c r="G274" s="0" t="n">
        <f aca="false">-ATAN(A274*Fo/(Q*(Fo^2-A274^2)))</f>
        <v>0.0919120822550804</v>
      </c>
      <c r="H274" s="0" t="n">
        <f aca="false">IF(G274&gt;0,G274-Pi,G274)</f>
        <v>-3.04968056774492</v>
      </c>
      <c r="J274" s="0" t="n">
        <f aca="false">Vin/Vramp</f>
        <v>9</v>
      </c>
      <c r="M274" s="0" t="n">
        <f aca="false">1/(2*Pi*_Rfb1*(Cc1ea_u+Cc2ea_u)*A274)</f>
        <v>0.0196487584288588</v>
      </c>
      <c r="N274" s="0" t="n">
        <f aca="false">-Pi/2</f>
        <v>-1.570796325</v>
      </c>
      <c r="O274" s="0" t="n">
        <f aca="false">SQRT(1+(A274/Fz1_u)^2)</f>
        <v>7.39661755035724</v>
      </c>
      <c r="P274" s="0" t="n">
        <f aca="false">ATAN2(Fz1_u,A274)</f>
        <v>1.43518411018339</v>
      </c>
      <c r="Q274" s="0" t="n">
        <f aca="false">SQRT(1+(A274/Fz2_u)^2)</f>
        <v>8316.03205244211</v>
      </c>
      <c r="R274" s="0" t="n">
        <f aca="false">ATAN2(Fz2_u,A274)</f>
        <v>1.57067607713784</v>
      </c>
      <c r="S274" s="0" t="n">
        <f aca="false">1/SQRT(1+(A274/Fp1_u)^2)</f>
        <v>0.0449440632083613</v>
      </c>
      <c r="T274" s="0" t="n">
        <f aca="false">-ATAN2(Fp1_u,A274)</f>
        <v>-1.5258371188818</v>
      </c>
      <c r="U274" s="0" t="n">
        <f aca="false">1/SQRT(1+(A274/Fp2_u)^2)</f>
        <v>0.775430126741773</v>
      </c>
      <c r="V274" s="0" t="n">
        <f aca="false">-ATAN2(Fp2_u,A274)</f>
        <v>-0.68340032541922</v>
      </c>
      <c r="X274" s="0" t="n">
        <f aca="false">20*LOG(C274*J274*O274*Q274*F274*M274*S274*U274)</f>
        <v>18.0368577450622</v>
      </c>
      <c r="Y274" s="0" t="n">
        <f aca="false">(180/Pi)*(D274+H274+N274+P274+R274+T274+V274)</f>
        <v>-218.982704631069</v>
      </c>
      <c r="Z274" s="0" t="n">
        <f aca="false">Y274+180</f>
        <v>-38.9827046310695</v>
      </c>
      <c r="AC274" s="0" t="n">
        <v>1</v>
      </c>
      <c r="AD274" s="0" t="n">
        <f aca="false">Rcea1_u*Cc1ea_u*A274*2*Pi</f>
        <v>7.32870733392</v>
      </c>
      <c r="AE274" s="0" t="n">
        <f aca="false">-Rcea1_u*Cc1ea_u*Cc2ea_u*(A274*2*Pi)^2</f>
        <v>-0.00207214317848197</v>
      </c>
      <c r="AF274" s="0" t="n">
        <f aca="false">(Cc2ea_u+Cc1ea_u)*A274*2*Pi</f>
        <v>0.0025446900465</v>
      </c>
      <c r="AG274" s="0" t="n">
        <f aca="false">AC274*AE274/(AE274^2+AF274^2)+AD274*AF274/(AE274^2+AF274^2)</f>
        <v>1539.30721653443</v>
      </c>
      <c r="AH274" s="0" t="n">
        <f aca="false">AD274*AE274/(AE274^2+AF274^2)-AC274*AF274/(AE274^2+AF274^2)</f>
        <v>-1646.43428935183</v>
      </c>
      <c r="AJ274" s="0" t="n">
        <f aca="false">_Rfb1</f>
        <v>20000</v>
      </c>
      <c r="AK274" s="0" t="n">
        <f aca="false">_Rfb1*Rcea2_u*Cc3ea_u*A274*2*Pi</f>
        <v>444547.9263456</v>
      </c>
      <c r="AL274" s="0" t="n">
        <v>1</v>
      </c>
      <c r="AM274" s="0" t="n">
        <f aca="false">(_Rfb1+Rcea2_u)*Cc3ea_u*A274*2*Pi</f>
        <v>8316.03199231728</v>
      </c>
      <c r="AN274" s="0" t="n">
        <f aca="false">AJ274*AL274/(AL274^2+AM274^2)+AK274*AM274/(AL274^2+AM274^2)</f>
        <v>53.457024374276</v>
      </c>
      <c r="AO274" s="0" t="n">
        <f aca="false">AK274*AL274/(AL274^2+AM274^2)-AJ274*AM274/(AL274^2+AM274^2)</f>
        <v>-2.39856496392188</v>
      </c>
      <c r="AQ274" s="0" t="n">
        <f aca="false">Eadcg/(1+(Eadcg*A274/GBP)^2)</f>
        <v>0.126497153013949</v>
      </c>
      <c r="AR274" s="0" t="n">
        <f aca="false">-(A274*Eadcg*Eadcg/GBP)/(1+(Eadcg*A274/GBP)^2)</f>
        <v>-19.9991998915053</v>
      </c>
      <c r="AT274" s="0" t="n">
        <f aca="false">-AR274*AH274+AG274*AQ274</f>
        <v>-32732.6504804702</v>
      </c>
      <c r="AU274" s="0" t="n">
        <f aca="false">AQ274*AH274+AG274*AR274</f>
        <v>-30993.1819681363</v>
      </c>
      <c r="AV274" s="0" t="n">
        <f aca="false">ATAN2(AT274,AU274)</f>
        <v>-2.38348384248378</v>
      </c>
      <c r="AW274" s="0" t="n">
        <f aca="false">AG274-AH274*AO274/_Rfb2+AG274*AN274/_Rfb2+AN274-AO274*AR274+AQ274*AN274</f>
        <v>1586.80898884079</v>
      </c>
      <c r="AX274" s="0" t="n">
        <f aca="false">AH274+AH274*AN274/_Rfb2+AG274*AO274/_Rfb2+AO274+AO274*AQ274+AN274*AR274</f>
        <v>-2759.50150485389</v>
      </c>
      <c r="AY274" s="0" t="n">
        <f aca="false">ATAN2(AW274,AX274)</f>
        <v>-1.04893600511781</v>
      </c>
      <c r="BA274" s="0" t="n">
        <f aca="false">SQRT(AT274^2+AU274^2)/SQRT(AW274^2+AX274^2)</f>
        <v>14.161109242729</v>
      </c>
      <c r="BB274" s="0" t="n">
        <f aca="false">20*LOG(BA274)</f>
        <v>23.0219454613243</v>
      </c>
      <c r="BC274" s="0" t="n">
        <f aca="false">AV274-AY274</f>
        <v>-1.33454783736598</v>
      </c>
      <c r="BD274" s="0" t="n">
        <f aca="false">BC274*180/Pi-180</f>
        <v>-256.463958726755</v>
      </c>
      <c r="BF274" s="0" t="n">
        <f aca="false">20*LOG(BA274*J274*F274*C274)</f>
        <v>8.56881452313013</v>
      </c>
      <c r="BG274" s="0" t="n">
        <f aca="false">(180/Pi)*(D274+H274+BC274)</f>
        <v>-251.089784449172</v>
      </c>
      <c r="BH274" s="0" t="n">
        <f aca="false">IF(BG274&gt;180,BG274-180,BG274+180)</f>
        <v>-71.0897844491716</v>
      </c>
      <c r="BI274" s="0" t="n">
        <f aca="false">IF(BH274&gt;180,BH274-360,BH274)</f>
        <v>-71.0897844491716</v>
      </c>
      <c r="BJ274" s="0" t="n">
        <f aca="false">SUM((BF275&lt;0)*(BF274&gt;0))*A274</f>
        <v>0</v>
      </c>
      <c r="BK274" s="0" t="n">
        <f aca="false">IF(BJ274&gt;0,BI274,0)</f>
        <v>0</v>
      </c>
      <c r="BM274" s="0" t="n">
        <f aca="false">20*LOG(J274*F274*C274)</f>
        <v>-14.4531309381942</v>
      </c>
      <c r="BN274" s="0" t="n">
        <f aca="false">(H274+D274)*180/Pi</f>
        <v>-174.625825722417</v>
      </c>
      <c r="BQ274" s="347" t="n">
        <f aca="false">20*LOG(BA274*7)</f>
        <v>39.9239062616094</v>
      </c>
      <c r="BR274" s="353"/>
      <c r="BS274" s="353"/>
      <c r="BT274" s="353" t="n">
        <v>43651.583</v>
      </c>
      <c r="BU274" s="353" t="n">
        <v>-0.430712</v>
      </c>
      <c r="BV274" s="353" t="n">
        <v>-139.065</v>
      </c>
      <c r="BY274" s="353"/>
      <c r="BZ274" s="353"/>
      <c r="CA274" s="353"/>
      <c r="CC274" s="353"/>
    </row>
    <row r="275" customFormat="false" ht="12.75" hidden="false" customHeight="false" outlineLevel="0" collapsed="false">
      <c r="A275" s="0" t="n">
        <f aca="false">A274+5000</f>
        <v>305000</v>
      </c>
      <c r="B275" s="0" t="n">
        <f aca="false">A275/1000</f>
        <v>305</v>
      </c>
      <c r="C275" s="0" t="n">
        <f aca="false">SQRT((A275/Fesr)^2+1)</f>
        <v>1.00000183623821</v>
      </c>
      <c r="D275" s="0" t="n">
        <f aca="false">ATAN(A275/Fesr)</f>
        <v>0.00191636917055995</v>
      </c>
      <c r="F275" s="0" t="n">
        <f aca="false">(Ro/(Ro+Rdcr))/SQRT((A275/(Q*Fo))^2+(1-(A275^2/Fo^2))^2)</f>
        <v>0.0203471846749932</v>
      </c>
      <c r="G275" s="0" t="n">
        <f aca="false">-ATAN(A275*Fo/(Q*(Fo^2-A275^2)))</f>
        <v>0.0903513701910667</v>
      </c>
      <c r="H275" s="0" t="n">
        <f aca="false">IF(G275&gt;0,G275-Pi,G275)</f>
        <v>-3.05124127980893</v>
      </c>
      <c r="J275" s="0" t="n">
        <f aca="false">Vin/Vramp</f>
        <v>9</v>
      </c>
      <c r="M275" s="0" t="n">
        <f aca="false">1/(2*Pi*_Rfb1*(Cc1ea_u+Cc2ea_u)*A275)</f>
        <v>0.0193266476349431</v>
      </c>
      <c r="N275" s="0" t="n">
        <f aca="false">-Pi/2</f>
        <v>-1.570796325</v>
      </c>
      <c r="O275" s="0" t="n">
        <f aca="false">SQRT(1+(A275/Fz1_u)^2)</f>
        <v>7.51765936467903</v>
      </c>
      <c r="P275" s="0" t="n">
        <f aca="false">ATAN2(Fz1_u,A275)</f>
        <v>1.43738075920194</v>
      </c>
      <c r="Q275" s="0" t="n">
        <f aca="false">SQRT(1+(A275/Fz2_u)^2)</f>
        <v>8454.63258466174</v>
      </c>
      <c r="R275" s="0" t="n">
        <f aca="false">ATAN2(Fz2_u,A275)</f>
        <v>1.57067804844367</v>
      </c>
      <c r="S275" s="0" t="n">
        <f aca="false">1/SQRT(1+(A275/Fp1_u)^2)</f>
        <v>0.0442087272497933</v>
      </c>
      <c r="T275" s="0" t="n">
        <f aca="false">-ATAN2(Fp1_u,A275)</f>
        <v>-1.52657318652416</v>
      </c>
      <c r="U275" s="0" t="n">
        <f aca="false">1/SQRT(1+(A275/Fp2_u)^2)</f>
        <v>0.770285993440108</v>
      </c>
      <c r="V275" s="0" t="n">
        <f aca="false">-ATAN2(Fp2_u,A275)</f>
        <v>-0.691506819064852</v>
      </c>
      <c r="X275" s="0" t="n">
        <f aca="false">20*LOG(C275*J275*O275*Q275*F275*M275*S275*U275)</f>
        <v>17.6848311532062</v>
      </c>
      <c r="Y275" s="0" t="n">
        <f aca="false">(180/Pi)*(D275+H275+N275+P275+R275+T275+V275)</f>
        <v>-219.450996628961</v>
      </c>
      <c r="Z275" s="0" t="n">
        <f aca="false">Y275+180</f>
        <v>-39.4509966289612</v>
      </c>
      <c r="AC275" s="0" t="n">
        <v>1</v>
      </c>
      <c r="AD275" s="0" t="n">
        <f aca="false">Rcea1_u*Cc1ea_u*A275*2*Pi</f>
        <v>7.450852456152</v>
      </c>
      <c r="AE275" s="0" t="n">
        <f aca="false">-Rcea1_u*Cc1ea_u*Cc2ea_u*(A275*2*Pi)^2</f>
        <v>-0.00214179021309206</v>
      </c>
      <c r="AF275" s="0" t="n">
        <f aca="false">(Cc2ea_u+Cc1ea_u)*A275*2*Pi</f>
        <v>0.002587101547275</v>
      </c>
      <c r="AG275" s="0" t="n">
        <f aca="false">AC275*AE275/(AE275^2+AF275^2)+AD275*AF275/(AE275^2+AF275^2)</f>
        <v>1518.95170992643</v>
      </c>
      <c r="AH275" s="0" t="n">
        <f aca="false">AD275*AE275/(AE275^2+AF275^2)-AC275*AF275/(AE275^2+AF275^2)</f>
        <v>-1644.0312947746</v>
      </c>
      <c r="AJ275" s="0" t="n">
        <f aca="false">_Rfb1</f>
        <v>20000</v>
      </c>
      <c r="AK275" s="0" t="n">
        <f aca="false">_Rfb1*Rcea2_u*Cc3ea_u*A275*2*Pi</f>
        <v>451957.05845136</v>
      </c>
      <c r="AL275" s="0" t="n">
        <v>1</v>
      </c>
      <c r="AM275" s="0" t="n">
        <f aca="false">(_Rfb1+Rcea2_u)*Cc3ea_u*A275*2*Pi</f>
        <v>8454.63252552257</v>
      </c>
      <c r="AN275" s="0" t="n">
        <f aca="false">AJ275*AL275/(AL275^2+AM275^2)+AK275*AM275/(AL275^2+AM275^2)</f>
        <v>53.457014995179</v>
      </c>
      <c r="AO275" s="0" t="n">
        <f aca="false">AK275*AL275/(AL275^2+AM275^2)-AJ275*AM275/(AL275^2+AM275^2)</f>
        <v>-2.35924422791775</v>
      </c>
      <c r="AQ275" s="0" t="n">
        <f aca="false">Eadcg/(1+(Eadcg*A275/GBP)^2)</f>
        <v>0.122383860056014</v>
      </c>
      <c r="AR275" s="0" t="n">
        <f aca="false">-(A275*Eadcg*Eadcg/GBP)/(1+(Eadcg*A275/GBP)^2)</f>
        <v>-19.6713697461035</v>
      </c>
      <c r="AT275" s="0" t="n">
        <f aca="false">-AR275*AH275+AG275*AQ275</f>
        <v>-32154.4523001769</v>
      </c>
      <c r="AU275" s="0" t="n">
        <f aca="false">AQ275*AH275+AG275*AR275</f>
        <v>-30081.0636083464</v>
      </c>
      <c r="AV275" s="0" t="n">
        <f aca="false">ATAN2(AT275,AU275)</f>
        <v>-2.38949737336949</v>
      </c>
      <c r="AW275" s="0" t="n">
        <f aca="false">AG275-AH275*AO275/_Rfb2+AG275*AN275/_Rfb2+AN275-AO275*AR275+AQ275*AN275</f>
        <v>1567.33541408137</v>
      </c>
      <c r="AX275" s="0" t="n">
        <f aca="false">AH275+AH275*AN275/_Rfb2+AG275*AO275/_Rfb2+AO275+AO275*AQ275+AN275*AR275</f>
        <v>-2739.41284254526</v>
      </c>
      <c r="AY275" s="0" t="n">
        <f aca="false">ATAN2(AW275,AX275)</f>
        <v>-1.05111193774287</v>
      </c>
      <c r="BA275" s="0" t="n">
        <f aca="false">SQRT(AT275^2+AU275^2)/SQRT(AW275^2+AX275^2)</f>
        <v>13.9512905323616</v>
      </c>
      <c r="BB275" s="0" t="n">
        <f aca="false">20*LOG(BA275)</f>
        <v>22.892287657798</v>
      </c>
      <c r="BC275" s="0" t="n">
        <f aca="false">AV275-AY275</f>
        <v>-1.33838543562661</v>
      </c>
      <c r="BD275" s="0" t="n">
        <f aca="false">BC275*180/Pi-180</f>
        <v>-256.683836910807</v>
      </c>
      <c r="BF275" s="0" t="n">
        <f aca="false">20*LOG(BA275*J275*F275*C275)</f>
        <v>8.14724033280921</v>
      </c>
      <c r="BG275" s="0" t="n">
        <f aca="false">(180/Pi)*(D275+H275+BC275)</f>
        <v>-251.397284854132</v>
      </c>
      <c r="BH275" s="0" t="n">
        <f aca="false">IF(BG275&gt;180,BG275-180,BG275+180)</f>
        <v>-71.397284854132</v>
      </c>
      <c r="BI275" s="0" t="n">
        <f aca="false">IF(BH275&gt;180,BH275-360,BH275)</f>
        <v>-71.397284854132</v>
      </c>
      <c r="BJ275" s="0" t="n">
        <f aca="false">SUM((BF276&lt;0)*(BF275&gt;0))*A275</f>
        <v>0</v>
      </c>
      <c r="BK275" s="0" t="n">
        <f aca="false">IF(BJ275&gt;0,BI275,0)</f>
        <v>0</v>
      </c>
      <c r="BM275" s="0" t="n">
        <f aca="false">20*LOG(J275*F275*C275)</f>
        <v>-14.7450473249888</v>
      </c>
      <c r="BN275" s="0" t="n">
        <f aca="false">(H275+D275)*180/Pi</f>
        <v>-174.713447943325</v>
      </c>
      <c r="BQ275" s="347" t="n">
        <f aca="false">20*LOG(BA275*7)</f>
        <v>39.7942484580832</v>
      </c>
      <c r="BR275" s="353"/>
      <c r="BS275" s="353"/>
      <c r="BT275" s="353" t="n">
        <v>44668.359</v>
      </c>
      <c r="BU275" s="353" t="n">
        <v>-0.211053</v>
      </c>
      <c r="BV275" s="353" t="n">
        <v>-136.587</v>
      </c>
      <c r="BY275" s="353"/>
      <c r="BZ275" s="353"/>
      <c r="CA275" s="353"/>
      <c r="CC275" s="353"/>
    </row>
    <row r="276" customFormat="false" ht="12.75" hidden="false" customHeight="false" outlineLevel="0" collapsed="false">
      <c r="A276" s="0" t="n">
        <f aca="false">A275+5000</f>
        <v>310000</v>
      </c>
      <c r="B276" s="0" t="n">
        <f aca="false">A276/1000</f>
        <v>310</v>
      </c>
      <c r="C276" s="0" t="n">
        <f aca="false">SQRT((A276/Fesr)^2+1)</f>
        <v>1.00000189693616</v>
      </c>
      <c r="D276" s="0" t="n">
        <f aca="false">ATAN(A276/Fesr)</f>
        <v>0.00194778497978431</v>
      </c>
      <c r="F276" s="0" t="n">
        <f aca="false">(Ro/(Ro+Rdcr))/SQRT((A276/(Q*Fo))^2+(1-(A276^2/Fo^2))^2)</f>
        <v>0.0196858172621336</v>
      </c>
      <c r="G276" s="0" t="n">
        <f aca="false">-ATAN(A276*Fo/(Q*(Fo^2-A276^2)))</f>
        <v>0.0888436009950257</v>
      </c>
      <c r="H276" s="0" t="n">
        <f aca="false">IF(G276&gt;0,G276-Pi,G276)</f>
        <v>-3.05274904900497</v>
      </c>
      <c r="J276" s="0" t="n">
        <f aca="false">Vin/Vramp</f>
        <v>9</v>
      </c>
      <c r="M276" s="0" t="n">
        <f aca="false">1/(2*Pi*_Rfb1*(Cc1ea_u+Cc2ea_u)*A276)</f>
        <v>0.0190149275117989</v>
      </c>
      <c r="N276" s="0" t="n">
        <f aca="false">-Pi/2</f>
        <v>-1.570796325</v>
      </c>
      <c r="O276" s="0" t="n">
        <f aca="false">SQRT(1+(A276/Fz1_u)^2)</f>
        <v>7.63873630401063</v>
      </c>
      <c r="P276" s="0" t="n">
        <f aca="false">ATAN2(Fz1_u,A276)</f>
        <v>1.43950778273316</v>
      </c>
      <c r="Q276" s="0" t="n">
        <f aca="false">SQRT(1+(A276/Fz2_u)^2)</f>
        <v>8593.23311691317</v>
      </c>
      <c r="R276" s="0" t="n">
        <f aca="false">ATAN2(Fz2_u,A276)</f>
        <v>1.570679956159</v>
      </c>
      <c r="S276" s="0" t="n">
        <f aca="false">1/SQRT(1+(A276/Fp1_u)^2)</f>
        <v>0.0434970433726908</v>
      </c>
      <c r="T276" s="0" t="n">
        <f aca="false">-ATAN2(Fp1_u,A276)</f>
        <v>-1.52728555571592</v>
      </c>
      <c r="U276" s="0" t="n">
        <f aca="false">1/SQRT(1+(A276/Fp2_u)^2)</f>
        <v>0.765160370689148</v>
      </c>
      <c r="V276" s="0" t="n">
        <f aca="false">-ATAN2(Fp2_u,A276)</f>
        <v>-0.699505948427198</v>
      </c>
      <c r="X276" s="0" t="n">
        <f aca="false">20*LOG(C276*J276*O276*Q276*F276*M276*S276*U276)</f>
        <v>17.3376354963415</v>
      </c>
      <c r="Y276" s="0" t="n">
        <f aca="false">(180/Pi)*(D276+H276+N276+P276+R276+T276+V276)</f>
        <v>-219.912738772707</v>
      </c>
      <c r="Z276" s="0" t="n">
        <f aca="false">Y276+180</f>
        <v>-39.9127387727071</v>
      </c>
      <c r="AC276" s="0" t="n">
        <v>1</v>
      </c>
      <c r="AD276" s="0" t="n">
        <f aca="false">Rcea1_u*Cc1ea_u*A276*2*Pi</f>
        <v>7.572997578384</v>
      </c>
      <c r="AE276" s="0" t="n">
        <f aca="false">-Rcea1_u*Cc1ea_u*Cc2ea_u*(A276*2*Pi)^2</f>
        <v>-0.00221258843835686</v>
      </c>
      <c r="AF276" s="0" t="n">
        <f aca="false">(Cc2ea_u+Cc1ea_u)*A276*2*Pi</f>
        <v>0.00262951304805</v>
      </c>
      <c r="AG276" s="0" t="n">
        <f aca="false">AC276*AE276/(AE276^2+AF276^2)+AD276*AF276/(AE276^2+AF276^2)</f>
        <v>1498.80420575528</v>
      </c>
      <c r="AH276" s="0" t="n">
        <f aca="false">AD276*AE276/(AE276^2+AF276^2)-AC276*AF276/(AE276^2+AF276^2)</f>
        <v>-1641.4586191978</v>
      </c>
      <c r="AJ276" s="0" t="n">
        <f aca="false">_Rfb1</f>
        <v>20000</v>
      </c>
      <c r="AK276" s="0" t="n">
        <f aca="false">_Rfb1*Rcea2_u*Cc3ea_u*A276*2*Pi</f>
        <v>459366.19055712</v>
      </c>
      <c r="AL276" s="0" t="n">
        <v>1</v>
      </c>
      <c r="AM276" s="0" t="n">
        <f aca="false">(_Rfb1+Rcea2_u)*Cc3ea_u*A276*2*Pi</f>
        <v>8593.23305872786</v>
      </c>
      <c r="AN276" s="0" t="n">
        <f aca="false">AJ276*AL276/(AL276^2+AM276^2)+AK276*AM276/(AL276^2+AM276^2)</f>
        <v>53.4570060662393</v>
      </c>
      <c r="AO276" s="0" t="n">
        <f aca="false">AK276*AL276/(AL276^2+AM276^2)-AJ276*AM276/(AL276^2+AM276^2)</f>
        <v>-2.32119190270008</v>
      </c>
      <c r="AQ276" s="0" t="n">
        <f aca="false">Eadcg/(1+(Eadcg*A276/GBP)^2)</f>
        <v>0.118467977953821</v>
      </c>
      <c r="AR276" s="0" t="n">
        <f aca="false">-(A276*Eadcg*Eadcg/GBP)/(1+(Eadcg*A276/GBP)^2)</f>
        <v>-19.3541135583158</v>
      </c>
      <c r="AT276" s="0" t="n">
        <f aca="false">-AR276*AH276+AG276*AQ276</f>
        <v>-31591.416213626</v>
      </c>
      <c r="AU276" s="0" t="n">
        <f aca="false">AQ276*AH276+AG276*AR276</f>
        <v>-29202.4870833801</v>
      </c>
      <c r="AV276" s="0" t="n">
        <f aca="false">ATAN2(AT276,AU276)</f>
        <v>-2.39546982086861</v>
      </c>
      <c r="AW276" s="0" t="n">
        <f aca="false">AG276-AH276*AO276/_Rfb2+AG276*AN276/_Rfb2+AN276-AO276*AR276+AQ276*AN276</f>
        <v>1548.0096938408</v>
      </c>
      <c r="AX276" s="0" t="n">
        <f aca="false">AH276+AH276*AN276/_Rfb2+AG276*AO276/_Rfb2+AO276+AO276*AQ276+AN276*AR276</f>
        <v>-2719.71967790276</v>
      </c>
      <c r="AY276" s="0" t="n">
        <f aca="false">ATAN2(AW276,AX276)</f>
        <v>-1.05334702918718</v>
      </c>
      <c r="BA276" s="0" t="n">
        <f aca="false">SQRT(AT276^2+AU276^2)/SQRT(AW276^2+AX276^2)</f>
        <v>13.7473048349389</v>
      </c>
      <c r="BB276" s="0" t="n">
        <f aca="false">20*LOG(BA276)</f>
        <v>22.7643512578065</v>
      </c>
      <c r="BC276" s="0" t="n">
        <f aca="false">AV276-AY276</f>
        <v>-1.34212279168143</v>
      </c>
      <c r="BD276" s="0" t="n">
        <f aca="false">BC276*180/Pi-180</f>
        <v>-256.89797163953</v>
      </c>
      <c r="BF276" s="0" t="n">
        <f aca="false">20*LOG(BA276*J276*F276*C276)</f>
        <v>7.73228691027001</v>
      </c>
      <c r="BG276" s="0" t="n">
        <f aca="false">(180/Pi)*(D276+H276+BC276)</f>
        <v>-251.696008401086</v>
      </c>
      <c r="BH276" s="0" t="n">
        <f aca="false">IF(BG276&gt;180,BG276-180,BG276+180)</f>
        <v>-71.6960084010865</v>
      </c>
      <c r="BI276" s="0" t="n">
        <f aca="false">IF(BH276&gt;180,BH276-360,BH276)</f>
        <v>-71.6960084010865</v>
      </c>
      <c r="BJ276" s="0" t="n">
        <f aca="false">SUM((BF277&lt;0)*(BF276&gt;0))*A276</f>
        <v>0</v>
      </c>
      <c r="BK276" s="0" t="n">
        <f aca="false">IF(BJ276&gt;0,BI276,0)</f>
        <v>0</v>
      </c>
      <c r="BM276" s="0" t="n">
        <f aca="false">20*LOG(J276*F276*C276)</f>
        <v>-15.0320643475365</v>
      </c>
      <c r="BN276" s="0" t="n">
        <f aca="false">(H276+D276)*180/Pi</f>
        <v>-174.798036761556</v>
      </c>
      <c r="BQ276" s="347" t="n">
        <f aca="false">20*LOG(BA276*7)</f>
        <v>39.6663120580916</v>
      </c>
      <c r="BR276" s="353"/>
      <c r="BS276" s="353"/>
      <c r="BT276" s="353" t="n">
        <v>45708.819</v>
      </c>
      <c r="BU276" s="353" t="n">
        <v>0.52167</v>
      </c>
      <c r="BV276" s="353" t="n">
        <v>-135.751</v>
      </c>
      <c r="BY276" s="353"/>
      <c r="BZ276" s="353"/>
      <c r="CA276" s="353"/>
      <c r="CC276" s="353"/>
    </row>
    <row r="277" customFormat="false" ht="12.75" hidden="false" customHeight="false" outlineLevel="0" collapsed="false">
      <c r="A277" s="0" t="n">
        <f aca="false">A276+5000</f>
        <v>315000</v>
      </c>
      <c r="B277" s="0" t="n">
        <f aca="false">A277/1000</f>
        <v>315</v>
      </c>
      <c r="C277" s="0" t="n">
        <f aca="false">SQRT((A277/Fesr)^2+1)</f>
        <v>1.00000195862107</v>
      </c>
      <c r="D277" s="0" t="n">
        <f aca="false">ATAN(A277/Fesr)</f>
        <v>0.00197920078516393</v>
      </c>
      <c r="F277" s="0" t="n">
        <f aca="false">(Ro/(Ro+Rdcr))/SQRT((A277/(Q*Fo))^2+(1-(A277^2/Fo^2))^2)</f>
        <v>0.0190563332819819</v>
      </c>
      <c r="G277" s="0" t="n">
        <f aca="false">-ATAN(A277*Fo/(Q*(Fo^2-A277^2)))</f>
        <v>0.0873860887969516</v>
      </c>
      <c r="H277" s="0" t="n">
        <f aca="false">IF(G277&gt;0,G277-Pi,G277)</f>
        <v>-3.05420656120305</v>
      </c>
      <c r="J277" s="0" t="n">
        <f aca="false">Vin/Vramp</f>
        <v>9</v>
      </c>
      <c r="M277" s="0" t="n">
        <f aca="false">1/(2*Pi*_Rfb1*(Cc1ea_u+Cc2ea_u)*A277)</f>
        <v>0.0187131032655798</v>
      </c>
      <c r="N277" s="0" t="n">
        <f aca="false">-Pi/2</f>
        <v>-1.570796325</v>
      </c>
      <c r="O277" s="0" t="n">
        <f aca="false">SQRT(1+(A277/Fz1_u)^2)</f>
        <v>7.75984672418494</v>
      </c>
      <c r="P277" s="0" t="n">
        <f aca="false">ATAN2(Fz1_u,A277)</f>
        <v>1.44156842106737</v>
      </c>
      <c r="Q277" s="0" t="n">
        <f aca="false">SQRT(1+(A277/Fz2_u)^2)</f>
        <v>8731.83364919489</v>
      </c>
      <c r="R277" s="0" t="n">
        <f aca="false">ATAN2(Fz2_u,A277)</f>
        <v>1.57068180331193</v>
      </c>
      <c r="S277" s="0" t="n">
        <f aca="false">1/SQRT(1+(A277/Fp1_u)^2)</f>
        <v>0.0428078895194668</v>
      </c>
      <c r="T277" s="0" t="n">
        <f aca="false">-ATAN2(Fp1_u,A277)</f>
        <v>-1.52797535212929</v>
      </c>
      <c r="U277" s="0" t="n">
        <f aca="false">1/SQRT(1+(A277/Fp2_u)^2)</f>
        <v>0.760054839676055</v>
      </c>
      <c r="V277" s="0" t="n">
        <f aca="false">-ATAN2(Fp2_u,A277)</f>
        <v>-0.707398828897383</v>
      </c>
      <c r="X277" s="0" t="n">
        <f aca="false">20*LOG(C277*J277*O277*Q277*F277*M277*S277*U277)</f>
        <v>16.9951171226554</v>
      </c>
      <c r="Y277" s="0" t="n">
        <f aca="false">(180/Pi)*(D277+H277+N277+P277+R277+T277+V277)</f>
        <v>-220.36802752634</v>
      </c>
      <c r="Z277" s="0" t="n">
        <f aca="false">Y277+180</f>
        <v>-40.3680275263396</v>
      </c>
      <c r="AC277" s="0" t="n">
        <v>1</v>
      </c>
      <c r="AD277" s="0" t="n">
        <f aca="false">Rcea1_u*Cc1ea_u*A277*2*Pi</f>
        <v>7.695142700616</v>
      </c>
      <c r="AE277" s="0" t="n">
        <f aca="false">-Rcea1_u*Cc1ea_u*Cc2ea_u*(A277*2*Pi)^2</f>
        <v>-0.00228453785427638</v>
      </c>
      <c r="AF277" s="0" t="n">
        <f aca="false">(Cc2ea_u+Cc1ea_u)*A277*2*Pi</f>
        <v>0.002671924548825</v>
      </c>
      <c r="AG277" s="0" t="n">
        <f aca="false">AC277*AE277/(AE277^2+AF277^2)+AD277*AF277/(AE277^2+AF277^2)</f>
        <v>1478.86939984638</v>
      </c>
      <c r="AH277" s="0" t="n">
        <f aca="false">AD277*AE277/(AE277^2+AF277^2)-AC277*AF277/(AE277^2+AF277^2)</f>
        <v>-1638.7188505774</v>
      </c>
      <c r="AJ277" s="0" t="n">
        <f aca="false">_Rfb1</f>
        <v>20000</v>
      </c>
      <c r="AK277" s="0" t="n">
        <f aca="false">_Rfb1*Rcea2_u*Cc3ea_u*A277*2*Pi</f>
        <v>466775.32266288</v>
      </c>
      <c r="AL277" s="0" t="n">
        <v>1</v>
      </c>
      <c r="AM277" s="0" t="n">
        <f aca="false">(_Rfb1+Rcea2_u)*Cc3ea_u*A277*2*Pi</f>
        <v>8731.83359193314</v>
      </c>
      <c r="AN277" s="0" t="n">
        <f aca="false">AJ277*AL277/(AL277^2+AM277^2)+AK277*AM277/(AL277^2+AM277^2)</f>
        <v>53.4569975591035</v>
      </c>
      <c r="AO277" s="0" t="n">
        <f aca="false">AK277*AL277/(AL277^2+AM277^2)-AJ277*AM277/(AL277^2+AM277^2)</f>
        <v>-2.28434758775848</v>
      </c>
      <c r="AQ277" s="0" t="n">
        <f aca="false">Eadcg/(1+(Eadcg*A277/GBP)^2)</f>
        <v>0.114737073469159</v>
      </c>
      <c r="AR277" s="0" t="n">
        <f aca="false">-(A277*Eadcg*Eadcg/GBP)/(1+(Eadcg*A277/GBP)^2)</f>
        <v>-19.0469278812477</v>
      </c>
      <c r="AT277" s="0" t="n">
        <f aca="false">-AR277*AH277+AG277*AQ277</f>
        <v>-31042.8786176075</v>
      </c>
      <c r="AU277" s="0" t="n">
        <f aca="false">AQ277*AH277+AG277*AR277</f>
        <v>-28355.9406098122</v>
      </c>
      <c r="AV277" s="0" t="n">
        <f aca="false">ATAN2(AT277,AU277)</f>
        <v>-2.40139921934027</v>
      </c>
      <c r="AW277" s="0" t="n">
        <f aca="false">AG277-AH277*AO277/_Rfb2+AG277*AN277/_Rfb2+AN277-AO277*AR277+AQ277*AN277</f>
        <v>1528.84072460215</v>
      </c>
      <c r="AX277" s="0" t="n">
        <f aca="false">AH277+AH277*AN277/_Rfb2+AG277*AO277/_Rfb2+AO277+AO277*AQ277+AN277*AR277</f>
        <v>-2700.39753338213</v>
      </c>
      <c r="AY277" s="0" t="n">
        <f aca="false">ATAN2(AW277,AX277)</f>
        <v>-1.05563550126334</v>
      </c>
      <c r="BA277" s="0" t="n">
        <f aca="false">SQRT(AT277^2+AU277^2)/SQRT(AW277^2+AX277^2)</f>
        <v>13.5489241588017</v>
      </c>
      <c r="BB277" s="0" t="n">
        <f aca="false">20*LOG(BA277)</f>
        <v>22.6380962356544</v>
      </c>
      <c r="BC277" s="0" t="n">
        <f aca="false">AV277-AY277</f>
        <v>-1.34576371807693</v>
      </c>
      <c r="BD277" s="0" t="n">
        <f aca="false">BC277*180/Pi-180</f>
        <v>-257.106581355749</v>
      </c>
      <c r="BF277" s="0" t="n">
        <f aca="false">20*LOG(BA277*J277*F277*C277)</f>
        <v>7.32375023104659</v>
      </c>
      <c r="BG277" s="0" t="n">
        <f aca="false">(180/Pi)*(D277+H277+BC277)</f>
        <v>-251.986327421878</v>
      </c>
      <c r="BH277" s="0" t="n">
        <f aca="false">IF(BG277&gt;180,BG277-180,BG277+180)</f>
        <v>-71.9863274218785</v>
      </c>
      <c r="BI277" s="0" t="n">
        <f aca="false">IF(BH277&gt;180,BH277-360,BH277)</f>
        <v>-71.9863274218785</v>
      </c>
      <c r="BJ277" s="0" t="n">
        <f aca="false">SUM((BF278&lt;0)*(BF277&gt;0))*A277</f>
        <v>0</v>
      </c>
      <c r="BK277" s="0" t="n">
        <f aca="false">IF(BJ277&gt;0,BI277,0)</f>
        <v>0</v>
      </c>
      <c r="BM277" s="0" t="n">
        <f aca="false">20*LOG(J277*F277*C277)</f>
        <v>-15.3143460046078</v>
      </c>
      <c r="BN277" s="0" t="n">
        <f aca="false">(H277+D277)*180/Pi</f>
        <v>-174.87974606613</v>
      </c>
      <c r="BQ277" s="347" t="n">
        <f aca="false">20*LOG(BA277*7)</f>
        <v>39.5400570359395</v>
      </c>
      <c r="BR277" s="353"/>
      <c r="BS277" s="353"/>
      <c r="BT277" s="353" t="n">
        <v>46773.514</v>
      </c>
      <c r="BU277" s="353" t="n">
        <v>0.782336</v>
      </c>
      <c r="BV277" s="353" t="n">
        <v>-137.576</v>
      </c>
      <c r="BY277" s="353"/>
      <c r="BZ277" s="353"/>
      <c r="CA277" s="353"/>
      <c r="CC277" s="353"/>
    </row>
    <row r="278" customFormat="false" ht="12.75" hidden="false" customHeight="false" outlineLevel="0" collapsed="false">
      <c r="A278" s="0" t="n">
        <f aca="false">A277+5000</f>
        <v>320000</v>
      </c>
      <c r="B278" s="0" t="n">
        <f aca="false">A278/1000</f>
        <v>320</v>
      </c>
      <c r="C278" s="0" t="n">
        <f aca="false">SQRT((A278/Fesr)^2+1)</f>
        <v>1.00000202129293</v>
      </c>
      <c r="D278" s="0" t="n">
        <f aca="false">ATAN(A278/Fesr)</f>
        <v>0.00201061658663678</v>
      </c>
      <c r="F278" s="0" t="n">
        <f aca="false">(Ro/(Ro+Rdcr))/SQRT((A278/(Q*Fo))^2+(1-(A278^2/Fo^2))^2)</f>
        <v>0.0184567065730188</v>
      </c>
      <c r="G278" s="0" t="n">
        <f aca="false">-ATAN(A278*Fo/(Q*(Fo^2-A278^2)))</f>
        <v>0.085976328509627</v>
      </c>
      <c r="H278" s="0" t="n">
        <f aca="false">IF(G278&gt;0,G278-Pi,G278)</f>
        <v>-3.05561632149037</v>
      </c>
      <c r="J278" s="0" t="n">
        <f aca="false">Vin/Vramp</f>
        <v>9</v>
      </c>
      <c r="M278" s="0" t="n">
        <f aca="false">1/(2*Pi*_Rfb1*(Cc1ea_u+Cc2ea_u)*A278)</f>
        <v>0.0184207110270551</v>
      </c>
      <c r="N278" s="0" t="n">
        <f aca="false">-Pi/2</f>
        <v>-1.570796325</v>
      </c>
      <c r="O278" s="0" t="n">
        <f aca="false">SQRT(1+(A278/Fz1_u)^2)</f>
        <v>7.88098908166022</v>
      </c>
      <c r="P278" s="0" t="n">
        <f aca="false">ATAN2(Fz1_u,A278)</f>
        <v>1.44356571760155</v>
      </c>
      <c r="Q278" s="0" t="n">
        <f aca="false">SQRT(1+(A278/Fz2_u)^2)</f>
        <v>8870.43418150546</v>
      </c>
      <c r="R278" s="0" t="n">
        <f aca="false">ATAN2(Fz2_u,A278)</f>
        <v>1.57068359274134</v>
      </c>
      <c r="S278" s="0" t="n">
        <f aca="false">1/SQRT(1+(A278/Fp1_u)^2)</f>
        <v>0.0421402134391189</v>
      </c>
      <c r="T278" s="0" t="n">
        <f aca="false">-ATAN2(Fp1_u,A278)</f>
        <v>-1.52864363129711</v>
      </c>
      <c r="U278" s="0" t="n">
        <f aca="false">1/SQRT(1+(A278/Fp2_u)^2)</f>
        <v>0.754970890255137</v>
      </c>
      <c r="V278" s="0" t="n">
        <f aca="false">-ATAN2(Fp2_u,A278)</f>
        <v>-0.715186599391793</v>
      </c>
      <c r="X278" s="0" t="n">
        <f aca="false">20*LOG(C278*J278*O278*Q278*F278*M278*S278*U278)</f>
        <v>16.6571305198737</v>
      </c>
      <c r="Y278" s="0" t="n">
        <f aca="false">(180/Pi)*(D278+H278+N278+P278+R278+T278+V278)</f>
        <v>-220.816957617009</v>
      </c>
      <c r="Z278" s="0" t="n">
        <f aca="false">Y278+180</f>
        <v>-40.8169576170086</v>
      </c>
      <c r="AC278" s="0" t="n">
        <v>1</v>
      </c>
      <c r="AD278" s="0" t="n">
        <f aca="false">Rcea1_u*Cc1ea_u*A278*2*Pi</f>
        <v>7.817287822848</v>
      </c>
      <c r="AE278" s="0" t="n">
        <f aca="false">-Rcea1_u*Cc1ea_u*Cc2ea_u*(A278*2*Pi)^2</f>
        <v>-0.0023576384608506</v>
      </c>
      <c r="AF278" s="0" t="n">
        <f aca="false">(Cc2ea_u+Cc1ea_u)*A278*2*Pi</f>
        <v>0.0027143360496</v>
      </c>
      <c r="AG278" s="0" t="n">
        <f aca="false">AC278*AE278/(AE278^2+AF278^2)+AD278*AF278/(AE278^2+AF278^2)</f>
        <v>1459.15147553954</v>
      </c>
      <c r="AH278" s="0" t="n">
        <f aca="false">AD278*AE278/(AE278^2+AF278^2)-AC278*AF278/(AE278^2+AF278^2)</f>
        <v>-1635.81500514399</v>
      </c>
      <c r="AJ278" s="0" t="n">
        <f aca="false">_Rfb1</f>
        <v>20000</v>
      </c>
      <c r="AK278" s="0" t="n">
        <f aca="false">_Rfb1*Rcea2_u*Cc3ea_u*A278*2*Pi</f>
        <v>474184.45476864</v>
      </c>
      <c r="AL278" s="0" t="n">
        <v>1</v>
      </c>
      <c r="AM278" s="0" t="n">
        <f aca="false">(_Rfb1+Rcea2_u)*Cc3ea_u*A278*2*Pi</f>
        <v>8870.43412513843</v>
      </c>
      <c r="AN278" s="0" t="n">
        <f aca="false">AJ278*AL278/(AL278^2+AM278^2)+AK278*AM278/(AL278^2+AM278^2)</f>
        <v>53.456989447616</v>
      </c>
      <c r="AO278" s="0" t="n">
        <f aca="false">AK278*AL278/(AL278^2+AM278^2)-AJ278*AM278/(AL278^2+AM278^2)</f>
        <v>-2.24865465761419</v>
      </c>
      <c r="AQ278" s="0" t="n">
        <f aca="false">Eadcg/(1+(Eadcg*A278/GBP)^2)</f>
        <v>0.11117967699076</v>
      </c>
      <c r="AR278" s="0" t="n">
        <f aca="false">-(A278*Eadcg*Eadcg/GBP)/(1+(Eadcg*A278/GBP)^2)</f>
        <v>-18.7493407277218</v>
      </c>
      <c r="AT278" s="0" t="n">
        <f aca="false">-AR278*AH278+AG278*AQ278</f>
        <v>-30508.2249092336</v>
      </c>
      <c r="AU278" s="0" t="n">
        <f aca="false">AQ278*AH278+AG278*AR278</f>
        <v>-27539.9975721375</v>
      </c>
      <c r="AV278" s="0" t="n">
        <f aca="false">ATAN2(AT278,AU278)</f>
        <v>-2.40728381360917</v>
      </c>
      <c r="AW278" s="0" t="n">
        <f aca="false">AG278-AH278*AO278/_Rfb2+AG278*AN278/_Rfb2+AN278-AO278*AR278+AQ278*AN278</f>
        <v>1509.83656135229</v>
      </c>
      <c r="AX278" s="0" t="n">
        <f aca="false">AH278+AH278*AN278/_Rfb2+AG278*AO278/_Rfb2+AO278+AO278*AQ278+AN278*AR278</f>
        <v>-2681.42406688512</v>
      </c>
      <c r="AY278" s="0" t="n">
        <f aca="false">ATAN2(AW278,AX278)</f>
        <v>-1.0579719610743</v>
      </c>
      <c r="BA278" s="0" t="n">
        <f aca="false">SQRT(AT278^2+AU278^2)/SQRT(AW278^2+AX278^2)</f>
        <v>13.3559316049288</v>
      </c>
      <c r="BB278" s="0" t="n">
        <f aca="false">20*LOG(BA278)</f>
        <v>22.5134837277454</v>
      </c>
      <c r="BC278" s="0" t="n">
        <f aca="false">AV278-AY278</f>
        <v>-1.34931185253487</v>
      </c>
      <c r="BD278" s="0" t="n">
        <f aca="false">BC278*180/Pi-180</f>
        <v>-257.309874485566</v>
      </c>
      <c r="BF278" s="0" t="n">
        <f aca="false">20*LOG(BA278*J278*F278*C278)</f>
        <v>6.92143562939008</v>
      </c>
      <c r="BG278" s="0" t="n">
        <f aca="false">(180/Pi)*(D278+H278+BC278)</f>
        <v>-252.26859387354</v>
      </c>
      <c r="BH278" s="0" t="n">
        <f aca="false">IF(BG278&gt;180,BG278-180,BG278+180)</f>
        <v>-72.26859387354</v>
      </c>
      <c r="BI278" s="0" t="n">
        <f aca="false">IF(BH278&gt;180,BH278-360,BH278)</f>
        <v>-72.26859387354</v>
      </c>
      <c r="BJ278" s="0" t="n">
        <f aca="false">SUM((BF279&lt;0)*(BF278&gt;0))*A278</f>
        <v>0</v>
      </c>
      <c r="BK278" s="0" t="n">
        <f aca="false">IF(BJ278&gt;0,BI278,0)</f>
        <v>0</v>
      </c>
      <c r="BM278" s="0" t="n">
        <f aca="false">20*LOG(J278*F278*C278)</f>
        <v>-15.5920480983553</v>
      </c>
      <c r="BN278" s="0" t="n">
        <f aca="false">(H278+D278)*180/Pi</f>
        <v>-174.958719387974</v>
      </c>
      <c r="BQ278" s="347" t="n">
        <f aca="false">20*LOG(BA278*7)</f>
        <v>39.4154445280305</v>
      </c>
      <c r="BR278" s="353"/>
      <c r="BS278" s="353"/>
      <c r="BT278" s="353" t="n">
        <v>47863.009</v>
      </c>
      <c r="BU278" s="353" t="n">
        <v>0.817243</v>
      </c>
      <c r="BV278" s="353" t="n">
        <v>-138.25</v>
      </c>
      <c r="BY278" s="353"/>
      <c r="BZ278" s="353"/>
      <c r="CA278" s="353"/>
      <c r="CC278" s="353"/>
    </row>
    <row r="279" customFormat="false" ht="12.75" hidden="false" customHeight="false" outlineLevel="0" collapsed="false">
      <c r="A279" s="0" t="n">
        <f aca="false">A278+5000</f>
        <v>325000</v>
      </c>
      <c r="B279" s="0" t="n">
        <f aca="false">A279/1000</f>
        <v>325</v>
      </c>
      <c r="C279" s="0" t="n">
        <f aca="false">SQRT((A279/Fesr)^2+1)</f>
        <v>1.00000208495175</v>
      </c>
      <c r="D279" s="0" t="n">
        <f aca="false">ATAN(A279/Fesr)</f>
        <v>0.00204203238414087</v>
      </c>
      <c r="F279" s="0" t="n">
        <f aca="false">(Ro/(Ro+Rdcr))/SQRT((A279/(Q*Fo))^2+(1-(A279^2/Fo^2))^2)</f>
        <v>0.0178850700809029</v>
      </c>
      <c r="G279" s="0" t="n">
        <f aca="false">-ATAN(A279*Fo/(Q*(Fo^2-A279^2)))</f>
        <v>0.0846119807216256</v>
      </c>
      <c r="H279" s="0" t="n">
        <f aca="false">IF(G279&gt;0,G279-Pi,G279)</f>
        <v>-3.05698066927837</v>
      </c>
      <c r="J279" s="0" t="n">
        <f aca="false">Vin/Vramp</f>
        <v>9</v>
      </c>
      <c r="M279" s="0" t="n">
        <f aca="false">1/(2*Pi*_Rfb1*(Cc1ea_u+Cc2ea_u)*A279)</f>
        <v>0.0181373154727927</v>
      </c>
      <c r="N279" s="0" t="n">
        <f aca="false">-Pi/2</f>
        <v>-1.570796325</v>
      </c>
      <c r="O279" s="0" t="n">
        <f aca="false">SQRT(1+(A279/Fz1_u)^2)</f>
        <v>8.00216192596861</v>
      </c>
      <c r="P279" s="0" t="n">
        <f aca="false">ATAN2(Fz1_u,A279)</f>
        <v>1.44550253348914</v>
      </c>
      <c r="Q279" s="0" t="n">
        <f aca="false">SQRT(1+(A279/Fz2_u)^2)</f>
        <v>9009.03471384356</v>
      </c>
      <c r="R279" s="0" t="n">
        <f aca="false">ATAN2(Fz2_u,A279)</f>
        <v>1.57068532711138</v>
      </c>
      <c r="S279" s="0" t="n">
        <f aca="false">1/SQRT(1+(A279/Fp1_u)^2)</f>
        <v>0.0414930273464407</v>
      </c>
      <c r="T279" s="0" t="n">
        <f aca="false">-ATAN2(Fp1_u,A279)</f>
        <v>-1.52929138398877</v>
      </c>
      <c r="U279" s="0" t="n">
        <f aca="false">1/SQRT(1+(A279/Fp2_u)^2)</f>
        <v>0.74990992380967</v>
      </c>
      <c r="V279" s="0" t="n">
        <f aca="false">-ATAN2(Fp2_u,A279)</f>
        <v>-0.722870419700302</v>
      </c>
      <c r="X279" s="0" t="n">
        <f aca="false">20*LOG(C279*J279*O279*Q279*F279*M279*S279*U279)</f>
        <v>16.3235377356039</v>
      </c>
      <c r="Y279" s="0" t="n">
        <f aca="false">(180/Pi)*(D279+H279+N279+P279+R279+T279+V279)</f>
        <v>-221.259622216426</v>
      </c>
      <c r="Z279" s="0" t="n">
        <f aca="false">Y279+180</f>
        <v>-41.2596222164262</v>
      </c>
      <c r="AC279" s="0" t="n">
        <v>1</v>
      </c>
      <c r="AD279" s="0" t="n">
        <f aca="false">Rcea1_u*Cc1ea_u*A279*2*Pi</f>
        <v>7.93943294508</v>
      </c>
      <c r="AE279" s="0" t="n">
        <f aca="false">-Rcea1_u*Cc1ea_u*Cc2ea_u*(A279*2*Pi)^2</f>
        <v>-0.00243189025807954</v>
      </c>
      <c r="AF279" s="0" t="n">
        <f aca="false">(Cc2ea_u+Cc1ea_u)*A279*2*Pi</f>
        <v>0.002756747550375</v>
      </c>
      <c r="AG279" s="0" t="n">
        <f aca="false">AC279*AE279/(AE279^2+AF279^2)+AD279*AF279/(AE279^2+AF279^2)</f>
        <v>1439.65412820026</v>
      </c>
      <c r="AH279" s="0" t="n">
        <f aca="false">AD279*AE279/(AE279^2+AF279^2)-AC279*AF279/(AE279^2+AF279^2)</f>
        <v>-1632.75046667292</v>
      </c>
      <c r="AJ279" s="0" t="n">
        <f aca="false">_Rfb1</f>
        <v>20000</v>
      </c>
      <c r="AK279" s="0" t="n">
        <f aca="false">_Rfb1*Rcea2_u*Cc3ea_u*A279*2*Pi</f>
        <v>481593.5868744</v>
      </c>
      <c r="AL279" s="0" t="n">
        <v>1</v>
      </c>
      <c r="AM279" s="0" t="n">
        <f aca="false">(_Rfb1+Rcea2_u)*Cc3ea_u*A279*2*Pi</f>
        <v>9009.03465834372</v>
      </c>
      <c r="AN279" s="0" t="n">
        <f aca="false">AJ279*AL279/(AL279^2+AM279^2)+AK279*AM279/(AL279^2+AM279^2)</f>
        <v>53.4569817076174</v>
      </c>
      <c r="AO279" s="0" t="n">
        <f aca="false">AK279*AL279/(AL279^2+AM279^2)-AJ279*AM279/(AL279^2+AM279^2)</f>
        <v>-2.21405997143311</v>
      </c>
      <c r="AQ279" s="0" t="n">
        <f aca="false">Eadcg/(1+(Eadcg*A279/GBP)^2)</f>
        <v>0.107785194282962</v>
      </c>
      <c r="AR279" s="0" t="n">
        <f aca="false">-(A279*Eadcg*Eadcg/GBP)/(1+(Eadcg*A279/GBP)^2)</f>
        <v>-18.4609091508143</v>
      </c>
      <c r="AT279" s="0" t="n">
        <f aca="false">-AR279*AH279+AG279*AQ279</f>
        <v>-29986.88463129</v>
      </c>
      <c r="AU279" s="0" t="n">
        <f aca="false">AQ279*AH279+AG279*AR279</f>
        <v>-26753.3103955656</v>
      </c>
      <c r="AV279" s="0" t="n">
        <f aca="false">ATAN2(AT279,AU279)</f>
        <v>-2.41312204242953</v>
      </c>
      <c r="AW279" s="0" t="n">
        <f aca="false">AG279-AH279*AO279/_Rfb2+AG279*AN279/_Rfb2+AN279-AO279*AR279+AQ279*AN279</f>
        <v>1491.00447170513</v>
      </c>
      <c r="AX279" s="0" t="n">
        <f aca="false">AH279+AH279*AN279/_Rfb2+AG279*AO279/_Rfb2+AO279+AO279*AQ279+AN279*AR279</f>
        <v>-2662.77887889319</v>
      </c>
      <c r="AY279" s="0" t="n">
        <f aca="false">ATAN2(AW279,AX279)</f>
        <v>-1.06035137585909</v>
      </c>
      <c r="BA279" s="0" t="n">
        <f aca="false">SQRT(AT279^2+AU279^2)/SQRT(AW279^2+AX279^2)</f>
        <v>13.1681207416796</v>
      </c>
      <c r="BB279" s="0" t="n">
        <f aca="false">20*LOG(BA279)</f>
        <v>22.390476000749</v>
      </c>
      <c r="BC279" s="0" t="n">
        <f aca="false">AV279-AY279</f>
        <v>-1.35277066657044</v>
      </c>
      <c r="BD279" s="0" t="n">
        <f aca="false">BC279*180/Pi-180</f>
        <v>-257.508049932151</v>
      </c>
      <c r="BF279" s="0" t="n">
        <f aca="false">20*LOG(BA279*J279*F279*C279)</f>
        <v>6.52515722375542</v>
      </c>
      <c r="BG279" s="0" t="n">
        <f aca="false">(180/Pi)*(D279+H279+BC279)</f>
        <v>-252.543140697646</v>
      </c>
      <c r="BH279" s="0" t="n">
        <f aca="false">IF(BG279&gt;180,BG279-180,BG279+180)</f>
        <v>-72.5431406976462</v>
      </c>
      <c r="BI279" s="0" t="n">
        <f aca="false">IF(BH279&gt;180,BH279-360,BH279)</f>
        <v>-72.5431406976462</v>
      </c>
      <c r="BJ279" s="0" t="n">
        <f aca="false">SUM((BF280&lt;0)*(BF279&gt;0))*A279</f>
        <v>0</v>
      </c>
      <c r="BK279" s="0" t="n">
        <f aca="false">IF(BJ279&gt;0,BI279,0)</f>
        <v>0</v>
      </c>
      <c r="BM279" s="0" t="n">
        <f aca="false">20*LOG(J279*F279*C279)</f>
        <v>-15.8653187769936</v>
      </c>
      <c r="BN279" s="0" t="n">
        <f aca="false">(H279+D279)*180/Pi</f>
        <v>-175.035090765495</v>
      </c>
      <c r="BQ279" s="347" t="n">
        <f aca="false">20*LOG(BA279*7)</f>
        <v>39.2924368010342</v>
      </c>
      <c r="BR279" s="353"/>
      <c r="BS279" s="353"/>
      <c r="BT279" s="353" t="n">
        <v>48977.882</v>
      </c>
      <c r="BU279" s="353" t="n">
        <v>0.861951</v>
      </c>
      <c r="BV279" s="353" t="n">
        <v>-138.079</v>
      </c>
      <c r="BY279" s="353"/>
      <c r="BZ279" s="353"/>
      <c r="CA279" s="353"/>
      <c r="CC279" s="353"/>
    </row>
    <row r="280" customFormat="false" ht="12.75" hidden="false" customHeight="false" outlineLevel="0" collapsed="false">
      <c r="A280" s="0" t="n">
        <f aca="false">A279+5000</f>
        <v>330000</v>
      </c>
      <c r="B280" s="0" t="n">
        <f aca="false">A280/1000</f>
        <v>330</v>
      </c>
      <c r="C280" s="0" t="n">
        <f aca="false">SQRT((A280/Fesr)^2+1)</f>
        <v>1.00000214959752</v>
      </c>
      <c r="D280" s="0" t="n">
        <f aca="false">ATAN(A280/Fesr)</f>
        <v>0.00207344817761417</v>
      </c>
      <c r="F280" s="0" t="n">
        <f aca="false">(Ro/(Ro+Rdcr))/SQRT((A280/(Q*Fo))^2+(1-(A280^2/Fo^2))^2)</f>
        <v>0.0173397010391373</v>
      </c>
      <c r="G280" s="0" t="n">
        <f aca="false">-ATAN(A280*Fo/(Q*(Fo^2-A280^2)))</f>
        <v>0.0832908580923487</v>
      </c>
      <c r="H280" s="0" t="n">
        <f aca="false">IF(G280&gt;0,G280-Pi,G280)</f>
        <v>-3.05830179190765</v>
      </c>
      <c r="J280" s="0" t="n">
        <f aca="false">Vin/Vramp</f>
        <v>9</v>
      </c>
      <c r="M280" s="0" t="n">
        <f aca="false">1/(2*Pi*_Rfb1*(Cc1ea_u+Cc2ea_u)*A280)</f>
        <v>0.0178625076625989</v>
      </c>
      <c r="N280" s="0" t="n">
        <f aca="false">-Pi/2</f>
        <v>-1.570796325</v>
      </c>
      <c r="O280" s="0" t="n">
        <f aca="false">SQRT(1+(A280/Fz1_u)^2)</f>
        <v>8.12336389283195</v>
      </c>
      <c r="P280" s="0" t="n">
        <f aca="false">ATAN2(Fz1_u,A280)</f>
        <v>1.44738156100825</v>
      </c>
      <c r="Q280" s="0" t="n">
        <f aca="false">SQRT(1+(A280/Fz2_u)^2)</f>
        <v>9147.63524620794</v>
      </c>
      <c r="R280" s="0" t="n">
        <f aca="false">ATAN2(Fz2_u,A280)</f>
        <v>1.57068700892475</v>
      </c>
      <c r="S280" s="0" t="n">
        <f aca="false">1/SQRT(1+(A280/Fp1_u)^2)</f>
        <v>0.0408654030637704</v>
      </c>
      <c r="T280" s="0" t="n">
        <f aca="false">-ATAN2(Fp1_u,A280)</f>
        <v>-1.52991954109951</v>
      </c>
      <c r="U280" s="0" t="n">
        <f aca="false">1/SQRT(1+(A280/Fp2_u)^2)</f>
        <v>0.744873256137162</v>
      </c>
      <c r="V280" s="0" t="n">
        <f aca="false">-ATAN2(Fp2_u,A280)</f>
        <v>-0.730451467963411</v>
      </c>
      <c r="X280" s="0" t="n">
        <f aca="false">20*LOG(C280*J280*O280*Q280*F280*M280*S280*U280)</f>
        <v>15.9942078475179</v>
      </c>
      <c r="Y280" s="0" t="n">
        <f aca="false">(180/Pi)*(D280+H280+N280+P280+R280+T280+V280)</f>
        <v>-221.696113089262</v>
      </c>
      <c r="Z280" s="0" t="n">
        <f aca="false">Y280+180</f>
        <v>-41.6961130892616</v>
      </c>
      <c r="AC280" s="0" t="n">
        <v>1</v>
      </c>
      <c r="AD280" s="0" t="n">
        <f aca="false">Rcea1_u*Cc1ea_u*A280*2*Pi</f>
        <v>8.061578067312</v>
      </c>
      <c r="AE280" s="0" t="n">
        <f aca="false">-Rcea1_u*Cc1ea_u*Cc2ea_u*(A280*2*Pi)^2</f>
        <v>-0.00250729324596319</v>
      </c>
      <c r="AF280" s="0" t="n">
        <f aca="false">(Cc2ea_u+Cc1ea_u)*A280*2*Pi</f>
        <v>0.00279915905115</v>
      </c>
      <c r="AG280" s="0" t="n">
        <f aca="false">AC280*AE280/(AE280^2+AF280^2)+AD280*AF280/(AE280^2+AF280^2)</f>
        <v>1420.38058933345</v>
      </c>
      <c r="AH280" s="0" t="n">
        <f aca="false">AD280*AE280/(AE280^2+AF280^2)-AC280*AF280/(AE280^2+AF280^2)</f>
        <v>-1629.52893171934</v>
      </c>
      <c r="AJ280" s="0" t="n">
        <f aca="false">_Rfb1</f>
        <v>20000</v>
      </c>
      <c r="AK280" s="0" t="n">
        <f aca="false">_Rfb1*Rcea2_u*Cc3ea_u*A280*2*Pi</f>
        <v>489002.71898016</v>
      </c>
      <c r="AL280" s="0" t="n">
        <v>1</v>
      </c>
      <c r="AM280" s="0" t="n">
        <f aca="false">(_Rfb1+Rcea2_u)*Cc3ea_u*A280*2*Pi</f>
        <v>9147.63519154901</v>
      </c>
      <c r="AN280" s="0" t="n">
        <f aca="false">AJ280*AL280/(AL280^2+AM280^2)+AK280*AM280/(AL280^2+AM280^2)</f>
        <v>53.4569743167648</v>
      </c>
      <c r="AO280" s="0" t="n">
        <f aca="false">AK280*AL280/(AL280^2+AM280^2)-AJ280*AM280/(AL280^2+AM280^2)</f>
        <v>-2.18051360903753</v>
      </c>
      <c r="AQ280" s="0" t="n">
        <f aca="false">Eadcg/(1+(Eadcg*A280/GBP)^2)</f>
        <v>0.104543827521649</v>
      </c>
      <c r="AR280" s="0" t="n">
        <f aca="false">-(A280*Eadcg*Eadcg/GBP)/(1+(Eadcg*A280/GBP)^2)</f>
        <v>-18.18121704429</v>
      </c>
      <c r="AT280" s="0" t="n">
        <f aca="false">-AR280*AH280+AG280*AQ280</f>
        <v>-29478.3271641929</v>
      </c>
      <c r="AU280" s="0" t="n">
        <f aca="false">AQ280*AH280+AG280*AR280</f>
        <v>-25994.6049717472</v>
      </c>
      <c r="AV280" s="0" t="n">
        <f aca="false">ATAN2(AT280,AU280)</f>
        <v>-2.41891252329006</v>
      </c>
      <c r="AW280" s="0" t="n">
        <f aca="false">AG280-AH280*AO280/_Rfb2+AG280*AN280/_Rfb2+AN280-AO280*AR280+AQ280*AN280</f>
        <v>1472.35098656152</v>
      </c>
      <c r="AX280" s="0" t="n">
        <f aca="false">AH280+AH280*AN280/_Rfb2+AG280*AO280/_Rfb2+AO280+AO280*AQ280+AN280*AR280</f>
        <v>-2644.44333760654</v>
      </c>
      <c r="AY280" s="0" t="n">
        <f aca="false">ATAN2(AW280,AX280)</f>
        <v>-1.06276904955221</v>
      </c>
      <c r="BA280" s="0" t="n">
        <f aca="false">SQRT(AT280^2+AU280^2)/SQRT(AW280^2+AX280^2)</f>
        <v>12.9852950182817</v>
      </c>
      <c r="BB280" s="0" t="n">
        <f aca="false">20*LOG(BA280)</f>
        <v>22.269036419863</v>
      </c>
      <c r="BC280" s="0" t="n">
        <f aca="false">AV280-AY280</f>
        <v>-1.35614347373785</v>
      </c>
      <c r="BD280" s="0" t="n">
        <f aca="false">BC280*180/Pi-180</f>
        <v>-257.701297548176</v>
      </c>
      <c r="BF280" s="0" t="n">
        <f aca="false">20*LOG(BA280*J280*F280*C280)</f>
        <v>6.13473738692276</v>
      </c>
      <c r="BG280" s="0" t="n">
        <f aca="false">(180/Pi)*(D280+H280+BC280)</f>
        <v>-252.810283072256</v>
      </c>
      <c r="BH280" s="0" t="n">
        <f aca="false">IF(BG280&gt;180,BG280-180,BG280+180)</f>
        <v>-72.8102830722562</v>
      </c>
      <c r="BI280" s="0" t="n">
        <f aca="false">IF(BH280&gt;180,BH280-360,BH280)</f>
        <v>-72.8102830722562</v>
      </c>
      <c r="BJ280" s="0" t="n">
        <f aca="false">SUM((BF281&lt;0)*(BF280&gt;0))*A280</f>
        <v>0</v>
      </c>
      <c r="BK280" s="0" t="n">
        <f aca="false">IF(BJ280&gt;0,BI280,0)</f>
        <v>0</v>
      </c>
      <c r="BM280" s="0" t="n">
        <f aca="false">20*LOG(J280*F280*C280)</f>
        <v>-16.1342990329402</v>
      </c>
      <c r="BN280" s="0" t="n">
        <f aca="false">(H280+D280)*180/Pi</f>
        <v>-175.10898552408</v>
      </c>
      <c r="BQ280" s="347" t="n">
        <f aca="false">20*LOG(BA280*7)</f>
        <v>39.1709972201481</v>
      </c>
      <c r="BR280" s="353"/>
      <c r="BS280" s="353"/>
      <c r="BT280" s="353" t="n">
        <v>50118.723</v>
      </c>
      <c r="BU280" s="353" t="n">
        <v>0.950021</v>
      </c>
      <c r="BV280" s="353" t="n">
        <v>-137.591</v>
      </c>
      <c r="BY280" s="353"/>
      <c r="BZ280" s="353"/>
      <c r="CA280" s="353"/>
      <c r="CC280" s="353"/>
    </row>
    <row r="281" customFormat="false" ht="12.75" hidden="false" customHeight="false" outlineLevel="0" collapsed="false">
      <c r="A281" s="0" t="n">
        <f aca="false">A280+5000</f>
        <v>335000</v>
      </c>
      <c r="B281" s="0" t="n">
        <f aca="false">A281/1000</f>
        <v>335</v>
      </c>
      <c r="C281" s="0" t="n">
        <f aca="false">SQRT((A281/Fesr)^2+1)</f>
        <v>1.00000221523025</v>
      </c>
      <c r="D281" s="0" t="n">
        <f aca="false">ATAN(A281/Fesr)</f>
        <v>0.00210486396699468</v>
      </c>
      <c r="F281" s="0" t="n">
        <f aca="false">(Ro/(Ro+Rdcr))/SQRT((A281/(Q*Fo))^2+(1-(A281^2/Fo^2))^2)</f>
        <v>0.016819007741215</v>
      </c>
      <c r="G281" s="0" t="n">
        <f aca="false">-ATAN(A281*Fo/(Q*(Fo^2-A281^2)))</f>
        <v>0.0820109130765966</v>
      </c>
      <c r="H281" s="0" t="n">
        <f aca="false">IF(G281&gt;0,G281-Pi,G281)</f>
        <v>-3.0595817369234</v>
      </c>
      <c r="J281" s="0" t="n">
        <f aca="false">Vin/Vramp</f>
        <v>9</v>
      </c>
      <c r="M281" s="0" t="n">
        <f aca="false">1/(2*Pi*_Rfb1*(Cc1ea_u+Cc2ea_u)*A281)</f>
        <v>0.0175959030706198</v>
      </c>
      <c r="N281" s="0" t="n">
        <f aca="false">-Pi/2</f>
        <v>-1.570796325</v>
      </c>
      <c r="O281" s="0" t="n">
        <f aca="false">SQRT(1+(A281/Fz1_u)^2)</f>
        <v>8.24459369787743</v>
      </c>
      <c r="P281" s="0" t="n">
        <f aca="false">ATAN2(Fz1_u,A281)</f>
        <v>1.44920533577624</v>
      </c>
      <c r="Q281" s="0" t="n">
        <f aca="false">SQRT(1+(A281/Fz2_u)^2)</f>
        <v>9286.23577859743</v>
      </c>
      <c r="R281" s="0" t="n">
        <f aca="false">ATAN2(Fz2_u,A281)</f>
        <v>1.57068864053474</v>
      </c>
      <c r="S281" s="0" t="n">
        <f aca="false">1/SQRT(1+(A281/Fp1_u)^2)</f>
        <v>0.0402564675952076</v>
      </c>
      <c r="T281" s="0" t="n">
        <f aca="false">-ATAN2(Fp1_u,A281)</f>
        <v>-1.53052897810358</v>
      </c>
      <c r="U281" s="0" t="n">
        <f aca="false">1/SQRT(1+(A281/Fp2_u)^2)</f>
        <v>0.739862120345584</v>
      </c>
      <c r="V281" s="0" t="n">
        <f aca="false">-ATAN2(Fp2_u,A281)</f>
        <v>-0.737930938276034</v>
      </c>
      <c r="X281" s="0" t="n">
        <f aca="false">20*LOG(C281*J281*O281*Q281*F281*M281*S281*U281)</f>
        <v>15.6690164784125</v>
      </c>
      <c r="Y281" s="0" t="n">
        <f aca="false">(180/Pi)*(D281+H281+N281+P281+R281+T281+V281)</f>
        <v>-222.126520713788</v>
      </c>
      <c r="Z281" s="0" t="n">
        <f aca="false">Y281+180</f>
        <v>-42.1265207137876</v>
      </c>
      <c r="AC281" s="0" t="n">
        <v>1</v>
      </c>
      <c r="AD281" s="0" t="n">
        <f aca="false">Rcea1_u*Cc1ea_u*A281*2*Pi</f>
        <v>8.183723189544</v>
      </c>
      <c r="AE281" s="0" t="n">
        <f aca="false">-Rcea1_u*Cc1ea_u*Cc2ea_u*(A281*2*Pi)^2</f>
        <v>-0.00258384742450155</v>
      </c>
      <c r="AF281" s="0" t="n">
        <f aca="false">(Cc2ea_u+Cc1ea_u)*A281*2*Pi</f>
        <v>0.002841570551925</v>
      </c>
      <c r="AG281" s="0" t="n">
        <f aca="false">AC281*AE281/(AE281^2+AF281^2)+AD281*AF281/(AE281^2+AF281^2)</f>
        <v>1401.333650233</v>
      </c>
      <c r="AH281" s="0" t="n">
        <f aca="false">AD281*AE281/(AE281^2+AF281^2)-AC281*AF281/(AE281^2+AF281^2)</f>
        <v>-1626.15436026796</v>
      </c>
      <c r="AJ281" s="0" t="n">
        <f aca="false">_Rfb1</f>
        <v>20000</v>
      </c>
      <c r="AK281" s="0" t="n">
        <f aca="false">_Rfb1*Rcea2_u*Cc3ea_u*A281*2*Pi</f>
        <v>496411.85108592</v>
      </c>
      <c r="AL281" s="0" t="n">
        <v>1</v>
      </c>
      <c r="AM281" s="0" t="n">
        <f aca="false">(_Rfb1+Rcea2_u)*Cc3ea_u*A281*2*Pi</f>
        <v>9286.2357247543</v>
      </c>
      <c r="AN281" s="0" t="n">
        <f aca="false">AJ281*AL281/(AL281^2+AM281^2)+AK281*AM281/(AL281^2+AM281^2)</f>
        <v>53.4569672543699</v>
      </c>
      <c r="AO281" s="0" t="n">
        <f aca="false">AK281*AL281/(AL281^2+AM281^2)-AJ281*AM281/(AL281^2+AM281^2)</f>
        <v>-2.14796863055869</v>
      </c>
      <c r="AQ281" s="0" t="n">
        <f aca="false">Eadcg/(1+(Eadcg*A281/GBP)^2)</f>
        <v>0.101446504517075</v>
      </c>
      <c r="AR281" s="0" t="n">
        <f aca="false">-(A281*Eadcg*Eadcg/GBP)/(1+(Eadcg*A281/GBP)^2)</f>
        <v>-17.9098731399671</v>
      </c>
      <c r="AT281" s="0" t="n">
        <f aca="false">-AR281*AH281+AG281*AQ281</f>
        <v>-28982.0578979252</v>
      </c>
      <c r="AU281" s="0" t="n">
        <f aca="false">AQ281*AH281+AG281*AR281</f>
        <v>-25262.6755780943</v>
      </c>
      <c r="AV281" s="0" t="n">
        <f aca="false">ATAN2(AT281,AU281)</f>
        <v>-2.42465403843673</v>
      </c>
      <c r="AW281" s="0" t="n">
        <f aca="false">AG281-AH281*AO281/_Rfb2+AG281*AN281/_Rfb2+AN281-AO281*AR281+AQ281*AN281</f>
        <v>1453.88194759986</v>
      </c>
      <c r="AX281" s="0" t="n">
        <f aca="false">AH281+AH281*AN281/_Rfb2+AG281*AO281/_Rfb2+AO281+AO281*AQ281+AN281*AR281</f>
        <v>-2626.40042028011</v>
      </c>
      <c r="AY281" s="0" t="n">
        <f aca="false">ATAN2(AW281,AX281)</f>
        <v>-1.06522060093281</v>
      </c>
      <c r="BA281" s="0" t="n">
        <f aca="false">SQRT(AT281^2+AU281^2)/SQRT(AW281^2+AX281^2)</f>
        <v>12.8072672145386</v>
      </c>
      <c r="BB281" s="0" t="n">
        <f aca="false">20*LOG(BA281)</f>
        <v>22.149129417284</v>
      </c>
      <c r="BC281" s="0" t="n">
        <f aca="false">AV281-AY281</f>
        <v>-1.35943343750393</v>
      </c>
      <c r="BD281" s="0" t="n">
        <f aca="false">BC281*180/Pi-180</f>
        <v>-257.889798586939</v>
      </c>
      <c r="BF281" s="0" t="n">
        <f aca="false">20*LOG(BA281*J281*F281*C281)</f>
        <v>5.75000625652489</v>
      </c>
      <c r="BG281" s="0" t="n">
        <f aca="false">(180/Pi)*(D281+H281+BC281)</f>
        <v>-253.07031956637</v>
      </c>
      <c r="BH281" s="0" t="n">
        <f aca="false">IF(BG281&gt;180,BG281-180,BG281+180)</f>
        <v>-73.0703195663703</v>
      </c>
      <c r="BI281" s="0" t="n">
        <f aca="false">IF(BH281&gt;180,BH281-360,BH281)</f>
        <v>-73.0703195663703</v>
      </c>
      <c r="BJ281" s="0" t="n">
        <f aca="false">SUM((BF282&lt;0)*(BF281&gt;0))*A281</f>
        <v>0</v>
      </c>
      <c r="BK281" s="0" t="n">
        <f aca="false">IF(BJ281&gt;0,BI281,0)</f>
        <v>0</v>
      </c>
      <c r="BM281" s="0" t="n">
        <f aca="false">20*LOG(J281*F281*C281)</f>
        <v>-16.3991231607591</v>
      </c>
      <c r="BN281" s="0" t="n">
        <f aca="false">(H281+D281)*180/Pi</f>
        <v>-175.180520979432</v>
      </c>
      <c r="BQ281" s="347" t="n">
        <f aca="false">20*LOG(BA281*7)</f>
        <v>39.0510902175691</v>
      </c>
      <c r="BR281" s="353"/>
      <c r="BS281" s="353"/>
      <c r="BT281" s="353" t="n">
        <v>51286.138</v>
      </c>
      <c r="BU281" s="353" t="n">
        <v>1.0493</v>
      </c>
      <c r="BV281" s="353" t="n">
        <v>-137.087</v>
      </c>
      <c r="BY281" s="353"/>
      <c r="BZ281" s="353"/>
      <c r="CA281" s="353"/>
      <c r="CC281" s="353"/>
    </row>
    <row r="282" customFormat="false" ht="12.75" hidden="false" customHeight="false" outlineLevel="0" collapsed="false">
      <c r="A282" s="0" t="n">
        <f aca="false">A281+5000</f>
        <v>340000</v>
      </c>
      <c r="B282" s="0" t="n">
        <f aca="false">A282/1000</f>
        <v>340</v>
      </c>
      <c r="C282" s="0" t="n">
        <f aca="false">SQRT((A282/Fesr)^2+1)</f>
        <v>1.00000228184993</v>
      </c>
      <c r="D282" s="0" t="n">
        <f aca="false">ATAN(A282/Fesr)</f>
        <v>0.00213627975222038</v>
      </c>
      <c r="F282" s="0" t="n">
        <f aca="false">(Ro/(Ro+Rdcr))/SQRT((A282/(Q*Fo))^2+(1-(A282^2/Fo^2))^2)</f>
        <v>0.0163215177112248</v>
      </c>
      <c r="G282" s="0" t="n">
        <f aca="false">-ATAN(A282*Fo/(Q*(Fo^2-A282^2)))</f>
        <v>0.080770226828561</v>
      </c>
      <c r="H282" s="0" t="n">
        <f aca="false">IF(G282&gt;0,G282-Pi,G282)</f>
        <v>-3.06082242317144</v>
      </c>
      <c r="J282" s="0" t="n">
        <f aca="false">Vin/Vramp</f>
        <v>9</v>
      </c>
      <c r="M282" s="0" t="n">
        <f aca="false">1/(2*Pi*_Rfb1*(Cc1ea_u+Cc2ea_u)*A282)</f>
        <v>0.0173371397901695</v>
      </c>
      <c r="N282" s="0" t="n">
        <f aca="false">-Pi/2</f>
        <v>-1.570796325</v>
      </c>
      <c r="O282" s="0" t="n">
        <f aca="false">SQRT(1+(A282/Fz1_u)^2)</f>
        <v>8.36585013089314</v>
      </c>
      <c r="P282" s="0" t="n">
        <f aca="false">ATAN2(Fz1_u,A282)</f>
        <v>1.45097624792479</v>
      </c>
      <c r="Q282" s="0" t="n">
        <f aca="false">SQRT(1+(A282/Fz2_u)^2)</f>
        <v>9424.8363110109</v>
      </c>
      <c r="R282" s="0" t="n">
        <f aca="false">ATAN2(Fz2_u,A282)</f>
        <v>1.5706902241562</v>
      </c>
      <c r="S282" s="0" t="n">
        <f aca="false">1/SQRT(1+(A282/Fp1_u)^2)</f>
        <v>0.0396653990890796</v>
      </c>
      <c r="T282" s="0" t="n">
        <f aca="false">-ATAN2(Fp1_u,A282)</f>
        <v>-1.53112051911595</v>
      </c>
      <c r="U282" s="0" t="n">
        <f aca="false">1/SQRT(1+(A282/Fp2_u)^2)</f>
        <v>0.734877669749258</v>
      </c>
      <c r="V282" s="0" t="n">
        <f aca="false">-ATAN2(Fp2_u,A282)</f>
        <v>-0.745310038415287</v>
      </c>
      <c r="X282" s="0" t="n">
        <f aca="false">20*LOG(C282*J282*O282*Q282*F282*M282*S282*U282)</f>
        <v>15.3478453517474</v>
      </c>
      <c r="Y282" s="0" t="n">
        <f aca="false">(180/Pi)*(D282+H282+N282+P282+R282+T282+V282)</f>
        <v>-222.550934379256</v>
      </c>
      <c r="Z282" s="0" t="n">
        <f aca="false">Y282+180</f>
        <v>-42.5509343792564</v>
      </c>
      <c r="AC282" s="0" t="n">
        <v>1</v>
      </c>
      <c r="AD282" s="0" t="n">
        <f aca="false">Rcea1_u*Cc1ea_u*A282*2*Pi</f>
        <v>8.305868311776</v>
      </c>
      <c r="AE282" s="0" t="n">
        <f aca="false">-Rcea1_u*Cc1ea_u*Cc2ea_u*(A282*2*Pi)^2</f>
        <v>-0.00266155279369463</v>
      </c>
      <c r="AF282" s="0" t="n">
        <f aca="false">(Cc2ea_u+Cc1ea_u)*A282*2*Pi</f>
        <v>0.0028839820527</v>
      </c>
      <c r="AG282" s="0" t="n">
        <f aca="false">AC282*AE282/(AE282^2+AF282^2)+AD282*AF282/(AE282^2+AF282^2)</f>
        <v>1382.51568511002</v>
      </c>
      <c r="AH282" s="0" t="n">
        <f aca="false">AD282*AE282/(AE282^2+AF282^2)-AC282*AF282/(AE282^2+AF282^2)</f>
        <v>-1622.63093130212</v>
      </c>
      <c r="AJ282" s="0" t="n">
        <f aca="false">_Rfb1</f>
        <v>20000</v>
      </c>
      <c r="AK282" s="0" t="n">
        <f aca="false">_Rfb1*Rcea2_u*Cc3ea_u*A282*2*Pi</f>
        <v>503820.98319168</v>
      </c>
      <c r="AL282" s="0" t="n">
        <v>1</v>
      </c>
      <c r="AM282" s="0" t="n">
        <f aca="false">(_Rfb1+Rcea2_u)*Cc3ea_u*A282*2*Pi</f>
        <v>9424.83625795958</v>
      </c>
      <c r="AN282" s="0" t="n">
        <f aca="false">AJ282*AL282/(AL282^2+AM282^2)+AK282*AM282/(AL282^2+AM282^2)</f>
        <v>53.4569605012546</v>
      </c>
      <c r="AO282" s="0" t="n">
        <f aca="false">AK282*AL282/(AL282^2+AM282^2)-AJ282*AM282/(AL282^2+AM282^2)</f>
        <v>-2.1163808572964</v>
      </c>
      <c r="AQ282" s="0" t="n">
        <f aca="false">Eadcg/(1+(Eadcg*A282/GBP)^2)</f>
        <v>0.0984848151676732</v>
      </c>
      <c r="AR282" s="0" t="n">
        <f aca="false">-(A282*Eadcg*Eadcg/GBP)/(1+(Eadcg*A282/GBP)^2)</f>
        <v>-17.6465091817437</v>
      </c>
      <c r="AT282" s="0" t="n">
        <f aca="false">-AR282*AH282+AG282*AQ282</f>
        <v>-28497.6148260897</v>
      </c>
      <c r="AU282" s="0" t="n">
        <f aca="false">AQ282*AH282+AG282*AR282</f>
        <v>-24556.3802385532</v>
      </c>
      <c r="AV282" s="0" t="n">
        <f aca="false">ATAN2(AT282,AU282)</f>
        <v>-2.43034552200334</v>
      </c>
      <c r="AW282" s="0" t="n">
        <f aca="false">AG282-AH282*AO282/_Rfb2+AG282*AN282/_Rfb2+AN282-AO282*AR282+AQ282*AN282</f>
        <v>1435.60255185374</v>
      </c>
      <c r="AX282" s="0" t="n">
        <f aca="false">AH282+AH282*AN282/_Rfb2+AG282*AO282/_Rfb2+AO282+AO282*AQ282+AN282*AR282</f>
        <v>-2608.63456915059</v>
      </c>
      <c r="AY282" s="0" t="n">
        <f aca="false">ATAN2(AW282,AX282)</f>
        <v>-1.06770194324887</v>
      </c>
      <c r="BA282" s="0" t="n">
        <f aca="false">SQRT(AT282^2+AU282^2)/SQRT(AW282^2+AX282^2)</f>
        <v>12.6338589244023</v>
      </c>
      <c r="BB282" s="0" t="n">
        <f aca="false">20*LOG(BA282)</f>
        <v>22.0307204609886</v>
      </c>
      <c r="BC282" s="0" t="n">
        <f aca="false">AV282-AY282</f>
        <v>-1.36264357875447</v>
      </c>
      <c r="BD282" s="0" t="n">
        <f aca="false">BC282*180/Pi-180</f>
        <v>-258.073726132446</v>
      </c>
      <c r="BF282" s="0" t="n">
        <f aca="false">20*LOG(BA282*J282*F282*C282)</f>
        <v>5.37080128222565</v>
      </c>
      <c r="BG282" s="0" t="n">
        <f aca="false">(180/Pi)*(D282+H282+BC282)</f>
        <v>-253.323533205766</v>
      </c>
      <c r="BH282" s="0" t="n">
        <f aca="false">IF(BG282&gt;180,BG282-180,BG282+180)</f>
        <v>-73.3235332057658</v>
      </c>
      <c r="BI282" s="0" t="n">
        <f aca="false">IF(BH282&gt;180,BH282-360,BH282)</f>
        <v>-73.3235332057658</v>
      </c>
      <c r="BJ282" s="0" t="n">
        <f aca="false">SUM((BF283&lt;0)*(BF282&gt;0))*A282</f>
        <v>0</v>
      </c>
      <c r="BK282" s="0" t="n">
        <f aca="false">IF(BJ282&gt;0,BI282,0)</f>
        <v>0</v>
      </c>
      <c r="BM282" s="0" t="n">
        <f aca="false">20*LOG(J282*F282*C282)</f>
        <v>-16.659919178763</v>
      </c>
      <c r="BN282" s="0" t="n">
        <f aca="false">(H282+D282)*180/Pi</f>
        <v>-175.24980707332</v>
      </c>
      <c r="BQ282" s="347" t="n">
        <f aca="false">20*LOG(BA282*7)</f>
        <v>38.9326812612737</v>
      </c>
      <c r="BR282" s="353"/>
      <c r="BS282" s="353"/>
      <c r="BT282" s="353" t="n">
        <v>52480.746</v>
      </c>
      <c r="BU282" s="353" t="n">
        <v>1.17524</v>
      </c>
      <c r="BV282" s="353" t="n">
        <v>-136.553</v>
      </c>
      <c r="BY282" s="353"/>
      <c r="BZ282" s="353"/>
      <c r="CA282" s="353"/>
      <c r="CC282" s="353"/>
    </row>
    <row r="283" customFormat="false" ht="12.75" hidden="false" customHeight="false" outlineLevel="0" collapsed="false">
      <c r="A283" s="0" t="n">
        <f aca="false">A282+5000</f>
        <v>345000</v>
      </c>
      <c r="B283" s="0" t="n">
        <f aca="false">A283/1000</f>
        <v>345</v>
      </c>
      <c r="C283" s="0" t="n">
        <f aca="false">SQRT((A283/Fesr)^2+1)</f>
        <v>1.00000234945656</v>
      </c>
      <c r="D283" s="0" t="n">
        <f aca="false">ATAN(A283/Fesr)</f>
        <v>0.00216769553322927</v>
      </c>
      <c r="F283" s="0" t="n">
        <f aca="false">(Ro/(Ro+Rdcr))/SQRT((A283/(Q*Fo))^2+(1-(A283^2/Fo^2))^2)</f>
        <v>0.0158458671059219</v>
      </c>
      <c r="G283" s="0" t="n">
        <f aca="false">-ATAN(A283*Fo/(Q*(Fo^2-A283^2)))</f>
        <v>0.0795669991542865</v>
      </c>
      <c r="H283" s="0" t="n">
        <f aca="false">IF(G283&gt;0,G283-Pi,G283)</f>
        <v>-3.06202565084571</v>
      </c>
      <c r="J283" s="0" t="n">
        <f aca="false">Vin/Vramp</f>
        <v>9</v>
      </c>
      <c r="M283" s="0" t="n">
        <f aca="false">1/(2*Pi*_Rfb1*(Cc1ea_u+Cc2ea_u)*A283)</f>
        <v>0.0170858768946598</v>
      </c>
      <c r="N283" s="0" t="n">
        <f aca="false">-Pi/2</f>
        <v>-1.570796325</v>
      </c>
      <c r="O283" s="0" t="n">
        <f aca="false">SQRT(1+(A283/Fz1_u)^2)</f>
        <v>8.4871320505704</v>
      </c>
      <c r="P283" s="0" t="n">
        <f aca="false">ATAN2(Fz1_u,A283)</f>
        <v>1.45269655233651</v>
      </c>
      <c r="Q283" s="0" t="n">
        <f aca="false">SQRT(1+(A283/Fz2_u)^2)</f>
        <v>9563.43684344733</v>
      </c>
      <c r="R283" s="0" t="n">
        <f aca="false">ATAN2(Fz2_u,A283)</f>
        <v>1.57069176187559</v>
      </c>
      <c r="S283" s="0" t="n">
        <f aca="false">1/SQRT(1+(A283/Fp1_u)^2)</f>
        <v>0.0390914231495231</v>
      </c>
      <c r="T283" s="0" t="n">
        <f aca="false">-ATAN2(Fp1_u,A283)</f>
        <v>-1.53169494060222</v>
      </c>
      <c r="U283" s="0" t="n">
        <f aca="false">1/SQRT(1+(A283/Fp2_u)^2)</f>
        <v>0.729920980754152</v>
      </c>
      <c r="V283" s="0" t="n">
        <f aca="false">-ATAN2(Fp2_u,A283)</f>
        <v>-0.752589987689412</v>
      </c>
      <c r="X283" s="0" t="n">
        <f aca="false">20*LOG(C283*J283*O283*Q283*F283*M283*S283*U283)</f>
        <v>15.0305818837514</v>
      </c>
      <c r="Y283" s="0" t="n">
        <f aca="false">(180/Pi)*(D283+H283+N283+P283+R283+T283+V283)</f>
        <v>-222.969442263803</v>
      </c>
      <c r="Z283" s="0" t="n">
        <f aca="false">Y283+180</f>
        <v>-42.9694422638029</v>
      </c>
      <c r="AC283" s="0" t="n">
        <v>1</v>
      </c>
      <c r="AD283" s="0" t="n">
        <f aca="false">Rcea1_u*Cc1ea_u*A283*2*Pi</f>
        <v>8.428013434008</v>
      </c>
      <c r="AE283" s="0" t="n">
        <f aca="false">-Rcea1_u*Cc1ea_u*Cc2ea_u*(A283*2*Pi)^2</f>
        <v>-0.00274040935354241</v>
      </c>
      <c r="AF283" s="0" t="n">
        <f aca="false">(Cc2ea_u+Cc1ea_u)*A283*2*Pi</f>
        <v>0.002926393553475</v>
      </c>
      <c r="AG283" s="0" t="n">
        <f aca="false">AC283*AE283/(AE283^2+AF283^2)+AD283*AF283/(AE283^2+AF283^2)</f>
        <v>1363.92867365147</v>
      </c>
      <c r="AH283" s="0" t="n">
        <f aca="false">AD283*AE283/(AE283^2+AF283^2)-AC283*AF283/(AE283^2+AF283^2)</f>
        <v>-1618.96300284467</v>
      </c>
      <c r="AJ283" s="0" t="n">
        <f aca="false">_Rfb1</f>
        <v>20000</v>
      </c>
      <c r="AK283" s="0" t="n">
        <f aca="false">_Rfb1*Rcea2_u*Cc3ea_u*A283*2*Pi</f>
        <v>511230.11529744</v>
      </c>
      <c r="AL283" s="0" t="n">
        <v>1</v>
      </c>
      <c r="AM283" s="0" t="n">
        <f aca="false">(_Rfb1+Rcea2_u)*Cc3ea_u*A283*2*Pi</f>
        <v>9563.43679116487</v>
      </c>
      <c r="AN283" s="0" t="n">
        <f aca="false">AJ283*AL283/(AL283^2+AM283^2)+AK283*AM283/(AL283^2+AM283^2)</f>
        <v>53.45695403962</v>
      </c>
      <c r="AO283" s="0" t="n">
        <f aca="false">AK283*AL283/(AL283^2+AM283^2)-AJ283*AM283/(AL283^2+AM283^2)</f>
        <v>-2.08570867163444</v>
      </c>
      <c r="AQ283" s="0" t="n">
        <f aca="false">Eadcg/(1+(Eadcg*A283/GBP)^2)</f>
        <v>0.0956509543127399</v>
      </c>
      <c r="AR283" s="0" t="n">
        <f aca="false">-(A283*Eadcg*Eadcg/GBP)/(1+(Eadcg*A283/GBP)^2)</f>
        <v>-17.3907782583708</v>
      </c>
      <c r="AT283" s="0" t="n">
        <f aca="false">-AR283*AH283+AG283*AQ283</f>
        <v>-28024.5655117285</v>
      </c>
      <c r="AU283" s="0" t="n">
        <f aca="false">AQ283*AH283+AG283*AR283</f>
        <v>-23874.6364799255</v>
      </c>
      <c r="AV283" s="0" t="n">
        <f aca="false">ATAN2(AT283,AU283)</f>
        <v>-2.43598604815125</v>
      </c>
      <c r="AW283" s="0" t="n">
        <f aca="false">AG283-AH283*AO283/_Rfb2+AG283*AN283/_Rfb2+AN283-AO283*AR283+AQ283*AN283</f>
        <v>1417.51739360065</v>
      </c>
      <c r="AX283" s="0" t="n">
        <f aca="false">AH283+AH283*AN283/_Rfb2+AG283*AO283/_Rfb2+AO283+AO283*AQ283+AN283*AR283</f>
        <v>-2591.13156052578</v>
      </c>
      <c r="AY283" s="0" t="n">
        <f aca="false">ATAN2(AW283,AX283)</f>
        <v>-1.07020926521065</v>
      </c>
      <c r="BA283" s="0" t="n">
        <f aca="false">SQRT(AT283^2+AU283^2)/SQRT(AW283^2+AX283^2)</f>
        <v>12.4649000712083</v>
      </c>
      <c r="BB283" s="0" t="n">
        <f aca="false">20*LOG(BA283)</f>
        <v>21.9137760239089</v>
      </c>
      <c r="BC283" s="0" t="n">
        <f aca="false">AV283-AY283</f>
        <v>-1.3657767829406</v>
      </c>
      <c r="BD283" s="0" t="n">
        <f aca="false">BC283*180/Pi-180</f>
        <v>-258.253245508869</v>
      </c>
      <c r="BF283" s="0" t="n">
        <f aca="false">20*LOG(BA283*J283*F283*C283)</f>
        <v>4.99696680620773</v>
      </c>
      <c r="BG283" s="0" t="n">
        <f aca="false">(180/Pi)*(D283+H283+BC283)</f>
        <v>-253.570192458133</v>
      </c>
      <c r="BH283" s="0" t="n">
        <f aca="false">IF(BG283&gt;180,BG283-180,BG283+180)</f>
        <v>-73.5701924581328</v>
      </c>
      <c r="BI283" s="0" t="n">
        <f aca="false">IF(BH283&gt;180,BH283-360,BH283)</f>
        <v>-73.5701924581328</v>
      </c>
      <c r="BJ283" s="0" t="n">
        <f aca="false">SUM((BF284&lt;0)*(BF283&gt;0))*A283</f>
        <v>0</v>
      </c>
      <c r="BK283" s="0" t="n">
        <f aca="false">IF(BJ283&gt;0,BI283,0)</f>
        <v>0</v>
      </c>
      <c r="BM283" s="0" t="n">
        <f aca="false">20*LOG(J283*F283*C283)</f>
        <v>-16.9168092177012</v>
      </c>
      <c r="BN283" s="0" t="n">
        <f aca="false">(H283+D283)*180/Pi</f>
        <v>-175.316946949264</v>
      </c>
      <c r="BQ283" s="347" t="n">
        <f aca="false">20*LOG(BA283*7)</f>
        <v>38.815736824194</v>
      </c>
      <c r="BR283" s="353"/>
      <c r="BS283" s="353"/>
      <c r="BT283" s="353" t="n">
        <v>53703.18</v>
      </c>
      <c r="BU283" s="353" t="n">
        <v>1.31529</v>
      </c>
      <c r="BV283" s="353" t="n">
        <v>-136.001</v>
      </c>
      <c r="BY283" s="353"/>
      <c r="BZ283" s="353"/>
      <c r="CA283" s="353"/>
      <c r="CC283" s="353"/>
    </row>
    <row r="284" customFormat="false" ht="12.75" hidden="false" customHeight="false" outlineLevel="0" collapsed="false">
      <c r="A284" s="0" t="n">
        <f aca="false">A283+5000</f>
        <v>350000</v>
      </c>
      <c r="B284" s="0" t="n">
        <f aca="false">A284/1000</f>
        <v>350</v>
      </c>
      <c r="C284" s="0" t="n">
        <f aca="false">SQRT((A284/Fesr)^2+1)</f>
        <v>1.00000241805015</v>
      </c>
      <c r="D284" s="0" t="n">
        <f aca="false">ATAN(A284/Fesr)</f>
        <v>0.00219911130995933</v>
      </c>
      <c r="F284" s="0" t="n">
        <f aca="false">(Ro/(Ro+Rdcr))/SQRT((A284/(Q*Fo))^2+(1-(A284^2/Fo^2))^2)</f>
        <v>0.0153907912034356</v>
      </c>
      <c r="G284" s="0" t="n">
        <f aca="false">-ATAN(A284*Fo/(Q*(Fo^2-A284^2)))</f>
        <v>0.0783995393980882</v>
      </c>
      <c r="H284" s="0" t="n">
        <f aca="false">IF(G284&gt;0,G284-Pi,G284)</f>
        <v>-3.06319311060191</v>
      </c>
      <c r="J284" s="0" t="n">
        <f aca="false">Vin/Vramp</f>
        <v>9</v>
      </c>
      <c r="M284" s="0" t="n">
        <f aca="false">1/(2*Pi*_Rfb1*(Cc1ea_u+Cc2ea_u)*A284)</f>
        <v>0.0168417929390218</v>
      </c>
      <c r="N284" s="0" t="n">
        <f aca="false">-Pi/2</f>
        <v>-1.570796325</v>
      </c>
      <c r="O284" s="0" t="n">
        <f aca="false">SQRT(1+(A284/Fz1_u)^2)</f>
        <v>8.6084383796856</v>
      </c>
      <c r="P284" s="0" t="n">
        <f aca="false">ATAN2(Fz1_u,A284)</f>
        <v>1.45436837803344</v>
      </c>
      <c r="Q284" s="0" t="n">
        <f aca="false">SQRT(1+(A284/Fz2_u)^2)</f>
        <v>9702.03737590573</v>
      </c>
      <c r="R284" s="0" t="n">
        <f aca="false">ATAN2(Fz2_u,A284)</f>
        <v>1.57069325566014</v>
      </c>
      <c r="S284" s="0" t="n">
        <f aca="false">1/SQRT(1+(A284/Fp1_u)^2)</f>
        <v>0.0385338094624917</v>
      </c>
      <c r="T284" s="0" t="n">
        <f aca="false">-ATAN2(Fp1_u,A284)</f>
        <v>-1.53225297477162</v>
      </c>
      <c r="U284" s="0" t="n">
        <f aca="false">1/SQRT(1+(A284/Fp2_u)^2)</f>
        <v>0.724993055723395</v>
      </c>
      <c r="V284" s="0" t="n">
        <f aca="false">-ATAN2(Fp2_u,A284)</f>
        <v>-0.75977201490469</v>
      </c>
      <c r="X284" s="0" t="n">
        <f aca="false">20*LOG(C284*J284*O284*Q284*F284*M284*S284*U284)</f>
        <v>14.7171188086175</v>
      </c>
      <c r="Y284" s="0" t="n">
        <f aca="false">(180/Pi)*(D284+H284+N284+P284+R284+T284+V284)</f>
        <v>-223.382131496088</v>
      </c>
      <c r="Z284" s="0" t="n">
        <f aca="false">Y284+180</f>
        <v>-43.382131496088</v>
      </c>
      <c r="AC284" s="0" t="n">
        <v>1</v>
      </c>
      <c r="AD284" s="0" t="n">
        <f aca="false">Rcea1_u*Cc1ea_u*A284*2*Pi</f>
        <v>8.55015855624</v>
      </c>
      <c r="AE284" s="0" t="n">
        <f aca="false">-Rcea1_u*Cc1ea_u*Cc2ea_u*(A284*2*Pi)^2</f>
        <v>-0.00282041710404491</v>
      </c>
      <c r="AF284" s="0" t="n">
        <f aca="false">(Cc2ea_u+Cc1ea_u)*A284*2*Pi</f>
        <v>0.00296880505425</v>
      </c>
      <c r="AG284" s="0" t="n">
        <f aca="false">AC284*AE284/(AE284^2+AF284^2)+AD284*AF284/(AE284^2+AF284^2)</f>
        <v>1345.57422296869</v>
      </c>
      <c r="AH284" s="0" t="n">
        <f aca="false">AD284*AE284/(AE284^2+AF284^2)-AC284*AF284/(AE284^2+AF284^2)</f>
        <v>-1615.15507606619</v>
      </c>
      <c r="AJ284" s="0" t="n">
        <f aca="false">_Rfb1</f>
        <v>20000</v>
      </c>
      <c r="AK284" s="0" t="n">
        <f aca="false">_Rfb1*Rcea2_u*Cc3ea_u*A284*2*Pi</f>
        <v>518639.2474032</v>
      </c>
      <c r="AL284" s="0" t="n">
        <v>1</v>
      </c>
      <c r="AM284" s="0" t="n">
        <f aca="false">(_Rfb1+Rcea2_u)*Cc3ea_u*A284*2*Pi</f>
        <v>9702.03732437016</v>
      </c>
      <c r="AN284" s="0" t="n">
        <f aca="false">AJ284*AL284/(AL284^2+AM284^2)+AK284*AM284/(AL284^2+AM284^2)</f>
        <v>53.4569478529298</v>
      </c>
      <c r="AO284" s="0" t="n">
        <f aca="false">AK284*AL284/(AL284^2+AM284^2)-AJ284*AM284/(AL284^2+AM284^2)</f>
        <v>-2.0559128341059</v>
      </c>
      <c r="AQ284" s="0" t="n">
        <f aca="false">Eadcg/(1+(Eadcg*A284/GBP)^2)</f>
        <v>0.0929376702580571</v>
      </c>
      <c r="AR284" s="0" t="n">
        <f aca="false">-(A284*Eadcg*Eadcg/GBP)/(1+(Eadcg*A284/GBP)^2)</f>
        <v>-17.1423532790986</v>
      </c>
      <c r="AT284" s="0" t="n">
        <f aca="false">-AR284*AH284+AG284*AQ284</f>
        <v>-27562.504381014</v>
      </c>
      <c r="AU284" s="0" t="n">
        <f aca="false">AQ284*AH284+AG284*AR284</f>
        <v>-23216.417443253</v>
      </c>
      <c r="AV284" s="0" t="n">
        <f aca="false">ATAN2(AT284,AU284)</f>
        <v>-2.44157482013015</v>
      </c>
      <c r="AW284" s="0" t="n">
        <f aca="false">AG284-AH284*AO284/_Rfb2+AG284*AN284/_Rfb2+AN284-AO284*AR284+AQ284*AN284</f>
        <v>1399.63050375969</v>
      </c>
      <c r="AX284" s="0" t="n">
        <f aca="false">AH284+AH284*AN284/_Rfb2+AG284*AO284/_Rfb2+AO284+AO284*AQ284+AN284*AR284</f>
        <v>-2573.87838576208</v>
      </c>
      <c r="AY284" s="0" t="n">
        <f aca="false">ATAN2(AW284,AX284)</f>
        <v>-1.0727390132557</v>
      </c>
      <c r="BA284" s="0" t="n">
        <f aca="false">SQRT(AT284^2+AU284^2)/SQRT(AW284^2+AX284^2)</f>
        <v>12.3002284525152</v>
      </c>
      <c r="BB284" s="0" t="n">
        <f aca="false">20*LOG(BA284)</f>
        <v>21.7982635535771</v>
      </c>
      <c r="BC284" s="0" t="n">
        <f aca="false">AV284-AY284</f>
        <v>-1.36883580687444</v>
      </c>
      <c r="BD284" s="0" t="n">
        <f aca="false">BC284*180/Pi-180</f>
        <v>-258.428514669908</v>
      </c>
      <c r="BF284" s="0" t="n">
        <f aca="false">20*LOG(BA284*J284*F284*C284)</f>
        <v>4.62835367398822</v>
      </c>
      <c r="BG284" s="0" t="n">
        <f aca="false">(180/Pi)*(D284+H284+BC284)</f>
        <v>-253.810552144611</v>
      </c>
      <c r="BH284" s="0" t="n">
        <f aca="false">IF(BG284&gt;180,BG284-180,BG284+180)</f>
        <v>-73.8105521446109</v>
      </c>
      <c r="BI284" s="0" t="n">
        <f aca="false">IF(BH284&gt;180,BH284-360,BH284)</f>
        <v>-73.8105521446109</v>
      </c>
      <c r="BJ284" s="0" t="n">
        <f aca="false">SUM((BF285&lt;0)*(BF284&gt;0))*A284</f>
        <v>0</v>
      </c>
      <c r="BK284" s="0" t="n">
        <f aca="false">IF(BJ284&gt;0,BI284,0)</f>
        <v>0</v>
      </c>
      <c r="BM284" s="0" t="n">
        <f aca="false">20*LOG(J284*F284*C284)</f>
        <v>-17.1699098795889</v>
      </c>
      <c r="BN284" s="0" t="n">
        <f aca="false">(H284+D284)*180/Pi</f>
        <v>-175.382037474703</v>
      </c>
      <c r="BQ284" s="347" t="n">
        <f aca="false">20*LOG(BA284*7)</f>
        <v>38.7002243538623</v>
      </c>
      <c r="BR284" s="353"/>
      <c r="BS284" s="353"/>
      <c r="BT284" s="353" t="n">
        <v>54954.087</v>
      </c>
      <c r="BU284" s="353" t="n">
        <v>1.46375</v>
      </c>
      <c r="BV284" s="353" t="n">
        <v>-135.524</v>
      </c>
      <c r="BY284" s="353"/>
      <c r="BZ284" s="353"/>
      <c r="CA284" s="353"/>
      <c r="CC284" s="353"/>
    </row>
    <row r="285" customFormat="false" ht="12.75" hidden="false" customHeight="false" outlineLevel="0" collapsed="false">
      <c r="A285" s="0" t="n">
        <f aca="false">A284+5000</f>
        <v>355000</v>
      </c>
      <c r="B285" s="0" t="n">
        <f aca="false">A285/1000</f>
        <v>355</v>
      </c>
      <c r="C285" s="0" t="n">
        <f aca="false">SQRT((A285/Fesr)^2+1)</f>
        <v>1.00000248763069</v>
      </c>
      <c r="D285" s="0" t="n">
        <f aca="false">ATAN(A285/Fesr)</f>
        <v>0.00223052708234856</v>
      </c>
      <c r="F285" s="0" t="n">
        <f aca="false">(Ro/(Ro+Rdcr))/SQRT((A285/(Q*Fo))^2+(1-(A285^2/Fo^2))^2)</f>
        <v>0.0149551158527289</v>
      </c>
      <c r="G285" s="0" t="n">
        <f aca="false">-ATAN(A285*Fo/(Q*(Fo^2-A285^2)))</f>
        <v>0.0772662581625603</v>
      </c>
      <c r="H285" s="0" t="n">
        <f aca="false">IF(G285&gt;0,G285-Pi,G285)</f>
        <v>-3.06432639183744</v>
      </c>
      <c r="J285" s="0" t="n">
        <f aca="false">Vin/Vramp</f>
        <v>9</v>
      </c>
      <c r="M285" s="0" t="n">
        <f aca="false">1/(2*Pi*_Rfb1*(Cc1ea_u+Cc2ea_u)*A285)</f>
        <v>0.016604584587768</v>
      </c>
      <c r="N285" s="0" t="n">
        <f aca="false">-Pi/2</f>
        <v>-1.570796325</v>
      </c>
      <c r="O285" s="0" t="n">
        <f aca="false">SQRT(1+(A285/Fz1_u)^2)</f>
        <v>8.72976810067937</v>
      </c>
      <c r="P285" s="0" t="n">
        <f aca="false">ATAN2(Fz1_u,A285)</f>
        <v>1.45599373679777</v>
      </c>
      <c r="Q285" s="0" t="n">
        <f aca="false">SQRT(1+(A285/Fz2_u)^2)</f>
        <v>9840.63790838516</v>
      </c>
      <c r="R285" s="0" t="n">
        <f aca="false">ATAN2(Fz2_u,A285)</f>
        <v>1.57069470736625</v>
      </c>
      <c r="S285" s="0" t="n">
        <f aca="false">1/SQRT(1+(A285/Fp1_u)^2)</f>
        <v>0.0379918687053772</v>
      </c>
      <c r="T285" s="0" t="n">
        <f aca="false">-ATAN2(Fp1_u,A285)</f>
        <v>-1.53279531268434</v>
      </c>
      <c r="U285" s="0" t="n">
        <f aca="false">1/SQRT(1+(A285/Fp2_u)^2)</f>
        <v>0.720094825814773</v>
      </c>
      <c r="V285" s="0" t="n">
        <f aca="false">-ATAN2(Fp2_u,A285)</f>
        <v>-0.766857356447016</v>
      </c>
      <c r="X285" s="0" t="n">
        <f aca="false">20*LOG(C285*J285*O285*Q285*F285*M285*S285*U285)</f>
        <v>14.4073538336826</v>
      </c>
      <c r="Y285" s="0" t="n">
        <f aca="false">(180/Pi)*(D285+H285+N285+P285+R285+T285+V285)</f>
        <v>-223.78908820341</v>
      </c>
      <c r="Z285" s="0" t="n">
        <f aca="false">Y285+180</f>
        <v>-43.7890882034104</v>
      </c>
      <c r="AC285" s="0" t="n">
        <v>1</v>
      </c>
      <c r="AD285" s="0" t="n">
        <f aca="false">Rcea1_u*Cc1ea_u*A285*2*Pi</f>
        <v>8.672303678472</v>
      </c>
      <c r="AE285" s="0" t="n">
        <f aca="false">-Rcea1_u*Cc1ea_u*Cc2ea_u*(A285*2*Pi)^2</f>
        <v>-0.00290157604520212</v>
      </c>
      <c r="AF285" s="0" t="n">
        <f aca="false">(Cc2ea_u+Cc1ea_u)*A285*2*Pi</f>
        <v>0.003011216555025</v>
      </c>
      <c r="AG285" s="0" t="n">
        <f aca="false">AC285*AE285/(AE285^2+AF285^2)+AD285*AF285/(AE285^2+AF285^2)</f>
        <v>1327.45358890293</v>
      </c>
      <c r="AH285" s="0" t="n">
        <f aca="false">AD285*AE285/(AE285^2+AF285^2)-AC285*AF285/(AE285^2+AF285^2)</f>
        <v>-1611.21176309356</v>
      </c>
      <c r="AJ285" s="0" t="n">
        <f aca="false">_Rfb1</f>
        <v>20000</v>
      </c>
      <c r="AK285" s="0" t="n">
        <f aca="false">_Rfb1*Rcea2_u*Cc3ea_u*A285*2*Pi</f>
        <v>526048.37950896</v>
      </c>
      <c r="AL285" s="0" t="n">
        <v>1</v>
      </c>
      <c r="AM285" s="0" t="n">
        <f aca="false">(_Rfb1+Rcea2_u)*Cc3ea_u*A285*2*Pi</f>
        <v>9840.63785757545</v>
      </c>
      <c r="AN285" s="0" t="n">
        <f aca="false">AJ285*AL285/(AL285^2+AM285^2)+AK285*AM285/(AL285^2+AM285^2)</f>
        <v>53.4569419258037</v>
      </c>
      <c r="AO285" s="0" t="n">
        <f aca="false">AK285*AL285/(AL285^2+AM285^2)-AJ285*AM285/(AL285^2+AM285^2)</f>
        <v>-2.02695631591799</v>
      </c>
      <c r="AQ285" s="0" t="n">
        <f aca="false">Eadcg/(1+(Eadcg*A285/GBP)^2)</f>
        <v>0.0903382183398727</v>
      </c>
      <c r="AR285" s="0" t="n">
        <f aca="false">-(A285*Eadcg*Eadcg/GBP)/(1+(Eadcg*A285/GBP)^2)</f>
        <v>-16.9009255781151</v>
      </c>
      <c r="AT285" s="0" t="n">
        <f aca="false">-AR285*AH285+AG285*AQ285</f>
        <v>-27111.0503064774</v>
      </c>
      <c r="AU285" s="0" t="n">
        <f aca="false">AQ285*AH285+AG285*AR285</f>
        <v>-22580.7483144963</v>
      </c>
      <c r="AV285" s="0" t="n">
        <f aca="false">ATAN2(AT285,AU285)</f>
        <v>-2.44711116018043</v>
      </c>
      <c r="AW285" s="0" t="n">
        <f aca="false">AG285-AH285*AO285/_Rfb2+AG285*AN285/_Rfb2+AN285-AO285*AR285+AQ285*AN285</f>
        <v>1381.94538697306</v>
      </c>
      <c r="AX285" s="0" t="n">
        <f aca="false">AH285+AH285*AN285/_Rfb2+AG285*AO285/_Rfb2+AO285+AO285*AQ285+AN285*AR285</f>
        <v>-2556.86314299202</v>
      </c>
      <c r="AY285" s="0" t="n">
        <f aca="false">ATAN2(AW285,AX285)</f>
        <v>-1.07528787499518</v>
      </c>
      <c r="BA285" s="0" t="n">
        <f aca="false">SQRT(AT285^2+AU285^2)/SQRT(AW285^2+AX285^2)</f>
        <v>12.1396893126292</v>
      </c>
      <c r="BB285" s="0" t="n">
        <f aca="false">20*LOG(BA285)</f>
        <v>21.6841514423015</v>
      </c>
      <c r="BC285" s="0" t="n">
        <f aca="false">AV285-AY285</f>
        <v>-1.37182328518525</v>
      </c>
      <c r="BD285" s="0" t="n">
        <f aca="false">BC285*180/Pi-180</f>
        <v>-258.599684568699</v>
      </c>
      <c r="BF285" s="0" t="n">
        <f aca="false">20*LOG(BA285*J285*F285*C285)</f>
        <v>4.26481887289642</v>
      </c>
      <c r="BG285" s="0" t="n">
        <f aca="false">(180/Pi)*(D285+H285+BC285)</f>
        <v>-254.044854284104</v>
      </c>
      <c r="BH285" s="0" t="n">
        <f aca="false">IF(BG285&gt;180,BG285-180,BG285+180)</f>
        <v>-74.0448542841036</v>
      </c>
      <c r="BI285" s="0" t="n">
        <f aca="false">IF(BH285&gt;180,BH285-360,BH285)</f>
        <v>-74.0448542841036</v>
      </c>
      <c r="BJ285" s="0" t="n">
        <f aca="false">SUM((BF286&lt;0)*(BF285&gt;0))*A285</f>
        <v>0</v>
      </c>
      <c r="BK285" s="0" t="n">
        <f aca="false">IF(BJ285&gt;0,BI285,0)</f>
        <v>0</v>
      </c>
      <c r="BM285" s="0" t="n">
        <f aca="false">20*LOG(J285*F285*C285)</f>
        <v>-17.4193325694051</v>
      </c>
      <c r="BN285" s="0" t="n">
        <f aca="false">(H285+D285)*180/Pi</f>
        <v>-175.445169715404</v>
      </c>
      <c r="BQ285" s="347" t="n">
        <f aca="false">20*LOG(BA285*7)</f>
        <v>38.5861122425867</v>
      </c>
      <c r="BR285" s="353"/>
      <c r="BS285" s="353"/>
      <c r="BT285" s="353" t="n">
        <v>56234.133</v>
      </c>
      <c r="BU285" s="353" t="n">
        <v>1.62296</v>
      </c>
      <c r="BV285" s="353" t="n">
        <v>-134.983</v>
      </c>
      <c r="BY285" s="353"/>
      <c r="BZ285" s="353"/>
      <c r="CA285" s="353"/>
      <c r="CC285" s="353"/>
    </row>
    <row r="286" customFormat="false" ht="12.75" hidden="false" customHeight="false" outlineLevel="0" collapsed="false">
      <c r="A286" s="0" t="n">
        <f aca="false">A285+5000</f>
        <v>360000</v>
      </c>
      <c r="B286" s="0" t="n">
        <f aca="false">A286/1000</f>
        <v>360</v>
      </c>
      <c r="C286" s="0" t="n">
        <f aca="false">SQRT((A286/Fesr)^2+1)</f>
        <v>1.00000255819818</v>
      </c>
      <c r="D286" s="0" t="n">
        <f aca="false">ATAN(A286/Fesr)</f>
        <v>0.00226194285033494</v>
      </c>
      <c r="F286" s="0" t="n">
        <f aca="false">(Ro/(Ro+Rdcr))/SQRT((A286/(Q*Fo))^2+(1-(A286^2/Fo^2))^2)</f>
        <v>0.0145377497741402</v>
      </c>
      <c r="G286" s="0" t="n">
        <f aca="false">-ATAN(A286*Fo/(Q*(Fo^2-A286^2)))</f>
        <v>0.0761656597740089</v>
      </c>
      <c r="H286" s="0" t="n">
        <f aca="false">IF(G286&gt;0,G286-Pi,G286)</f>
        <v>-3.06542699022599</v>
      </c>
      <c r="J286" s="0" t="n">
        <f aca="false">Vin/Vramp</f>
        <v>9</v>
      </c>
      <c r="M286" s="0" t="n">
        <f aca="false">1/(2*Pi*_Rfb1*(Cc1ea_u+Cc2ea_u)*A286)</f>
        <v>0.0163739653573823</v>
      </c>
      <c r="N286" s="0" t="n">
        <f aca="false">-Pi/2</f>
        <v>-1.570796325</v>
      </c>
      <c r="O286" s="0" t="n">
        <f aca="false">SQRT(1+(A286/Fz1_u)^2)</f>
        <v>8.8511202515955</v>
      </c>
      <c r="P286" s="0" t="n">
        <f aca="false">ATAN2(Fz1_u,A286)</f>
        <v>1.45757453109688</v>
      </c>
      <c r="Q286" s="0" t="n">
        <f aca="false">SQRT(1+(A286/Fz2_u)^2)</f>
        <v>9979.23844088476</v>
      </c>
      <c r="R286" s="0" t="n">
        <f aca="false">ATAN2(Fz2_u,A286)</f>
        <v>1.5706961187472</v>
      </c>
      <c r="S286" s="0" t="n">
        <f aca="false">1/SQRT(1+(A286/Fp1_u)^2)</f>
        <v>0.0374649497128366</v>
      </c>
      <c r="T286" s="0" t="n">
        <f aca="false">-ATAN2(Fp1_u,A286)</f>
        <v>-1.53332260710075</v>
      </c>
      <c r="U286" s="0" t="n">
        <f aca="false">1/SQRT(1+(A286/Fp2_u)^2)</f>
        <v>0.715227153782927</v>
      </c>
      <c r="V286" s="0" t="n">
        <f aca="false">-ATAN2(Fp2_u,A286)</f>
        <v>-0.773847254474664</v>
      </c>
      <c r="X286" s="0" t="n">
        <f aca="false">20*LOG(C286*J286*O286*Q286*F286*M286*S286*U286)</f>
        <v>14.1011893218197</v>
      </c>
      <c r="Y286" s="0" t="n">
        <f aca="false">(180/Pi)*(D286+H286+N286+P286+R286+T286+V286)</f>
        <v>-224.1903975486</v>
      </c>
      <c r="Z286" s="0" t="n">
        <f aca="false">Y286+180</f>
        <v>-44.1903975485999</v>
      </c>
      <c r="AC286" s="0" t="n">
        <v>1</v>
      </c>
      <c r="AD286" s="0" t="n">
        <f aca="false">Rcea1_u*Cc1ea_u*A286*2*Pi</f>
        <v>8.794448800704</v>
      </c>
      <c r="AE286" s="0" t="n">
        <f aca="false">-Rcea1_u*Cc1ea_u*Cc2ea_u*(A286*2*Pi)^2</f>
        <v>-0.00298388617701404</v>
      </c>
      <c r="AF286" s="0" t="n">
        <f aca="false">(Cc2ea_u+Cc1ea_u)*A286*2*Pi</f>
        <v>0.0030536280558</v>
      </c>
      <c r="AG286" s="0" t="n">
        <f aca="false">AC286*AE286/(AE286^2+AF286^2)+AD286*AF286/(AE286^2+AF286^2)</f>
        <v>1309.56769666157</v>
      </c>
      <c r="AH286" s="0" t="n">
        <f aca="false">AD286*AE286/(AE286^2+AF286^2)-AC286*AF286/(AE286^2+AF286^2)</f>
        <v>-1607.1377581861</v>
      </c>
      <c r="AJ286" s="0" t="n">
        <f aca="false">_Rfb1</f>
        <v>20000</v>
      </c>
      <c r="AK286" s="0" t="n">
        <f aca="false">_Rfb1*Rcea2_u*Cc3ea_u*A286*2*Pi</f>
        <v>533457.51161472</v>
      </c>
      <c r="AL286" s="0" t="n">
        <v>1</v>
      </c>
      <c r="AM286" s="0" t="n">
        <f aca="false">(_Rfb1+Rcea2_u)*Cc3ea_u*A286*2*Pi</f>
        <v>9979.23839078074</v>
      </c>
      <c r="AN286" s="0" t="n">
        <f aca="false">AJ286*AL286/(AL286^2+AM286^2)+AK286*AM286/(AL286^2+AM286^2)</f>
        <v>53.4569362439221</v>
      </c>
      <c r="AO286" s="0" t="n">
        <f aca="false">AK286*AL286/(AL286^2+AM286^2)-AJ286*AM286/(AL286^2+AM286^2)</f>
        <v>-1.99880414543294</v>
      </c>
      <c r="AQ286" s="0" t="n">
        <f aca="false">Eadcg/(1+(Eadcg*A286/GBP)^2)</f>
        <v>0.0878463189714177</v>
      </c>
      <c r="AR286" s="0" t="n">
        <f aca="false">-(A286*Eadcg*Eadcg/GBP)/(1+(Eadcg*A286/GBP)^2)</f>
        <v>-16.6662036352574</v>
      </c>
      <c r="AT286" s="0" t="n">
        <f aca="false">-AR286*AH286+AG286*AQ286</f>
        <v>-26669.8444462449</v>
      </c>
      <c r="AU286" s="0" t="n">
        <f aca="false">AQ286*AH286+AG286*AR286</f>
        <v>-21966.7030428533</v>
      </c>
      <c r="AV286" s="0" t="n">
        <f aca="false">ATAN2(AT286,AU286)</f>
        <v>-2.45259450020567</v>
      </c>
      <c r="AW286" s="0" t="n">
        <f aca="false">AG286-AH286*AO286/_Rfb2+AG286*AN286/_Rfb2+AN286-AO286*AR286+AQ286*AN286</f>
        <v>1364.46505652762</v>
      </c>
      <c r="AX286" s="0" t="n">
        <f aca="false">AH286+AH286*AN286/_Rfb2+AG286*AO286/_Rfb2+AO286+AO286*AQ286+AN286*AR286</f>
        <v>-2540.07493858314</v>
      </c>
      <c r="AY286" s="0" t="n">
        <f aca="false">ATAN2(AW286,AX286)</f>
        <v>-1.07785276375787</v>
      </c>
      <c r="BA286" s="0" t="n">
        <f aca="false">SQRT(AT286^2+AU286^2)/SQRT(AW286^2+AX286^2)</f>
        <v>11.9831349410171</v>
      </c>
      <c r="BB286" s="0" t="n">
        <f aca="false">20*LOG(BA286)</f>
        <v>21.571408997924</v>
      </c>
      <c r="BC286" s="0" t="n">
        <f aca="false">AV286-AY286</f>
        <v>-1.37474173644781</v>
      </c>
      <c r="BD286" s="0" t="n">
        <f aca="false">BC286*180/Pi-180</f>
        <v>-258.76689950895</v>
      </c>
      <c r="BF286" s="0" t="n">
        <f aca="false">20*LOG(BA286*J286*F286*C286)</f>
        <v>3.90622519582523</v>
      </c>
      <c r="BG286" s="0" t="n">
        <f aca="false">(180/Pi)*(D286+H286+BC286)</f>
        <v>-254.273328876111</v>
      </c>
      <c r="BH286" s="0" t="n">
        <f aca="false">IF(BG286&gt;180,BG286-180,BG286+180)</f>
        <v>-74.2733288761112</v>
      </c>
      <c r="BI286" s="0" t="n">
        <f aca="false">IF(BH286&gt;180,BH286-360,BH286)</f>
        <v>-74.2733288761112</v>
      </c>
      <c r="BJ286" s="0" t="n">
        <f aca="false">SUM((BF287&lt;0)*(BF286&gt;0))*A286</f>
        <v>0</v>
      </c>
      <c r="BK286" s="0" t="n">
        <f aca="false">IF(BJ286&gt;0,BI286,0)</f>
        <v>0</v>
      </c>
      <c r="BM286" s="0" t="n">
        <f aca="false">20*LOG(J286*F286*C286)</f>
        <v>-17.6651838020987</v>
      </c>
      <c r="BN286" s="0" t="n">
        <f aca="false">(H286+D286)*180/Pi</f>
        <v>-175.506429367161</v>
      </c>
      <c r="BQ286" s="347" t="n">
        <f aca="false">20*LOG(BA286*7)</f>
        <v>38.4733697982091</v>
      </c>
      <c r="BR286" s="353"/>
      <c r="BS286" s="353"/>
      <c r="BT286" s="353" t="n">
        <v>57543.994</v>
      </c>
      <c r="BU286" s="353" t="n">
        <v>1.78169</v>
      </c>
      <c r="BV286" s="353" t="n">
        <v>-134.522</v>
      </c>
      <c r="BY286" s="353"/>
      <c r="BZ286" s="353"/>
      <c r="CA286" s="353"/>
      <c r="CC286" s="353"/>
    </row>
    <row r="287" customFormat="false" ht="12.75" hidden="false" customHeight="false" outlineLevel="0" collapsed="false">
      <c r="A287" s="0" t="n">
        <f aca="false">A286+5000</f>
        <v>365000</v>
      </c>
      <c r="B287" s="0" t="n">
        <f aca="false">A287/1000</f>
        <v>365</v>
      </c>
      <c r="C287" s="0" t="n">
        <f aca="false">SQRT((A287/Fesr)^2+1)</f>
        <v>1.00000262975263</v>
      </c>
      <c r="D287" s="0" t="n">
        <f aca="false">ATAN(A287/Fesr)</f>
        <v>0.00229335861385646</v>
      </c>
      <c r="F287" s="0" t="n">
        <f aca="false">(Ro/(Ro+Rdcr))/SQRT((A287/(Q*Fo))^2+(1-(A287^2/Fo^2))^2)</f>
        <v>0.0141376776152651</v>
      </c>
      <c r="G287" s="0" t="n">
        <f aca="false">-ATAN(A287*Fo/(Q*(Fo^2-A287^2)))</f>
        <v>0.0750963354156975</v>
      </c>
      <c r="H287" s="0" t="n">
        <f aca="false">IF(G287&gt;0,G287-Pi,G287)</f>
        <v>-3.0664963145843</v>
      </c>
      <c r="J287" s="0" t="n">
        <f aca="false">Vin/Vramp</f>
        <v>9</v>
      </c>
      <c r="M287" s="0" t="n">
        <f aca="false">1/(2*Pi*_Rfb1*(Cc1ea_u+Cc2ea_u)*A287)</f>
        <v>0.0161496644620757</v>
      </c>
      <c r="N287" s="0" t="n">
        <f aca="false">-Pi/2</f>
        <v>-1.570796325</v>
      </c>
      <c r="O287" s="0" t="n">
        <f aca="false">SQRT(1+(A287/Fz1_u)^2)</f>
        <v>8.97249392234618</v>
      </c>
      <c r="P287" s="0" t="n">
        <f aca="false">ATAN2(Fz1_u,A287)</f>
        <v>1.45911256137684</v>
      </c>
      <c r="Q287" s="0" t="n">
        <f aca="false">SQRT(1+(A287/Fz2_u)^2)</f>
        <v>10117.8389734037</v>
      </c>
      <c r="R287" s="0" t="n">
        <f aca="false">ATAN2(Fz2_u,A287)</f>
        <v>1.57069749146017</v>
      </c>
      <c r="S287" s="0" t="n">
        <f aca="false">1/SQRT(1+(A287/Fp1_u)^2)</f>
        <v>0.0369524368743978</v>
      </c>
      <c r="T287" s="0" t="n">
        <f aca="false">-ATAN2(Fp1_u,A287)</f>
        <v>-1.5338354750973</v>
      </c>
      <c r="U287" s="0" t="n">
        <f aca="false">1/SQRT(1+(A287/Fp2_u)^2)</f>
        <v>0.710390836739798</v>
      </c>
      <c r="V287" s="0" t="n">
        <f aca="false">-ATAN2(Fp2_u,A287)</f>
        <v>-0.780742955218639</v>
      </c>
      <c r="X287" s="0" t="n">
        <f aca="false">20*LOG(C287*J287*O287*Q287*F287*M287*S287*U287)</f>
        <v>13.7985319985602</v>
      </c>
      <c r="Y287" s="0" t="n">
        <f aca="false">(180/Pi)*(D287+H287+N287+P287+R287+T287+V287)</f>
        <v>-224.586143757653</v>
      </c>
      <c r="Z287" s="0" t="n">
        <f aca="false">Y287+180</f>
        <v>-44.5861437576535</v>
      </c>
      <c r="AC287" s="0" t="n">
        <v>1</v>
      </c>
      <c r="AD287" s="0" t="n">
        <f aca="false">Rcea1_u*Cc1ea_u*A287*2*Pi</f>
        <v>8.916593922936</v>
      </c>
      <c r="AE287" s="0" t="n">
        <f aca="false">-Rcea1_u*Cc1ea_u*Cc2ea_u*(A287*2*Pi)^2</f>
        <v>-0.00306734749948068</v>
      </c>
      <c r="AF287" s="0" t="n">
        <f aca="false">(Cc2ea_u+Cc1ea_u)*A287*2*Pi</f>
        <v>0.003096039556575</v>
      </c>
      <c r="AG287" s="0" t="n">
        <f aca="false">AC287*AE287/(AE287^2+AF287^2)+AD287*AF287/(AE287^2+AF287^2)</f>
        <v>1291.91716076511</v>
      </c>
      <c r="AH287" s="0" t="n">
        <f aca="false">AD287*AE287/(AE287^2+AF287^2)-AC287*AF287/(AE287^2+AF287^2)</f>
        <v>-1602.9378119765</v>
      </c>
      <c r="AJ287" s="0" t="n">
        <f aca="false">_Rfb1</f>
        <v>20000</v>
      </c>
      <c r="AK287" s="0" t="n">
        <f aca="false">_Rfb1*Rcea2_u*Cc3ea_u*A287*2*Pi</f>
        <v>540866.64372048</v>
      </c>
      <c r="AL287" s="0" t="n">
        <v>1</v>
      </c>
      <c r="AM287" s="0" t="n">
        <f aca="false">(_Rfb1+Rcea2_u)*Cc3ea_u*A287*2*Pi</f>
        <v>10117.838923986</v>
      </c>
      <c r="AN287" s="0" t="n">
        <f aca="false">AJ287*AL287/(AL287^2+AM287^2)+AK287*AM287/(AL287^2+AM287^2)</f>
        <v>53.4569307939394</v>
      </c>
      <c r="AO287" s="0" t="n">
        <f aca="false">AK287*AL287/(AL287^2+AM287^2)-AJ287*AM287/(AL287^2+AM287^2)</f>
        <v>-1.97142326726703</v>
      </c>
      <c r="AQ287" s="0" t="n">
        <f aca="false">Eadcg/(1+(Eadcg*A287/GBP)^2)</f>
        <v>0.0854561196841766</v>
      </c>
      <c r="AR287" s="0" t="n">
        <f aca="false">-(A287*Eadcg*Eadcg/GBP)/(1+(Eadcg*A287/GBP)^2)</f>
        <v>-16.4379119018498</v>
      </c>
      <c r="AT287" s="0" t="n">
        <f aca="false">-AR287*AH287+AG287*AQ287</f>
        <v>-26238.5483099012</v>
      </c>
      <c r="AU287" s="0" t="n">
        <f aca="false">AQ287*AH287+AG287*AR287</f>
        <v>-21373.4013186513</v>
      </c>
      <c r="AV287" s="0" t="n">
        <f aca="false">ATAN2(AT287,AU287)</f>
        <v>-2.45802437315099</v>
      </c>
      <c r="AW287" s="0" t="n">
        <f aca="false">AG287-AH287*AO287/_Rfb2+AG287*AN287/_Rfb2+AN287-AO287*AR287+AQ287*AN287</f>
        <v>1347.19206725654</v>
      </c>
      <c r="AX287" s="0" t="n">
        <f aca="false">AH287+AH287*AN287/_Rfb2+AG287*AO287/_Rfb2+AO287+AO287*AQ287+AN287*AR287</f>
        <v>-2523.50379741487</v>
      </c>
      <c r="AY287" s="0" t="n">
        <f aca="false">ATAN2(AW287,AX287)</f>
        <v>-1.08043080415498</v>
      </c>
      <c r="BA287" s="0" t="n">
        <f aca="false">SQRT(AT287^2+AU287^2)/SQRT(AW287^2+AX287^2)</f>
        <v>11.8304242949325</v>
      </c>
      <c r="BB287" s="0" t="n">
        <f aca="false">20*LOG(BA287)</f>
        <v>21.4600064152018</v>
      </c>
      <c r="BC287" s="0" t="n">
        <f aca="false">AV287-AY287</f>
        <v>-1.37759356899601</v>
      </c>
      <c r="BD287" s="0" t="n">
        <f aca="false">BC287*180/Pi-180</f>
        <v>-258.930297478027</v>
      </c>
      <c r="BF287" s="0" t="n">
        <f aca="false">20*LOG(BA287*J287*F287*C287)</f>
        <v>3.55244092811145</v>
      </c>
      <c r="BG287" s="0" t="n">
        <f aca="false">(180/Pi)*(D287+H287+BC287)</f>
        <v>-254.496194627258</v>
      </c>
      <c r="BH287" s="0" t="n">
        <f aca="false">IF(BG287&gt;180,BG287-180,BG287+180)</f>
        <v>-74.4961946272578</v>
      </c>
      <c r="BI287" s="0" t="n">
        <f aca="false">IF(BH287&gt;180,BH287-360,BH287)</f>
        <v>-74.4961946272578</v>
      </c>
      <c r="BJ287" s="0" t="n">
        <f aca="false">SUM((BF288&lt;0)*(BF287&gt;0))*A287</f>
        <v>0</v>
      </c>
      <c r="BK287" s="0" t="n">
        <f aca="false">IF(BJ287&gt;0,BI287,0)</f>
        <v>0</v>
      </c>
      <c r="BM287" s="0" t="n">
        <f aca="false">20*LOG(J287*F287*C287)</f>
        <v>-17.9075654870904</v>
      </c>
      <c r="BN287" s="0" t="n">
        <f aca="false">(H287+D287)*180/Pi</f>
        <v>-175.565897149231</v>
      </c>
      <c r="BQ287" s="347" t="n">
        <f aca="false">20*LOG(BA287*7)</f>
        <v>38.361967215487</v>
      </c>
      <c r="BR287" s="353"/>
      <c r="BS287" s="353"/>
      <c r="BT287" s="353" t="n">
        <v>58884.366</v>
      </c>
      <c r="BU287" s="353" t="n">
        <v>1.9422</v>
      </c>
      <c r="BV287" s="353" t="n">
        <v>-134.059</v>
      </c>
      <c r="BY287" s="353"/>
      <c r="BZ287" s="353"/>
      <c r="CA287" s="353"/>
      <c r="CC287" s="353"/>
    </row>
    <row r="288" customFormat="false" ht="12.75" hidden="false" customHeight="false" outlineLevel="0" collapsed="false">
      <c r="A288" s="0" t="n">
        <f aca="false">A287+5000</f>
        <v>370000</v>
      </c>
      <c r="B288" s="0" t="n">
        <f aca="false">A288/1000</f>
        <v>370</v>
      </c>
      <c r="C288" s="0" t="n">
        <f aca="false">SQRT((A288/Fesr)^2+1)</f>
        <v>1.00000270229403</v>
      </c>
      <c r="D288" s="0" t="n">
        <f aca="false">ATAN(A288/Fesr)</f>
        <v>0.00232477437285111</v>
      </c>
      <c r="F288" s="0" t="n">
        <f aca="false">(Ro/(Ro+Rdcr))/SQRT((A288/(Q*Fo))^2+(1-(A288^2/Fo^2))^2)</f>
        <v>0.0137539536784146</v>
      </c>
      <c r="G288" s="0" t="n">
        <f aca="false">-ATAN(A288*Fo/(Q*(Fo^2-A288^2)))</f>
        <v>0.0740569568604355</v>
      </c>
      <c r="H288" s="0" t="n">
        <f aca="false">IF(G288&gt;0,G288-Pi,G288)</f>
        <v>-3.06753569313956</v>
      </c>
      <c r="J288" s="0" t="n">
        <f aca="false">Vin/Vramp</f>
        <v>9</v>
      </c>
      <c r="M288" s="0" t="n">
        <f aca="false">1/(2*Pi*_Rfb1*(Cc1ea_u+Cc2ea_u)*A288)</f>
        <v>0.0159314257531288</v>
      </c>
      <c r="N288" s="0" t="n">
        <f aca="false">-Pi/2</f>
        <v>-1.570796325</v>
      </c>
      <c r="O288" s="0" t="n">
        <f aca="false">SQRT(1+(A288/Fz1_u)^2)</f>
        <v>9.09388825127319</v>
      </c>
      <c r="P288" s="0" t="n">
        <f aca="false">ATAN2(Fz1_u,A288)</f>
        <v>1.46060953278221</v>
      </c>
      <c r="Q288" s="0" t="n">
        <f aca="false">SQRT(1+(A288/Fz2_u)^2)</f>
        <v>10256.4395059412</v>
      </c>
      <c r="R288" s="0" t="n">
        <f aca="false">ATAN2(Fz2_u,A288)</f>
        <v>1.57069882707279</v>
      </c>
      <c r="S288" s="0" t="n">
        <f aca="false">1/SQRT(1+(A288/Fp1_u)^2)</f>
        <v>0.0364537477420437</v>
      </c>
      <c r="T288" s="0" t="n">
        <f aca="false">-ATAN2(Fp1_u,A288)</f>
        <v>-1.5343345004709</v>
      </c>
      <c r="U288" s="0" t="n">
        <f aca="false">1/SQRT(1+(A288/Fp2_u)^2)</f>
        <v>0.705586608867713</v>
      </c>
      <c r="V288" s="0" t="n">
        <f aca="false">-ATAN2(Fp2_u,A288)</f>
        <v>-0.787545707386907</v>
      </c>
      <c r="X288" s="0" t="n">
        <f aca="false">20*LOG(C288*J288*O288*Q288*F288*M288*S288*U288)</f>
        <v>13.4992926817196</v>
      </c>
      <c r="Y288" s="0" t="n">
        <f aca="false">(180/Pi)*(D288+H288+N288+P288+R288+T288+V288)</f>
        <v>-224.976410139779</v>
      </c>
      <c r="Z288" s="0" t="n">
        <f aca="false">Y288+180</f>
        <v>-44.9764101397785</v>
      </c>
      <c r="AC288" s="0" t="n">
        <v>1</v>
      </c>
      <c r="AD288" s="0" t="n">
        <f aca="false">Rcea1_u*Cc1ea_u*A288*2*Pi</f>
        <v>9.038739045168</v>
      </c>
      <c r="AE288" s="0" t="n">
        <f aca="false">-Rcea1_u*Cc1ea_u*Cc2ea_u*(A288*2*Pi)^2</f>
        <v>-0.00315196001260203</v>
      </c>
      <c r="AF288" s="0" t="n">
        <f aca="false">(Cc2ea_u+Cc1ea_u)*A288*2*Pi</f>
        <v>0.00313845105735</v>
      </c>
      <c r="AG288" s="0" t="n">
        <f aca="false">AC288*AE288/(AE288^2+AF288^2)+AD288*AF288/(AE288^2+AF288^2)</f>
        <v>1274.5023042904</v>
      </c>
      <c r="AH288" s="0" t="n">
        <f aca="false">AD288*AE288/(AE288^2+AF288^2)-AC288*AF288/(AE288^2+AF288^2)</f>
        <v>-1598.61670850105</v>
      </c>
      <c r="AJ288" s="0" t="n">
        <f aca="false">_Rfb1</f>
        <v>20000</v>
      </c>
      <c r="AK288" s="0" t="n">
        <f aca="false">_Rfb1*Rcea2_u*Cc3ea_u*A288*2*Pi</f>
        <v>548275.77582624</v>
      </c>
      <c r="AL288" s="0" t="n">
        <v>1</v>
      </c>
      <c r="AM288" s="0" t="n">
        <f aca="false">(_Rfb1+Rcea2_u)*Cc3ea_u*A288*2*Pi</f>
        <v>10256.4394571913</v>
      </c>
      <c r="AN288" s="0" t="n">
        <f aca="false">AJ288*AL288/(AL288^2+AM288^2)+AK288*AM288/(AL288^2+AM288^2)</f>
        <v>53.4569255634057</v>
      </c>
      <c r="AO288" s="0" t="n">
        <f aca="false">AK288*AL288/(AL288^2+AM288^2)-AJ288*AM288/(AL288^2+AM288^2)</f>
        <v>-1.94478241281394</v>
      </c>
      <c r="AQ288" s="0" t="n">
        <f aca="false">Eadcg/(1+(Eadcg*A288/GBP)^2)</f>
        <v>0.0831621607350405</v>
      </c>
      <c r="AR288" s="0" t="n">
        <f aca="false">-(A288*Eadcg*Eadcg/GBP)/(1+(Eadcg*A288/GBP)^2)</f>
        <v>-16.2157897217255</v>
      </c>
      <c r="AT288" s="0" t="n">
        <f aca="false">-AR288*AH288+AG288*AQ288</f>
        <v>-25816.8420252034</v>
      </c>
      <c r="AU288" s="0" t="n">
        <f aca="false">AQ288*AH288+AG288*AR288</f>
        <v>-20800.0057858939</v>
      </c>
      <c r="AV288" s="0" t="n">
        <f aca="false">ATAN2(AT288,AU288)</f>
        <v>-2.46340040502881</v>
      </c>
      <c r="AW288" s="0" t="n">
        <f aca="false">AG288-AH288*AO288/_Rfb2+AG288*AN288/_Rfb2+AN288-AO288*AR288+AQ288*AN288</f>
        <v>1330.12854654731</v>
      </c>
      <c r="AX288" s="0" t="n">
        <f aca="false">AH288+AH288*AN288/_Rfb2+AG288*AO288/_Rfb2+AO288+AO288*AQ288+AN288*AR288</f>
        <v>-2507.14058115335</v>
      </c>
      <c r="AY288" s="0" t="n">
        <f aca="false">ATAN2(AW288,AX288)</f>
        <v>-1.08301931859423</v>
      </c>
      <c r="BA288" s="0" t="n">
        <f aca="false">SQRT(AT288^2+AU288^2)/SQRT(AW288^2+AX288^2)</f>
        <v>11.6814226446906</v>
      </c>
      <c r="BB288" s="0" t="n">
        <f aca="false">20*LOG(BA288)</f>
        <v>21.3499147478469</v>
      </c>
      <c r="BC288" s="0" t="n">
        <f aca="false">AV288-AY288</f>
        <v>-1.38038108643458</v>
      </c>
      <c r="BD288" s="0" t="n">
        <f aca="false">BC288*180/Pi-180</f>
        <v>-259.090010462758</v>
      </c>
      <c r="BF288" s="0" t="n">
        <f aca="false">20*LOG(BA288*J288*F288*C288)</f>
        <v>3.20333955561532</v>
      </c>
      <c r="BG288" s="0" t="n">
        <f aca="false">(180/Pi)*(D288+H288+BC288)</f>
        <v>-254.713659626187</v>
      </c>
      <c r="BH288" s="0" t="n">
        <f aca="false">IF(BG288&gt;180,BG288-180,BG288+180)</f>
        <v>-74.7136596261875</v>
      </c>
      <c r="BI288" s="0" t="n">
        <f aca="false">IF(BH288&gt;180,BH288-360,BH288)</f>
        <v>-74.7136596261875</v>
      </c>
      <c r="BJ288" s="0" t="n">
        <f aca="false">SUM((BF289&lt;0)*(BF288&gt;0))*A288</f>
        <v>0</v>
      </c>
      <c r="BK288" s="0" t="n">
        <f aca="false">IF(BJ288&gt;0,BI288,0)</f>
        <v>0</v>
      </c>
      <c r="BM288" s="0" t="n">
        <f aca="false">20*LOG(J288*F288*C288)</f>
        <v>-18.1465751922316</v>
      </c>
      <c r="BN288" s="0" t="n">
        <f aca="false">(H288+D288)*180/Pi</f>
        <v>-175.623649163429</v>
      </c>
      <c r="BQ288" s="347" t="n">
        <f aca="false">20*LOG(BA288*7)</f>
        <v>38.251875548132</v>
      </c>
      <c r="BR288" s="353"/>
      <c r="BS288" s="353"/>
      <c r="BT288" s="353" t="n">
        <v>60255.959</v>
      </c>
      <c r="BU288" s="353" t="n">
        <v>2.10752</v>
      </c>
      <c r="BV288" s="353" t="n">
        <v>-133.651</v>
      </c>
      <c r="BY288" s="353"/>
      <c r="BZ288" s="353"/>
      <c r="CA288" s="353"/>
      <c r="CC288" s="353"/>
    </row>
    <row r="289" customFormat="false" ht="12.75" hidden="false" customHeight="false" outlineLevel="0" collapsed="false">
      <c r="A289" s="0" t="n">
        <f aca="false">A288+5000</f>
        <v>375000</v>
      </c>
      <c r="B289" s="0" t="n">
        <f aca="false">A289/1000</f>
        <v>375</v>
      </c>
      <c r="C289" s="0" t="n">
        <f aca="false">SQRT((A289/Fesr)^2+1)</f>
        <v>1.00000277582238</v>
      </c>
      <c r="D289" s="0" t="n">
        <f aca="false">ATAN(A289/Fesr)</f>
        <v>0.00235619012725688</v>
      </c>
      <c r="F289" s="0" t="n">
        <f aca="false">(Ro/(Ro+Rdcr))/SQRT((A289/(Q*Fo))^2+(1-(A289^2/Fo^2))^2)</f>
        <v>0.0133856962462249</v>
      </c>
      <c r="G289" s="0" t="n">
        <f aca="false">-ATAN(A289*Fo/(Q*(Fo^2-A289^2)))</f>
        <v>0.0730462707419906</v>
      </c>
      <c r="H289" s="0" t="n">
        <f aca="false">IF(G289&gt;0,G289-Pi,G289)</f>
        <v>-3.06854637925801</v>
      </c>
      <c r="J289" s="0" t="n">
        <f aca="false">Vin/Vramp</f>
        <v>9</v>
      </c>
      <c r="M289" s="0" t="n">
        <f aca="false">1/(2*Pi*_Rfb1*(Cc1ea_u+Cc2ea_u)*A289)</f>
        <v>0.0157190067430871</v>
      </c>
      <c r="N289" s="0" t="n">
        <f aca="false">-Pi/2</f>
        <v>-1.570796325</v>
      </c>
      <c r="O289" s="0" t="n">
        <f aca="false">SQRT(1+(A289/Fz1_u)^2)</f>
        <v>9.21530242197835</v>
      </c>
      <c r="P289" s="0" t="n">
        <f aca="false">ATAN2(Fz1_u,A289)</f>
        <v>1.46206706135378</v>
      </c>
      <c r="Q289" s="0" t="n">
        <f aca="false">SQRT(1+(A289/Fz2_u)^2)</f>
        <v>10395.0400384965</v>
      </c>
      <c r="R289" s="0" t="n">
        <f aca="false">ATAN2(Fz2_u,A289)</f>
        <v>1.57070012706908</v>
      </c>
      <c r="S289" s="0" t="n">
        <f aca="false">1/SQRT(1+(A289/Fp1_u)^2)</f>
        <v>0.0359683308282818</v>
      </c>
      <c r="T289" s="0" t="n">
        <f aca="false">-ATAN2(Fp1_u,A289)</f>
        <v>-1.53482023595166</v>
      </c>
      <c r="U289" s="0" t="n">
        <f aca="false">1/SQRT(1+(A289/Fp2_u)^2)</f>
        <v>0.700815144080229</v>
      </c>
      <c r="V289" s="0" t="n">
        <f aca="false">-ATAN2(Fp2_u,A289)</f>
        <v>-0.794256760668761</v>
      </c>
      <c r="X289" s="0" t="n">
        <f aca="false">20*LOG(C289*J289*O289*Q289*F289*M289*S289*U289)</f>
        <v>13.2033860315308</v>
      </c>
      <c r="Y289" s="0" t="n">
        <f aca="false">(180/Pi)*(D289+H289+N289+P289+R289+T289+V289)</f>
        <v>-225.361279101253</v>
      </c>
      <c r="Z289" s="0" t="n">
        <f aca="false">Y289+180</f>
        <v>-45.3612791012531</v>
      </c>
      <c r="AC289" s="0" t="n">
        <v>1</v>
      </c>
      <c r="AD289" s="0" t="n">
        <f aca="false">Rcea1_u*Cc1ea_u*A289*2*Pi</f>
        <v>9.1608841674</v>
      </c>
      <c r="AE289" s="0" t="n">
        <f aca="false">-Rcea1_u*Cc1ea_u*Cc2ea_u*(A289*2*Pi)^2</f>
        <v>-0.00323772371637809</v>
      </c>
      <c r="AF289" s="0" t="n">
        <f aca="false">(Cc2ea_u+Cc1ea_u)*A289*2*Pi</f>
        <v>0.003180862558125</v>
      </c>
      <c r="AG289" s="0" t="n">
        <f aca="false">AC289*AE289/(AE289^2+AF289^2)+AD289*AF289/(AE289^2+AF289^2)</f>
        <v>1257.32317740081</v>
      </c>
      <c r="AH289" s="0" t="n">
        <f aca="false">AD289*AE289/(AE289^2+AF289^2)-AC289*AF289/(AE289^2+AF289^2)</f>
        <v>-1594.17924476798</v>
      </c>
      <c r="AJ289" s="0" t="n">
        <f aca="false">_Rfb1</f>
        <v>20000</v>
      </c>
      <c r="AK289" s="0" t="n">
        <f aca="false">_Rfb1*Rcea2_u*Cc3ea_u*A289*2*Pi</f>
        <v>555684.907932</v>
      </c>
      <c r="AL289" s="0" t="n">
        <v>1</v>
      </c>
      <c r="AM289" s="0" t="n">
        <f aca="false">(_Rfb1+Rcea2_u)*Cc3ea_u*A289*2*Pi</f>
        <v>10395.0399903966</v>
      </c>
      <c r="AN289" s="0" t="n">
        <f aca="false">AJ289*AL289/(AL289^2+AM289^2)+AK289*AM289/(AL289^2+AM289^2)</f>
        <v>53.4569205406953</v>
      </c>
      <c r="AO289" s="0" t="n">
        <f aca="false">AK289*AL289/(AL289^2+AM289^2)-AJ289*AM289/(AL289^2+AM289^2)</f>
        <v>-1.91885198112627</v>
      </c>
      <c r="AQ289" s="0" t="n">
        <f aca="false">Eadcg/(1+(Eadcg*A289/GBP)^2)</f>
        <v>0.0809593439015852</v>
      </c>
      <c r="AR289" s="0" t="n">
        <f aca="false">-(A289*Eadcg*Eadcg/GBP)/(1+(Eadcg*A289/GBP)^2)</f>
        <v>-15.9995903385508</v>
      </c>
      <c r="AT289" s="0" t="n">
        <f aca="false">-AR289*AH289+AG289*AQ289</f>
        <v>-25404.4227829934</v>
      </c>
      <c r="AU289" s="0" t="n">
        <f aca="false">AQ289*AH289+AG289*AR289</f>
        <v>-20245.7194672959</v>
      </c>
      <c r="AV289" s="0" t="n">
        <f aca="false">ATAN2(AT289,AU289)</f>
        <v>-2.46872230753956</v>
      </c>
      <c r="AW289" s="0" t="n">
        <f aca="false">AG289-AH289*AO289/_Rfb2+AG289*AN289/_Rfb2+AN289-AO289*AR289+AQ289*AN289</f>
        <v>1313.27622357093</v>
      </c>
      <c r="AX289" s="0" t="n">
        <f aca="false">AH289+AH289*AN289/_Rfb2+AG289*AO289/_Rfb2+AO289+AO289*AQ289+AN289*AR289</f>
        <v>-2490.97691378641</v>
      </c>
      <c r="AY289" s="0" t="n">
        <f aca="false">ATAN2(AW289,AX289)</f>
        <v>-1.08561581467721</v>
      </c>
      <c r="BA289" s="0" t="n">
        <f aca="false">SQRT(AT289^2+AU289^2)/SQRT(AW289^2+AX289^2)</f>
        <v>11.5360012401291</v>
      </c>
      <c r="BB289" s="0" t="n">
        <f aca="false">20*LOG(BA289)</f>
        <v>21.241105881247</v>
      </c>
      <c r="BC289" s="0" t="n">
        <f aca="false">AV289-AY289</f>
        <v>-1.38310649286235</v>
      </c>
      <c r="BD289" s="0" t="n">
        <f aca="false">BC289*180/Pi-180</f>
        <v>-259.246164748706</v>
      </c>
      <c r="BF289" s="0" t="n">
        <f aca="false">20*LOG(BA289*J289*F289*C289)</f>
        <v>2.85879949225996</v>
      </c>
      <c r="BG289" s="0" t="n">
        <f aca="false">(180/Pi)*(D289+H289+BC289)</f>
        <v>-254.925921971061</v>
      </c>
      <c r="BH289" s="0" t="n">
        <f aca="false">IF(BG289&gt;180,BG289-180,BG289+180)</f>
        <v>-74.925921971061</v>
      </c>
      <c r="BI289" s="0" t="n">
        <f aca="false">IF(BH289&gt;180,BH289-360,BH289)</f>
        <v>-74.925921971061</v>
      </c>
      <c r="BJ289" s="0" t="n">
        <f aca="false">SUM((BF290&lt;0)*(BF289&gt;0))*A289</f>
        <v>0</v>
      </c>
      <c r="BK289" s="0" t="n">
        <f aca="false">IF(BJ289&gt;0,BI289,0)</f>
        <v>0</v>
      </c>
      <c r="BM289" s="0" t="n">
        <f aca="false">20*LOG(J289*F289*C289)</f>
        <v>-18.382306388987</v>
      </c>
      <c r="BN289" s="0" t="n">
        <f aca="false">(H289+D289)*180/Pi</f>
        <v>-175.679757222355</v>
      </c>
      <c r="BQ289" s="347" t="n">
        <f aca="false">20*LOG(BA289*7)</f>
        <v>38.1430666815321</v>
      </c>
      <c r="BR289" s="353"/>
      <c r="BS289" s="353"/>
      <c r="BT289" s="353" t="n">
        <v>61659.5</v>
      </c>
      <c r="BU289" s="353" t="n">
        <v>2.27811</v>
      </c>
      <c r="BV289" s="353" t="n">
        <v>-133.248</v>
      </c>
      <c r="BY289" s="353"/>
      <c r="BZ289" s="353"/>
      <c r="CA289" s="353"/>
      <c r="CC289" s="353"/>
    </row>
    <row r="290" customFormat="false" ht="12.75" hidden="false" customHeight="false" outlineLevel="0" collapsed="false">
      <c r="A290" s="0" t="n">
        <f aca="false">A289+5000</f>
        <v>380000</v>
      </c>
      <c r="B290" s="0" t="n">
        <f aca="false">A290/1000</f>
        <v>380</v>
      </c>
      <c r="C290" s="0" t="n">
        <f aca="false">SQRT((A290/Fesr)^2+1)</f>
        <v>1.00000285033768</v>
      </c>
      <c r="D290" s="0" t="n">
        <f aca="false">ATAN(A290/Fesr)</f>
        <v>0.00238760587701176</v>
      </c>
      <c r="F290" s="0" t="n">
        <f aca="false">(Ro/(Ro+Rdcr))/SQRT((A290/(Q*Fo))^2+(1-(A290^2/Fo^2))^2)</f>
        <v>0.0130320824409238</v>
      </c>
      <c r="G290" s="0" t="n">
        <f aca="false">-ATAN(A290*Fo/(Q*(Fo^2-A290^2)))</f>
        <v>0.0720630933117224</v>
      </c>
      <c r="H290" s="0" t="n">
        <f aca="false">IF(G290&gt;0,G290-Pi,G290)</f>
        <v>-3.06952955668828</v>
      </c>
      <c r="J290" s="0" t="n">
        <f aca="false">Vin/Vramp</f>
        <v>9</v>
      </c>
      <c r="M290" s="0" t="n">
        <f aca="false">1/(2*Pi*_Rfb1*(Cc1ea_u+Cc2ea_u)*A290)</f>
        <v>0.0155121777069938</v>
      </c>
      <c r="N290" s="0" t="n">
        <f aca="false">-Pi/2</f>
        <v>-1.570796325</v>
      </c>
      <c r="O290" s="0" t="n">
        <f aca="false">SQRT(1+(A290/Fz1_u)^2)</f>
        <v>9.33673566039896</v>
      </c>
      <c r="P290" s="0" t="n">
        <f aca="false">ATAN2(Fz1_u,A290)</f>
        <v>1.46348667975084</v>
      </c>
      <c r="Q290" s="0" t="n">
        <f aca="false">SQRT(1+(A290/Fz2_u)^2)</f>
        <v>10533.6405710689</v>
      </c>
      <c r="R290" s="0" t="n">
        <f aca="false">ATAN2(Fz2_u,A290)</f>
        <v>1.57070139285494</v>
      </c>
      <c r="S290" s="0" t="n">
        <f aca="false">1/SQRT(1+(A290/Fp1_u)^2)</f>
        <v>0.0354956635772495</v>
      </c>
      <c r="T290" s="0" t="n">
        <f aca="false">-ATAN2(Fp1_u,A290)</f>
        <v>-1.53529320524138</v>
      </c>
      <c r="U290" s="0" t="n">
        <f aca="false">1/SQRT(1+(A290/Fp2_u)^2)</f>
        <v>0.69607705862658</v>
      </c>
      <c r="V290" s="0" t="n">
        <f aca="false">-ATAN2(Fp2_u,A290)</f>
        <v>-0.800877364335518</v>
      </c>
      <c r="X290" s="0" t="n">
        <f aca="false">20*LOG(C290*J290*O290*Q290*F290*M290*S290*U290)</f>
        <v>12.9107303194842</v>
      </c>
      <c r="Y290" s="0" t="n">
        <f aca="false">(180/Pi)*(D290+H290+N290+P290+R290+T290+V290)</f>
        <v>-225.740832154299</v>
      </c>
      <c r="Z290" s="0" t="n">
        <f aca="false">Y290+180</f>
        <v>-45.7408321542989</v>
      </c>
      <c r="AC290" s="0" t="n">
        <v>1</v>
      </c>
      <c r="AD290" s="0" t="n">
        <f aca="false">Rcea1_u*Cc1ea_u*A290*2*Pi</f>
        <v>9.283029289632</v>
      </c>
      <c r="AE290" s="0" t="n">
        <f aca="false">-Rcea1_u*Cc1ea_u*Cc2ea_u*(A290*2*Pi)^2</f>
        <v>-0.00332463861080886</v>
      </c>
      <c r="AF290" s="0" t="n">
        <f aca="false">(Cc2ea_u+Cc1ea_u)*A290*2*Pi</f>
        <v>0.0032232740589</v>
      </c>
      <c r="AG290" s="0" t="n">
        <f aca="false">AC290*AE290/(AE290^2+AF290^2)+AD290*AF290/(AE290^2+AF290^2)</f>
        <v>1240.37957515835</v>
      </c>
      <c r="AH290" s="0" t="n">
        <f aca="false">AD290*AE290/(AE290^2+AF290^2)-AC290*AF290/(AE290^2+AF290^2)</f>
        <v>-1589.63021263502</v>
      </c>
      <c r="AJ290" s="0" t="n">
        <f aca="false">_Rfb1</f>
        <v>20000</v>
      </c>
      <c r="AK290" s="0" t="n">
        <f aca="false">_Rfb1*Rcea2_u*Cc3ea_u*A290*2*Pi</f>
        <v>563094.04003776</v>
      </c>
      <c r="AL290" s="0" t="n">
        <v>1</v>
      </c>
      <c r="AM290" s="0" t="n">
        <f aca="false">(_Rfb1+Rcea2_u)*Cc3ea_u*A290*2*Pi</f>
        <v>10533.6405236019</v>
      </c>
      <c r="AN290" s="0" t="n">
        <f aca="false">AJ290*AL290/(AL290^2+AM290^2)+AK290*AM290/(AL290^2+AM290^2)</f>
        <v>53.4569157149425</v>
      </c>
      <c r="AO290" s="0" t="n">
        <f aca="false">AK290*AL290/(AL290^2+AM290^2)-AJ290*AM290/(AL290^2+AM290^2)</f>
        <v>-1.89360392920116</v>
      </c>
      <c r="AQ290" s="0" t="n">
        <f aca="false">Eadcg/(1+(Eadcg*A290/GBP)^2)</f>
        <v>0.0788429041321451</v>
      </c>
      <c r="AR290" s="0" t="n">
        <f aca="false">-(A290*Eadcg*Eadcg/GBP)/(1+(Eadcg*A290/GBP)^2)</f>
        <v>-15.7890799815034</v>
      </c>
      <c r="AT290" s="0" t="n">
        <f aca="false">-AR290*AH290+AG290*AQ290</f>
        <v>-25001.0034403769</v>
      </c>
      <c r="AU290" s="0" t="n">
        <f aca="false">AQ290*AH290+AG290*AR290</f>
        <v>-19709.7833820588</v>
      </c>
      <c r="AV290" s="0" t="n">
        <f aca="false">ATAN2(AT290,AU290)</f>
        <v>-2.47398987123941</v>
      </c>
      <c r="AW290" s="0" t="n">
        <f aca="false">AG290-AH290*AO290/_Rfb2+AG290*AN290/_Rfb2+AN290-AO290*AR290+AQ290*AN290</f>
        <v>1296.63645683698</v>
      </c>
      <c r="AX290" s="0" t="n">
        <f aca="false">AH290+AH290*AN290/_Rfb2+AG290*AO290/_Rfb2+AO290+AO290*AQ290+AN290*AR290</f>
        <v>-2475.00511375438</v>
      </c>
      <c r="AY290" s="0" t="n">
        <f aca="false">ATAN2(AW290,AX290)</f>
        <v>-1.08821797341892</v>
      </c>
      <c r="BA290" s="0" t="n">
        <f aca="false">SQRT(AT290^2+AU290^2)/SQRT(AW290^2+AX290^2)</f>
        <v>11.3940369968927</v>
      </c>
      <c r="BB290" s="0" t="n">
        <f aca="false">20*LOG(BA290)</f>
        <v>21.1335525058892</v>
      </c>
      <c r="BC290" s="0" t="n">
        <f aca="false">AV290-AY290</f>
        <v>-1.38577189782049</v>
      </c>
      <c r="BD290" s="0" t="n">
        <f aca="false">BC290*180/Pi-180</f>
        <v>-259.398881203675</v>
      </c>
      <c r="BF290" s="0" t="n">
        <f aca="false">20*LOG(BA290*J290*F290*C290)</f>
        <v>2.51870382545979</v>
      </c>
      <c r="BG290" s="0" t="n">
        <f aca="false">(180/Pi)*(D290+H290+BC290)</f>
        <v>-255.133170353488</v>
      </c>
      <c r="BH290" s="0" t="n">
        <f aca="false">IF(BG290&gt;180,BG290-180,BG290+180)</f>
        <v>-75.1331703534879</v>
      </c>
      <c r="BI290" s="0" t="n">
        <f aca="false">IF(BH290&gt;180,BH290-360,BH290)</f>
        <v>-75.1331703534879</v>
      </c>
      <c r="BJ290" s="0" t="n">
        <f aca="false">SUM((BF291&lt;0)*(BF290&gt;0))*A290</f>
        <v>0</v>
      </c>
      <c r="BK290" s="0" t="n">
        <f aca="false">IF(BJ290&gt;0,BI290,0)</f>
        <v>0</v>
      </c>
      <c r="BM290" s="0" t="n">
        <f aca="false">20*LOG(J290*F290*C290)</f>
        <v>-18.6148486804294</v>
      </c>
      <c r="BN290" s="0" t="n">
        <f aca="false">(H290+D290)*180/Pi</f>
        <v>-175.734289149813</v>
      </c>
      <c r="BQ290" s="347" t="n">
        <f aca="false">20*LOG(BA290*7)</f>
        <v>38.0355133061743</v>
      </c>
      <c r="BR290" s="353"/>
      <c r="BS290" s="353"/>
      <c r="BT290" s="353" t="n">
        <v>63095.734</v>
      </c>
      <c r="BU290" s="353" t="n">
        <v>2.44993</v>
      </c>
      <c r="BV290" s="353" t="n">
        <v>-132.866</v>
      </c>
      <c r="BY290" s="353"/>
      <c r="BZ290" s="353"/>
      <c r="CA290" s="353"/>
      <c r="CC290" s="353"/>
    </row>
    <row r="291" customFormat="false" ht="12.75" hidden="false" customHeight="false" outlineLevel="0" collapsed="false">
      <c r="A291" s="0" t="n">
        <f aca="false">A290+5000</f>
        <v>385000</v>
      </c>
      <c r="B291" s="0" t="n">
        <f aca="false">A291/1000</f>
        <v>385</v>
      </c>
      <c r="C291" s="0" t="n">
        <f aca="false">SQRT((A291/Fesr)^2+1)</f>
        <v>1.00000292583994</v>
      </c>
      <c r="D291" s="0" t="n">
        <f aca="false">ATAN(A291/Fesr)</f>
        <v>0.00241902162205375</v>
      </c>
      <c r="F291" s="0" t="n">
        <f aca="false">(Ro/(Ro+Rdcr))/SQRT((A291/(Q*Fo))^2+(1-(A291^2/Fo^2))^2)</f>
        <v>0.0126923435605003</v>
      </c>
      <c r="G291" s="0" t="n">
        <f aca="false">-ATAN(A291*Fo/(Q*(Fo^2-A291^2)))</f>
        <v>0.0711063056328729</v>
      </c>
      <c r="H291" s="0" t="n">
        <f aca="false">IF(G291&gt;0,G291-Pi,G291)</f>
        <v>-3.07048634436713</v>
      </c>
      <c r="J291" s="0" t="n">
        <f aca="false">Vin/Vramp</f>
        <v>9</v>
      </c>
      <c r="M291" s="0" t="n">
        <f aca="false">1/(2*Pi*_Rfb1*(Cc1ea_u+Cc2ea_u)*A291)</f>
        <v>0.0153107208536562</v>
      </c>
      <c r="N291" s="0" t="n">
        <f aca="false">-Pi/2</f>
        <v>-1.570796325</v>
      </c>
      <c r="O291" s="0" t="n">
        <f aca="false">SQRT(1+(A291/Fz1_u)^2)</f>
        <v>9.45818723210645</v>
      </c>
      <c r="P291" s="0" t="n">
        <f aca="false">ATAN2(Fz1_u,A291)</f>
        <v>1.46486984253975</v>
      </c>
      <c r="Q291" s="0" t="n">
        <f aca="false">SQRT(1+(A291/Fz2_u)^2)</f>
        <v>10672.2411036577</v>
      </c>
      <c r="R291" s="0" t="n">
        <f aca="false">ATAN2(Fz2_u,A291)</f>
        <v>1.57070262576324</v>
      </c>
      <c r="S291" s="0" t="n">
        <f aca="false">1/SQRT(1+(A291/Fp1_u)^2)</f>
        <v>0.035035250493205</v>
      </c>
      <c r="T291" s="0" t="n">
        <f aca="false">-ATAN2(Fp1_u,A291)</f>
        <v>-1.53575390489377</v>
      </c>
      <c r="U291" s="0" t="n">
        <f aca="false">1/SQRT(1+(A291/Fp2_u)^2)</f>
        <v>0.691372913636189</v>
      </c>
      <c r="V291" s="0" t="n">
        <f aca="false">-ATAN2(Fp2_u,A291)</f>
        <v>-0.807408765933748</v>
      </c>
      <c r="X291" s="0" t="n">
        <f aca="false">20*LOG(C291*J291*O291*Q291*F291*M291*S291*U291)</f>
        <v>12.6212472142576</v>
      </c>
      <c r="Y291" s="0" t="n">
        <f aca="false">(180/Pi)*(D291+H291+N291+P291+R291+T291+V291)</f>
        <v>-226.115149921976</v>
      </c>
      <c r="Z291" s="0" t="n">
        <f aca="false">Y291+180</f>
        <v>-46.1151499219759</v>
      </c>
      <c r="AC291" s="0" t="n">
        <v>1</v>
      </c>
      <c r="AD291" s="0" t="n">
        <f aca="false">Rcea1_u*Cc1ea_u*A291*2*Pi</f>
        <v>9.405174411864</v>
      </c>
      <c r="AE291" s="0" t="n">
        <f aca="false">-Rcea1_u*Cc1ea_u*Cc2ea_u*(A291*2*Pi)^2</f>
        <v>-0.00341270469589434</v>
      </c>
      <c r="AF291" s="0" t="n">
        <f aca="false">(Cc2ea_u+Cc1ea_u)*A291*2*Pi</f>
        <v>0.003265685559675</v>
      </c>
      <c r="AG291" s="0" t="n">
        <f aca="false">AC291*AE291/(AE291^2+AF291^2)+AD291*AF291/(AE291^2+AF291^2)</f>
        <v>1223.67105461707</v>
      </c>
      <c r="AH291" s="0" t="n">
        <f aca="false">AD291*AE291/(AE291^2+AF291^2)-AC291*AF291/(AE291^2+AF291^2)</f>
        <v>-1584.9743827868</v>
      </c>
      <c r="AJ291" s="0" t="n">
        <f aca="false">_Rfb1</f>
        <v>20000</v>
      </c>
      <c r="AK291" s="0" t="n">
        <f aca="false">_Rfb1*Rcea2_u*Cc3ea_u*A291*2*Pi</f>
        <v>570503.17214352</v>
      </c>
      <c r="AL291" s="0" t="n">
        <v>1</v>
      </c>
      <c r="AM291" s="0" t="n">
        <f aca="false">(_Rfb1+Rcea2_u)*Cc3ea_u*A291*2*Pi</f>
        <v>10672.2410568072</v>
      </c>
      <c r="AN291" s="0" t="n">
        <f aca="false">AJ291*AL291/(AL291^2+AM291^2)+AK291*AM291/(AL291^2+AM291^2)</f>
        <v>53.4569110759825</v>
      </c>
      <c r="AO291" s="0" t="n">
        <f aca="false">AK291*AL291/(AL291^2+AM291^2)-AJ291*AM291/(AL291^2+AM291^2)</f>
        <v>-1.86901167081504</v>
      </c>
      <c r="AQ291" s="0" t="n">
        <f aca="false">Eadcg/(1+(Eadcg*A291/GBP)^2)</f>
        <v>0.0768083837560565</v>
      </c>
      <c r="AR291" s="0" t="n">
        <f aca="false">-(A291*Eadcg*Eadcg/GBP)/(1+(Eadcg*A291/GBP)^2)</f>
        <v>-15.5840370221851</v>
      </c>
      <c r="AT291" s="0" t="n">
        <f aca="false">-AR291*AH291+AG291*AQ291</f>
        <v>-24606.3112646103</v>
      </c>
      <c r="AU291" s="0" t="n">
        <f aca="false">AQ291*AH291+AG291*AR291</f>
        <v>-19191.4743387653</v>
      </c>
      <c r="AV291" s="0" t="n">
        <f aca="false">ATAN2(AT291,AU291)</f>
        <v>-2.47920295921157</v>
      </c>
      <c r="AW291" s="0" t="n">
        <f aca="false">AG291-AH291*AO291/_Rfb2+AG291*AN291/_Rfb2+AN291-AO291*AR291+AQ291*AN291</f>
        <v>1280.21026017061</v>
      </c>
      <c r="AX291" s="0" t="n">
        <f aca="false">AH291+AH291*AN291/_Rfb2+AG291*AO291/_Rfb2+AO291+AO291*AQ291+AN291*AR291</f>
        <v>-2459.21813207734</v>
      </c>
      <c r="AY291" s="0" t="n">
        <f aca="false">ATAN2(AW291,AX291)</f>
        <v>-1.09082363823291</v>
      </c>
      <c r="BA291" s="0" t="n">
        <f aca="false">SQRT(AT291^2+AU291^2)/SQRT(AW291^2+AX291^2)</f>
        <v>11.255412201267</v>
      </c>
      <c r="BB291" s="0" t="n">
        <f aca="false">20*LOG(BA291)</f>
        <v>21.0272280914978</v>
      </c>
      <c r="BC291" s="0" t="n">
        <f aca="false">AV291-AY291</f>
        <v>-1.38837932097866</v>
      </c>
      <c r="BD291" s="0" t="n">
        <f aca="false">BC291*180/Pi-180</f>
        <v>-259.548275546214</v>
      </c>
      <c r="BF291" s="0" t="n">
        <f aca="false">20*LOG(BA291*J291*F291*C291)</f>
        <v>2.18294007801668</v>
      </c>
      <c r="BG291" s="0" t="n">
        <f aca="false">(180/Pi)*(D291+H291+BC291)</f>
        <v>-255.335584602374</v>
      </c>
      <c r="BH291" s="0" t="n">
        <f aca="false">IF(BG291&gt;180,BG291-180,BG291+180)</f>
        <v>-75.3355846023743</v>
      </c>
      <c r="BI291" s="0" t="n">
        <f aca="false">IF(BH291&gt;180,BH291-360,BH291)</f>
        <v>-75.3355846023743</v>
      </c>
      <c r="BJ291" s="0" t="n">
        <f aca="false">SUM((BF292&lt;0)*(BF291&gt;0))*A291</f>
        <v>0</v>
      </c>
      <c r="BK291" s="0" t="n">
        <f aca="false">IF(BJ291&gt;0,BI291,0)</f>
        <v>0</v>
      </c>
      <c r="BM291" s="0" t="n">
        <f aca="false">20*LOG(J291*F291*C291)</f>
        <v>-18.8442880134811</v>
      </c>
      <c r="BN291" s="0" t="n">
        <f aca="false">(H291+D291)*180/Pi</f>
        <v>-175.787309056161</v>
      </c>
      <c r="BQ291" s="347" t="n">
        <f aca="false">20*LOG(BA291*7)</f>
        <v>37.9291888917829</v>
      </c>
      <c r="BR291" s="353"/>
      <c r="BS291" s="353"/>
      <c r="BT291" s="353" t="n">
        <v>64565.423</v>
      </c>
      <c r="BU291" s="353" t="n">
        <v>2.62587</v>
      </c>
      <c r="BV291" s="353" t="n">
        <v>-132.498</v>
      </c>
      <c r="BY291" s="353"/>
      <c r="BZ291" s="353"/>
      <c r="CA291" s="353"/>
      <c r="CC291" s="353"/>
    </row>
    <row r="292" customFormat="false" ht="12.75" hidden="false" customHeight="false" outlineLevel="0" collapsed="false">
      <c r="A292" s="0" t="n">
        <f aca="false">A291+5000</f>
        <v>390000</v>
      </c>
      <c r="B292" s="0" t="n">
        <f aca="false">A292/1000</f>
        <v>390</v>
      </c>
      <c r="C292" s="0" t="n">
        <f aca="false">SQRT((A292/Fesr)^2+1)</f>
        <v>1.00000300232914</v>
      </c>
      <c r="D292" s="0" t="n">
        <f aca="false">ATAN(A292/Fesr)</f>
        <v>0.00245043736232082</v>
      </c>
      <c r="F292" s="0" t="n">
        <f aca="false">(Ro/(Ro+Rdcr))/SQRT((A292/(Q*Fo))^2+(1-(A292^2/Fo^2))^2)</f>
        <v>0.0123657608417412</v>
      </c>
      <c r="G292" s="0" t="n">
        <f aca="false">-ATAN(A292*Fo/(Q*(Fo^2-A292^2)))</f>
        <v>0.0701748491702334</v>
      </c>
      <c r="H292" s="0" t="n">
        <f aca="false">IF(G292&gt;0,G292-Pi,G292)</f>
        <v>-3.07141780082977</v>
      </c>
      <c r="J292" s="0" t="n">
        <f aca="false">Vin/Vramp</f>
        <v>9</v>
      </c>
      <c r="M292" s="0" t="n">
        <f aca="false">1/(2*Pi*_Rfb1*(Cc1ea_u+Cc2ea_u)*A292)</f>
        <v>0.0151144295606606</v>
      </c>
      <c r="N292" s="0" t="n">
        <f aca="false">-Pi/2</f>
        <v>-1.570796325</v>
      </c>
      <c r="O292" s="0" t="n">
        <f aca="false">SQRT(1+(A292/Fz1_u)^2)</f>
        <v>9.57965643980864</v>
      </c>
      <c r="P292" s="0" t="n">
        <f aca="false">ATAN2(Fz1_u,A292)</f>
        <v>1.46621793108658</v>
      </c>
      <c r="Q292" s="0" t="n">
        <f aca="false">SQRT(1+(A292/Fz2_u)^2)</f>
        <v>10810.8416362623</v>
      </c>
      <c r="R292" s="0" t="n">
        <f aca="false">ATAN2(Fz2_u,A292)</f>
        <v>1.57070382705851</v>
      </c>
      <c r="S292" s="0" t="n">
        <f aca="false">1/SQRT(1+(A292/Fp1_u)^2)</f>
        <v>0.0345866214123518</v>
      </c>
      <c r="T292" s="0" t="n">
        <f aca="false">-ATAN2(Fp1_u,A292)</f>
        <v>-1.53620280605034</v>
      </c>
      <c r="U292" s="0" t="n">
        <f aca="false">1/SQRT(1+(A292/Fp2_u)^2)</f>
        <v>0.68670321760033</v>
      </c>
      <c r="V292" s="0" t="n">
        <f aca="false">-ATAN2(Fp2_u,A292)</f>
        <v>-0.813852210067207</v>
      </c>
      <c r="X292" s="0" t="n">
        <f aca="false">20*LOG(C292*J292*O292*Q292*F292*M292*S292*U292)</f>
        <v>12.3348615832735</v>
      </c>
      <c r="Y292" s="0" t="n">
        <f aca="false">(180/Pi)*(D292+H292+N292+P292+R292+T292+V292)</f>
        <v>-226.484312139953</v>
      </c>
      <c r="Z292" s="0" t="n">
        <f aca="false">Y292+180</f>
        <v>-46.4843121399531</v>
      </c>
      <c r="AC292" s="0" t="n">
        <v>1</v>
      </c>
      <c r="AD292" s="0" t="n">
        <f aca="false">Rcea1_u*Cc1ea_u*A292*2*Pi</f>
        <v>9.527319534096</v>
      </c>
      <c r="AE292" s="0" t="n">
        <f aca="false">-Rcea1_u*Cc1ea_u*Cc2ea_u*(A292*2*Pi)^2</f>
        <v>-0.00350192197163454</v>
      </c>
      <c r="AF292" s="0" t="n">
        <f aca="false">(Cc2ea_u+Cc1ea_u)*A292*2*Pi</f>
        <v>0.00330809706045</v>
      </c>
      <c r="AG292" s="0" t="n">
        <f aca="false">AC292*AE292/(AE292^2+AF292^2)+AD292*AF292/(AE292^2+AF292^2)</f>
        <v>1207.19695120038</v>
      </c>
      <c r="AH292" s="0" t="n">
        <f aca="false">AD292*AE292/(AE292^2+AF292^2)-AC292*AF292/(AE292^2+AF292^2)</f>
        <v>-1580.21649062127</v>
      </c>
      <c r="AJ292" s="0" t="n">
        <f aca="false">_Rfb1</f>
        <v>20000</v>
      </c>
      <c r="AK292" s="0" t="n">
        <f aca="false">_Rfb1*Rcea2_u*Cc3ea_u*A292*2*Pi</f>
        <v>577912.30424928</v>
      </c>
      <c r="AL292" s="0" t="n">
        <v>1</v>
      </c>
      <c r="AM292" s="0" t="n">
        <f aca="false">(_Rfb1+Rcea2_u)*Cc3ea_u*A292*2*Pi</f>
        <v>10810.8415900125</v>
      </c>
      <c r="AN292" s="0" t="n">
        <f aca="false">AJ292*AL292/(AL292^2+AM292^2)+AK292*AM292/(AL292^2+AM292^2)</f>
        <v>53.4569066142978</v>
      </c>
      <c r="AO292" s="0" t="n">
        <f aca="false">AK292*AL292/(AL292^2+AM292^2)-AJ292*AM292/(AL292^2+AM292^2)</f>
        <v>-1.84504998314037</v>
      </c>
      <c r="AQ292" s="0" t="n">
        <f aca="false">Eadcg/(1+(Eadcg*A292/GBP)^2)</f>
        <v>0.0748516089932139</v>
      </c>
      <c r="AR292" s="0" t="n">
        <f aca="false">-(A292*Eadcg*Eadcg/GBP)/(1+(Eadcg*A292/GBP)^2)</f>
        <v>-15.3842511963753</v>
      </c>
      <c r="AT292" s="0" t="n">
        <f aca="false">-AR292*AH292+AG292*AQ292</f>
        <v>-24220.0868022031</v>
      </c>
      <c r="AU292" s="0" t="n">
        <f aca="false">AQ292*AH292+AG292*AR292</f>
        <v>-18690.1028876456</v>
      </c>
      <c r="AV292" s="0" t="n">
        <f aca="false">ATAN2(AT292,AU292)</f>
        <v>-2.48436150120186</v>
      </c>
      <c r="AW292" s="0" t="n">
        <f aca="false">AG292-AH292*AO292/_Rfb2+AG292*AN292/_Rfb2+AN292-AO292*AR292+AQ292*AN292</f>
        <v>1263.99832720026</v>
      </c>
      <c r="AX292" s="0" t="n">
        <f aca="false">AH292+AH292*AN292/_Rfb2+AG292*AO292/_Rfb2+AO292+AO292*AQ292+AN292*AR292</f>
        <v>-2443.60949593764</v>
      </c>
      <c r="AY292" s="0" t="n">
        <f aca="false">ATAN2(AW292,AX292)</f>
        <v>-1.09343080462957</v>
      </c>
      <c r="BA292" s="0" t="n">
        <f aca="false">SQRT(AT292^2+AU292^2)/SQRT(AW292^2+AX292^2)</f>
        <v>11.1200142323739</v>
      </c>
      <c r="BB292" s="0" t="n">
        <f aca="false">20*LOG(BA292)</f>
        <v>20.9221068618947</v>
      </c>
      <c r="BC292" s="0" t="n">
        <f aca="false">AV292-AY292</f>
        <v>-1.3909306965723</v>
      </c>
      <c r="BD292" s="0" t="n">
        <f aca="false">BC292*180/Pi-180</f>
        <v>-259.694458599848</v>
      </c>
      <c r="BF292" s="0" t="n">
        <f aca="false">20*LOG(BA292*J292*F292*C292)</f>
        <v>1.85139998519603</v>
      </c>
      <c r="BG292" s="0" t="n">
        <f aca="false">(180/Pi)*(D292+H292+BC292)</f>
        <v>-255.53333619085</v>
      </c>
      <c r="BH292" s="0" t="n">
        <f aca="false">IF(BG292&gt;180,BG292-180,BG292+180)</f>
        <v>-75.53333619085</v>
      </c>
      <c r="BI292" s="0" t="n">
        <f aca="false">IF(BH292&gt;180,BH292-360,BH292)</f>
        <v>-75.53333619085</v>
      </c>
      <c r="BJ292" s="0" t="n">
        <f aca="false">SUM((BF293&lt;0)*(BF292&gt;0))*A292</f>
        <v>0</v>
      </c>
      <c r="BK292" s="0" t="n">
        <f aca="false">IF(BJ292&gt;0,BI292,0)</f>
        <v>0</v>
      </c>
      <c r="BM292" s="0" t="n">
        <f aca="false">20*LOG(J292*F292*C292)</f>
        <v>-19.0707068766987</v>
      </c>
      <c r="BN292" s="0" t="n">
        <f aca="false">(H292+D292)*180/Pi</f>
        <v>-175.838877591002</v>
      </c>
      <c r="BQ292" s="347" t="n">
        <f aca="false">20*LOG(BA292*7)</f>
        <v>37.8240676621798</v>
      </c>
      <c r="BR292" s="353"/>
      <c r="BS292" s="353"/>
      <c r="BT292" s="353" t="n">
        <v>66069.345</v>
      </c>
      <c r="BU292" s="353" t="n">
        <v>2.79409</v>
      </c>
      <c r="BV292" s="353" t="n">
        <v>-132.279</v>
      </c>
      <c r="BY292" s="353"/>
      <c r="BZ292" s="353"/>
      <c r="CA292" s="353"/>
      <c r="CC292" s="353"/>
    </row>
    <row r="293" customFormat="false" ht="12.75" hidden="false" customHeight="false" outlineLevel="0" collapsed="false">
      <c r="A293" s="0" t="n">
        <f aca="false">A292+5000</f>
        <v>395000</v>
      </c>
      <c r="B293" s="0" t="n">
        <f aca="false">A293/1000</f>
        <v>395</v>
      </c>
      <c r="C293" s="0" t="n">
        <f aca="false">SQRT((A293/Fesr)^2+1)</f>
        <v>1.0000030798053</v>
      </c>
      <c r="D293" s="0" t="n">
        <f aca="false">ATAN(A293/Fesr)</f>
        <v>0.00248185309775097</v>
      </c>
      <c r="F293" s="0" t="n">
        <f aca="false">(Ro/(Ro+Rdcr))/SQRT((A293/(Q*Fo))^2+(1-(A293^2/Fo^2))^2)</f>
        <v>0.0120516616059429</v>
      </c>
      <c r="G293" s="0" t="n">
        <f aca="false">-ATAN(A293*Fo/(Q*(Fo^2-A293^2)))</f>
        <v>0.0692677217375316</v>
      </c>
      <c r="H293" s="0" t="n">
        <f aca="false">IF(G293&gt;0,G293-Pi,G293)</f>
        <v>-3.07232492826247</v>
      </c>
      <c r="J293" s="0" t="n">
        <f aca="false">Vin/Vramp</f>
        <v>9</v>
      </c>
      <c r="M293" s="0" t="n">
        <f aca="false">1/(2*Pi*_Rfb1*(Cc1ea_u+Cc2ea_u)*A293)</f>
        <v>0.0149231076674877</v>
      </c>
      <c r="N293" s="0" t="n">
        <f aca="false">-Pi/2</f>
        <v>-1.570796325</v>
      </c>
      <c r="O293" s="0" t="n">
        <f aca="false">SQRT(1+(A293/Fz1_u)^2)</f>
        <v>9.70114262103817</v>
      </c>
      <c r="P293" s="0" t="n">
        <f aca="false">ATAN2(Fz1_u,A293)</f>
        <v>1.46753225808789</v>
      </c>
      <c r="Q293" s="0" t="n">
        <f aca="false">SQRT(1+(A293/Fz2_u)^2)</f>
        <v>10949.4421688822</v>
      </c>
      <c r="R293" s="0" t="n">
        <f aca="false">ATAN2(Fz2_u,A293)</f>
        <v>1.57070499794125</v>
      </c>
      <c r="S293" s="0" t="n">
        <f aca="false">1/SQRT(1+(A293/Fp1_u)^2)</f>
        <v>0.0341493299053572</v>
      </c>
      <c r="T293" s="0" t="n">
        <f aca="false">-ATAN2(Fp1_u,A293)</f>
        <v>-1.53664035604497</v>
      </c>
      <c r="U293" s="0" t="n">
        <f aca="false">1/SQRT(1+(A293/Fp2_u)^2)</f>
        <v>0.682068428788567</v>
      </c>
      <c r="V293" s="0" t="n">
        <f aca="false">-ATAN2(Fp2_u,A293)</f>
        <v>-0.820208937263728</v>
      </c>
      <c r="X293" s="0" t="n">
        <f aca="false">20*LOG(C293*J293*O293*Q293*F293*M293*S293*U293)</f>
        <v>12.0515013085646</v>
      </c>
      <c r="Y293" s="0" t="n">
        <f aca="false">(180/Pi)*(D293+H293+N293+P293+R293+T293+V293)</f>
        <v>-226.848397655874</v>
      </c>
      <c r="Z293" s="0" t="n">
        <f aca="false">Y293+180</f>
        <v>-46.848397655874</v>
      </c>
      <c r="AC293" s="0" t="n">
        <v>1</v>
      </c>
      <c r="AD293" s="0" t="n">
        <f aca="false">Rcea1_u*Cc1ea_u*A293*2*Pi</f>
        <v>9.649464656328</v>
      </c>
      <c r="AE293" s="0" t="n">
        <f aca="false">-Rcea1_u*Cc1ea_u*Cc2ea_u*(A293*2*Pi)^2</f>
        <v>-0.00359229043802945</v>
      </c>
      <c r="AF293" s="0" t="n">
        <f aca="false">(Cc2ea_u+Cc1ea_u)*A293*2*Pi</f>
        <v>0.003350508561225</v>
      </c>
      <c r="AG293" s="0" t="n">
        <f aca="false">AC293*AE293/(AE293^2+AF293^2)+AD293*AF293/(AE293^2+AF293^2)</f>
        <v>1190.95639436827</v>
      </c>
      <c r="AH293" s="0" t="n">
        <f aca="false">AD293*AE293/(AE293^2+AF293^2)-AC293*AF293/(AE293^2+AF293^2)</f>
        <v>-1575.36122387025</v>
      </c>
      <c r="AJ293" s="0" t="n">
        <f aca="false">_Rfb1</f>
        <v>20000</v>
      </c>
      <c r="AK293" s="0" t="n">
        <f aca="false">_Rfb1*Rcea2_u*Cc3ea_u*A293*2*Pi</f>
        <v>585321.43635504</v>
      </c>
      <c r="AL293" s="0" t="n">
        <v>1</v>
      </c>
      <c r="AM293" s="0" t="n">
        <f aca="false">(_Rfb1+Rcea2_u)*Cc3ea_u*A293*2*Pi</f>
        <v>10949.4421232178</v>
      </c>
      <c r="AN293" s="0" t="n">
        <f aca="false">AJ293*AL293/(AL293^2+AM293^2)+AK293*AM293/(AL293^2+AM293^2)</f>
        <v>53.4569023209695</v>
      </c>
      <c r="AO293" s="0" t="n">
        <f aca="false">AK293*AL293/(AL293^2+AM293^2)-AJ293*AM293/(AL293^2+AM293^2)</f>
        <v>-1.82169492045475</v>
      </c>
      <c r="AQ293" s="0" t="n">
        <f aca="false">Eadcg/(1+(Eadcg*A293/GBP)^2)</f>
        <v>0.0729686685316073</v>
      </c>
      <c r="AR293" s="0" t="n">
        <f aca="false">-(A293*Eadcg*Eadcg/GBP)/(1+(Eadcg*A293/GBP)^2)</f>
        <v>-15.189522884882</v>
      </c>
      <c r="AT293" s="0" t="n">
        <f aca="false">-AR293*AH293+AG293*AQ293</f>
        <v>-23842.0828595566</v>
      </c>
      <c r="AU293" s="0" t="n">
        <f aca="false">AQ293*AH293+AG293*AR293</f>
        <v>-18205.0114181156</v>
      </c>
      <c r="AV293" s="0" t="n">
        <f aca="false">ATAN2(AT293,AU293)</f>
        <v>-2.48946548818234</v>
      </c>
      <c r="AW293" s="0" t="n">
        <f aca="false">AG293-AH293*AO293/_Rfb2+AG293*AN293/_Rfb2+AN293-AO293*AR293+AQ293*AN293</f>
        <v>1248.0010544382</v>
      </c>
      <c r="AX293" s="0" t="n">
        <f aca="false">AH293+AH293*AN293/_Rfb2+AG293*AO293/_Rfb2+AO293+AO293*AQ293+AN293*AR293</f>
        <v>-2428.17325722824</v>
      </c>
      <c r="AY293" s="0" t="n">
        <f aca="false">ATAN2(AW293,AX293)</f>
        <v>-1.09603761057897</v>
      </c>
      <c r="BA293" s="0" t="n">
        <f aca="false">SQRT(AT293^2+AU293^2)/SQRT(AW293^2+AX293^2)</f>
        <v>10.9877353006187</v>
      </c>
      <c r="BB293" s="0" t="n">
        <f aca="false">20*LOG(BA293)</f>
        <v>20.8181637705851</v>
      </c>
      <c r="BC293" s="0" t="n">
        <f aca="false">AV293-AY293</f>
        <v>-1.39342787760338</v>
      </c>
      <c r="BD293" s="0" t="n">
        <f aca="false">BC293*180/Pi-180</f>
        <v>-259.837536533773</v>
      </c>
      <c r="BF293" s="0" t="n">
        <f aca="false">20*LOG(BA293*J293*F293*C293)</f>
        <v>1.52397928581324</v>
      </c>
      <c r="BG293" s="0" t="n">
        <f aca="false">(180/Pi)*(D293+H293+BC293)</f>
        <v>-255.726588709156</v>
      </c>
      <c r="BH293" s="0" t="n">
        <f aca="false">IF(BG293&gt;180,BG293-180,BG293+180)</f>
        <v>-75.7265887091558</v>
      </c>
      <c r="BI293" s="0" t="n">
        <f aca="false">IF(BH293&gt;180,BH293-360,BH293)</f>
        <v>-75.7265887091558</v>
      </c>
      <c r="BJ293" s="0" t="n">
        <f aca="false">SUM((BF294&lt;0)*(BF293&gt;0))*A293</f>
        <v>0</v>
      </c>
      <c r="BK293" s="0" t="n">
        <f aca="false">IF(BJ293&gt;0,BI293,0)</f>
        <v>0</v>
      </c>
      <c r="BM293" s="0" t="n">
        <f aca="false">20*LOG(J293*F293*C293)</f>
        <v>-19.2941844847719</v>
      </c>
      <c r="BN293" s="0" t="n">
        <f aca="false">(H293+D293)*180/Pi</f>
        <v>-175.889052175383</v>
      </c>
      <c r="BQ293" s="347" t="n">
        <f aca="false">20*LOG(BA293*7)</f>
        <v>37.7201245708703</v>
      </c>
      <c r="BR293" s="353"/>
      <c r="BS293" s="353"/>
      <c r="BT293" s="353" t="n">
        <v>67608.298</v>
      </c>
      <c r="BU293" s="353" t="n">
        <v>2.95814</v>
      </c>
      <c r="BV293" s="353" t="n">
        <v>-132.034</v>
      </c>
      <c r="BY293" s="353"/>
      <c r="BZ293" s="353"/>
      <c r="CA293" s="353"/>
      <c r="CC293" s="353"/>
    </row>
    <row r="294" customFormat="false" ht="12.75" hidden="false" customHeight="false" outlineLevel="0" collapsed="false">
      <c r="A294" s="0" t="n">
        <f aca="false">A293+5000</f>
        <v>400000</v>
      </c>
      <c r="B294" s="0" t="n">
        <f aca="false">A294/1000</f>
        <v>400</v>
      </c>
      <c r="C294" s="0" t="n">
        <f aca="false">SQRT((A294/Fesr)^2+1)</f>
        <v>1.00000315826841</v>
      </c>
      <c r="D294" s="0" t="n">
        <f aca="false">ATAN(A294/Fesr)</f>
        <v>0.00251326882828219</v>
      </c>
      <c r="F294" s="0" t="n">
        <f aca="false">(Ro/(Ro+Rdcr))/SQRT((A294/(Q*Fo))^2+(1-(A294^2/Fo^2))^2)</f>
        <v>0.0117494157481998</v>
      </c>
      <c r="G294" s="0" t="n">
        <f aca="false">-ATAN(A294*Fo/(Q*(Fo^2-A294^2)))</f>
        <v>0.0683839737689467</v>
      </c>
      <c r="H294" s="0" t="n">
        <f aca="false">IF(G294&gt;0,G294-Pi,G294)</f>
        <v>-3.07320867623105</v>
      </c>
      <c r="J294" s="0" t="n">
        <f aca="false">Vin/Vramp</f>
        <v>9</v>
      </c>
      <c r="M294" s="0" t="n">
        <f aca="false">1/(2*Pi*_Rfb1*(Cc1ea_u+Cc2ea_u)*A294)</f>
        <v>0.0147365688216441</v>
      </c>
      <c r="N294" s="0" t="n">
        <f aca="false">-Pi/2</f>
        <v>-1.570796325</v>
      </c>
      <c r="O294" s="0" t="n">
        <f aca="false">SQRT(1+(A294/Fz1_u)^2)</f>
        <v>9.8226451460108</v>
      </c>
      <c r="P294" s="0" t="n">
        <f aca="false">ATAN2(Fz1_u,A294)</f>
        <v>1.46881407177023</v>
      </c>
      <c r="Q294" s="0" t="n">
        <f aca="false">SQRT(1+(A294/Fz2_u)^2)</f>
        <v>11088.0427015167</v>
      </c>
      <c r="R294" s="0" t="n">
        <f aca="false">ATAN2(Fz2_u,A294)</f>
        <v>1.57070613955191</v>
      </c>
      <c r="S294" s="0" t="n">
        <f aca="false">1/SQRT(1+(A294/Fp1_u)^2)</f>
        <v>0.0337229517991848</v>
      </c>
      <c r="T294" s="0" t="n">
        <f aca="false">-ATAN2(Fp1_u,A294)</f>
        <v>-1.53706697988832</v>
      </c>
      <c r="U294" s="0" t="n">
        <f aca="false">1/SQRT(1+(A294/Fp2_u)^2)</f>
        <v>0.677468957598075</v>
      </c>
      <c r="V294" s="0" t="n">
        <f aca="false">-ATAN2(Fp2_u,A294)</f>
        <v>-0.826480182923287</v>
      </c>
      <c r="X294" s="0" t="n">
        <f aca="false">20*LOG(C294*J294*O294*Q294*F294*M294*S294*U294)</f>
        <v>11.7710971157527</v>
      </c>
      <c r="Y294" s="0" t="n">
        <f aca="false">(180/Pi)*(D294+H294+N294+P294+R294+T294+V294)</f>
        <v>-227.20748442692</v>
      </c>
      <c r="Z294" s="0" t="n">
        <f aca="false">Y294+180</f>
        <v>-47.2074844269203</v>
      </c>
      <c r="AC294" s="0" t="n">
        <v>1</v>
      </c>
      <c r="AD294" s="0" t="n">
        <f aca="false">Rcea1_u*Cc1ea_u*A294*2*Pi</f>
        <v>9.77160977856</v>
      </c>
      <c r="AE294" s="0" t="n">
        <f aca="false">-Rcea1_u*Cc1ea_u*Cc2ea_u*(A294*2*Pi)^2</f>
        <v>-0.00368381009507907</v>
      </c>
      <c r="AF294" s="0" t="n">
        <f aca="false">(Cc2ea_u+Cc1ea_u)*A294*2*Pi</f>
        <v>0.003392920062</v>
      </c>
      <c r="AG294" s="0" t="n">
        <f aca="false">AC294*AE294/(AE294^2+AF294^2)+AD294*AF294/(AE294^2+AF294^2)</f>
        <v>1174.9483225831</v>
      </c>
      <c r="AH294" s="0" t="n">
        <f aca="false">AD294*AE294/(AE294^2+AF294^2)-AC294*AF294/(AE294^2+AF294^2)</f>
        <v>-1570.41321179462</v>
      </c>
      <c r="AJ294" s="0" t="n">
        <f aca="false">_Rfb1</f>
        <v>20000</v>
      </c>
      <c r="AK294" s="0" t="n">
        <f aca="false">_Rfb1*Rcea2_u*Cc3ea_u*A294*2*Pi</f>
        <v>592730.5684608</v>
      </c>
      <c r="AL294" s="0" t="n">
        <v>1</v>
      </c>
      <c r="AM294" s="0" t="n">
        <f aca="false">(_Rfb1+Rcea2_u)*Cc3ea_u*A294*2*Pi</f>
        <v>11088.042656423</v>
      </c>
      <c r="AN294" s="0" t="n">
        <f aca="false">AJ294*AL294/(AL294^2+AM294^2)+AK294*AM294/(AL294^2+AM294^2)</f>
        <v>53.4568981876327</v>
      </c>
      <c r="AO294" s="0" t="n">
        <f aca="false">AK294*AL294/(AL294^2+AM294^2)-AJ294*AM294/(AL294^2+AM294^2)</f>
        <v>-1.79892373432184</v>
      </c>
      <c r="AQ294" s="0" t="n">
        <f aca="false">Eadcg/(1+(Eadcg*A294/GBP)^2)</f>
        <v>0.0711558939673664</v>
      </c>
      <c r="AR294" s="0" t="n">
        <f aca="false">-(A294*Eadcg*Eadcg/GBP)/(1+(Eadcg*A294/GBP)^2)</f>
        <v>-14.9996624483208</v>
      </c>
      <c r="AT294" s="0" t="n">
        <f aca="false">-AR294*AH294+AG294*AQ294</f>
        <v>-23472.0635830438</v>
      </c>
      <c r="AU294" s="0" t="n">
        <f aca="false">AQ294*AH294+AG294*AR294</f>
        <v>-17735.5723889506</v>
      </c>
      <c r="AV294" s="0" t="n">
        <f aca="false">ATAN2(AT294,AU294)</f>
        <v>-2.49451496731028</v>
      </c>
      <c r="AW294" s="0" t="n">
        <f aca="false">AG294-AH294*AO294/_Rfb2+AG294*AN294/_Rfb2+AN294-AO294*AR294+AQ294*AN294</f>
        <v>1232.21856303039</v>
      </c>
      <c r="AX294" s="0" t="n">
        <f aca="false">AH294+AH294*AN294/_Rfb2+AG294*AO294/_Rfb2+AO294+AO294*AQ294+AN294*AR294</f>
        <v>-2412.90394562396</v>
      </c>
      <c r="AY294" s="0" t="n">
        <f aca="false">ATAN2(AW294,AX294)</f>
        <v>-1.09864232749319</v>
      </c>
      <c r="BA294" s="0" t="n">
        <f aca="false">SQRT(AT294^2+AU294^2)/SQRT(AW294^2+AX294^2)</f>
        <v>10.8584722013556</v>
      </c>
      <c r="BB294" s="0" t="n">
        <f aca="false">20*LOG(BA294)</f>
        <v>20.7153744770692</v>
      </c>
      <c r="BC294" s="0" t="n">
        <f aca="false">AV294-AY294</f>
        <v>-1.39587263981709</v>
      </c>
      <c r="BD294" s="0" t="n">
        <f aca="false">BC294*180/Pi-180</f>
        <v>-259.977611090692</v>
      </c>
      <c r="BF294" s="0" t="n">
        <f aca="false">20*LOG(BA294*J294*F294*C294)</f>
        <v>1.20057752626786</v>
      </c>
      <c r="BG294" s="0" t="n">
        <f aca="false">(180/Pi)*(D294+H294+BC294)</f>
        <v>-255.915498306114</v>
      </c>
      <c r="BH294" s="0" t="n">
        <f aca="false">IF(BG294&gt;180,BG294-180,BG294+180)</f>
        <v>-75.915498306114</v>
      </c>
      <c r="BI294" s="0" t="n">
        <f aca="false">IF(BH294&gt;180,BH294-360,BH294)</f>
        <v>-75.915498306114</v>
      </c>
      <c r="BJ294" s="0" t="n">
        <f aca="false">SUM((BF295&lt;0)*(BF294&gt;0))*A294</f>
        <v>0</v>
      </c>
      <c r="BK294" s="0" t="n">
        <f aca="false">IF(BJ294&gt;0,BI294,0)</f>
        <v>0</v>
      </c>
      <c r="BM294" s="0" t="n">
        <f aca="false">20*LOG(J294*F294*C294)</f>
        <v>-19.5147969508013</v>
      </c>
      <c r="BN294" s="0" t="n">
        <f aca="false">(H294+D294)*180/Pi</f>
        <v>-175.937887215422</v>
      </c>
      <c r="BQ294" s="347" t="n">
        <f aca="false">20*LOG(BA294*7)</f>
        <v>37.6173352773543</v>
      </c>
      <c r="BR294" s="353"/>
      <c r="BS294" s="353"/>
      <c r="BT294" s="353" t="n">
        <v>69183.097</v>
      </c>
      <c r="BU294" s="353" t="n">
        <v>3.15646</v>
      </c>
      <c r="BV294" s="353" t="n">
        <v>-131.408</v>
      </c>
      <c r="BY294" s="353"/>
      <c r="BZ294" s="353"/>
      <c r="CA294" s="353"/>
      <c r="CC294" s="353"/>
    </row>
    <row r="295" customFormat="false" ht="12.75" hidden="false" customHeight="false" outlineLevel="0" collapsed="false">
      <c r="A295" s="0" t="n">
        <f aca="false">A294+5000</f>
        <v>405000</v>
      </c>
      <c r="B295" s="0" t="n">
        <f aca="false">A295/1000</f>
        <v>405</v>
      </c>
      <c r="C295" s="0" t="n">
        <f aca="false">SQRT((A295/Fesr)^2+1)</f>
        <v>1.00000323771847</v>
      </c>
      <c r="D295" s="0" t="n">
        <f aca="false">ATAN(A295/Fesr)</f>
        <v>0.00254468455385246</v>
      </c>
      <c r="F295" s="0" t="n">
        <f aca="false">(Ro/(Ro+Rdcr))/SQRT((A295/(Q*Fo))^2+(1-(A295^2/Fo^2))^2)</f>
        <v>0.0114584325356206</v>
      </c>
      <c r="G295" s="0" t="n">
        <f aca="false">-ATAN(A295*Fo/(Q*(Fo^2-A295^2)))</f>
        <v>0.0675227048847367</v>
      </c>
      <c r="H295" s="0" t="n">
        <f aca="false">IF(G295&gt;0,G295-Pi,G295)</f>
        <v>-3.07406994511526</v>
      </c>
      <c r="J295" s="0" t="n">
        <f aca="false">Vin/Vramp</f>
        <v>9</v>
      </c>
      <c r="M295" s="0" t="n">
        <f aca="false">1/(2*Pi*_Rfb1*(Cc1ea_u+Cc2ea_u)*A295)</f>
        <v>0.0145546358732288</v>
      </c>
      <c r="N295" s="0" t="n">
        <f aca="false">-Pi/2</f>
        <v>-1.570796325</v>
      </c>
      <c r="O295" s="0" t="n">
        <f aca="false">SQRT(1+(A295/Fz1_u)^2)</f>
        <v>9.94416341563963</v>
      </c>
      <c r="P295" s="0" t="n">
        <f aca="false">ATAN2(Fz1_u,A295)</f>
        <v>1.47006455978636</v>
      </c>
      <c r="Q295" s="0" t="n">
        <f aca="false">SQRT(1+(A295/Fz2_u)^2)</f>
        <v>11226.6432341652</v>
      </c>
      <c r="R295" s="0" t="n">
        <f aca="false">ATAN2(Fz2_u,A295)</f>
        <v>1.57070725297466</v>
      </c>
      <c r="S295" s="0" t="n">
        <f aca="false">1/SQRT(1+(A295/Fp1_u)^2)</f>
        <v>0.0333070838079778</v>
      </c>
      <c r="T295" s="0" t="n">
        <f aca="false">-ATAN2(Fp1_u,A295)</f>
        <v>-1.53748308164268</v>
      </c>
      <c r="U295" s="0" t="n">
        <f aca="false">1/SQRT(1+(A295/Fp2_u)^2)</f>
        <v>0.672905168834441</v>
      </c>
      <c r="V295" s="0" t="n">
        <f aca="false">-ATAN2(Fp2_u,A295)</f>
        <v>-0.83266717634359</v>
      </c>
      <c r="X295" s="0" t="n">
        <f aca="false">20*LOG(C295*J295*O295*Q295*F295*M295*S295*U295)</f>
        <v>11.493582415061</v>
      </c>
      <c r="Y295" s="0" t="n">
        <f aca="false">(180/Pi)*(D295+H295+N295+P295+R295+T295+V295)</f>
        <v>-227.561649516082</v>
      </c>
      <c r="Z295" s="0" t="n">
        <f aca="false">Y295+180</f>
        <v>-47.5616495160824</v>
      </c>
      <c r="AC295" s="0" t="n">
        <v>1</v>
      </c>
      <c r="AD295" s="0" t="n">
        <f aca="false">Rcea1_u*Cc1ea_u*A295*2*Pi</f>
        <v>9.893754900792</v>
      </c>
      <c r="AE295" s="0" t="n">
        <f aca="false">-Rcea1_u*Cc1ea_u*Cc2ea_u*(A295*2*Pi)^2</f>
        <v>-0.0037764809427834</v>
      </c>
      <c r="AF295" s="0" t="n">
        <f aca="false">(Cc2ea_u+Cc1ea_u)*A295*2*Pi</f>
        <v>0.003435331562775</v>
      </c>
      <c r="AG295" s="0" t="n">
        <f aca="false">AC295*AE295/(AE295^2+AF295^2)+AD295*AF295/(AE295^2+AF295^2)</f>
        <v>1159.17149758492</v>
      </c>
      <c r="AH295" s="0" t="n">
        <f aca="false">AD295*AE295/(AE295^2+AF295^2)-AC295*AF295/(AE295^2+AF295^2)</f>
        <v>-1565.37701580782</v>
      </c>
      <c r="AJ295" s="0" t="n">
        <f aca="false">_Rfb1</f>
        <v>20000</v>
      </c>
      <c r="AK295" s="0" t="n">
        <f aca="false">_Rfb1*Rcea2_u*Cc3ea_u*A295*2*Pi</f>
        <v>600139.70056656</v>
      </c>
      <c r="AL295" s="0" t="n">
        <v>1</v>
      </c>
      <c r="AM295" s="0" t="n">
        <f aca="false">(_Rfb1+Rcea2_u)*Cc3ea_u*A295*2*Pi</f>
        <v>11226.6431896283</v>
      </c>
      <c r="AN295" s="0" t="n">
        <f aca="false">AJ295*AL295/(AL295^2+AM295^2)+AK295*AM295/(AL295^2+AM295^2)</f>
        <v>53.4568942064354</v>
      </c>
      <c r="AO295" s="0" t="n">
        <f aca="false">AK295*AL295/(AL295^2+AM295^2)-AJ295*AM295/(AL295^2+AM295^2)</f>
        <v>-1.77671479968483</v>
      </c>
      <c r="AQ295" s="0" t="n">
        <f aca="false">Eadcg/(1+(Eadcg*A295/GBP)^2)</f>
        <v>0.0694098419245234</v>
      </c>
      <c r="AR295" s="0" t="n">
        <f aca="false">-(A295*Eadcg*Eadcg/GBP)/(1+(Eadcg*A295/GBP)^2)</f>
        <v>-14.8144896111607</v>
      </c>
      <c r="AT295" s="0" t="n">
        <f aca="false">-AR295*AH295+AG295*AQ295</f>
        <v>-23109.8036278238</v>
      </c>
      <c r="AU295" s="0" t="n">
        <f aca="false">AQ295*AH295+AG295*AR295</f>
        <v>-17281.1866797448</v>
      </c>
      <c r="AV295" s="0" t="n">
        <f aca="false">ATAN2(AT295,AU295)</f>
        <v>-2.49951003725245</v>
      </c>
      <c r="AW295" s="0" t="n">
        <f aca="false">AG295-AH295*AO295/_Rfb2+AG295*AN295/_Rfb2+AN295-AO295*AR295+AQ295*AN295</f>
        <v>1216.65071924717</v>
      </c>
      <c r="AX295" s="0" t="n">
        <f aca="false">AH295+AH295*AN295/_Rfb2+AG295*AO295/_Rfb2+AO295+AO295*AQ295+AN295*AR295</f>
        <v>-2397.7965257741</v>
      </c>
      <c r="AY295" s="0" t="n">
        <f aca="false">ATAN2(AW295,AX295)</f>
        <v>-1.10124335178636</v>
      </c>
      <c r="BA295" s="0" t="n">
        <f aca="false">SQRT(AT295^2+AU295^2)/SQRT(AW295^2+AX295^2)</f>
        <v>10.7321260828034</v>
      </c>
      <c r="BB295" s="0" t="n">
        <f aca="false">20*LOG(BA295)</f>
        <v>20.6137153238745</v>
      </c>
      <c r="BC295" s="0" t="n">
        <f aca="false">AV295-AY295</f>
        <v>-1.39826668546609</v>
      </c>
      <c r="BD295" s="0" t="n">
        <f aca="false">BC295*180/Pi-180</f>
        <v>-260.114779802498</v>
      </c>
      <c r="BF295" s="0" t="n">
        <f aca="false">20*LOG(BA295*J295*F295*C295)</f>
        <v>0.881097876557067</v>
      </c>
      <c r="BG295" s="0" t="n">
        <f aca="false">(180/Pi)*(D295+H295+BC295)</f>
        <v>-256.10021410158</v>
      </c>
      <c r="BH295" s="0" t="n">
        <f aca="false">IF(BG295&gt;180,BG295-180,BG295+180)</f>
        <v>-76.1002141015799</v>
      </c>
      <c r="BI295" s="0" t="n">
        <f aca="false">IF(BH295&gt;180,BH295-360,BH295)</f>
        <v>-76.1002141015799</v>
      </c>
      <c r="BJ295" s="0" t="n">
        <f aca="false">SUM((BF296&lt;0)*(BF295&gt;0))*A295</f>
        <v>0</v>
      </c>
      <c r="BK295" s="0" t="n">
        <f aca="false">IF(BJ295&gt;0,BI295,0)</f>
        <v>0</v>
      </c>
      <c r="BM295" s="0" t="n">
        <f aca="false">20*LOG(J295*F295*C295)</f>
        <v>-19.7326174473175</v>
      </c>
      <c r="BN295" s="0" t="n">
        <f aca="false">(H295+D295)*180/Pi</f>
        <v>-175.985434299082</v>
      </c>
      <c r="BQ295" s="347" t="n">
        <f aca="false">20*LOG(BA295*7)</f>
        <v>37.5156761241597</v>
      </c>
      <c r="BR295" s="353"/>
      <c r="BS295" s="353"/>
      <c r="BT295" s="353" t="n">
        <v>70794.578</v>
      </c>
      <c r="BU295" s="353" t="n">
        <v>3.32565</v>
      </c>
      <c r="BV295" s="353" t="n">
        <v>-131.172</v>
      </c>
      <c r="BY295" s="353"/>
      <c r="BZ295" s="353"/>
      <c r="CA295" s="353"/>
      <c r="CC295" s="353"/>
    </row>
    <row r="296" customFormat="false" ht="12.75" hidden="false" customHeight="false" outlineLevel="0" collapsed="false">
      <c r="A296" s="0" t="n">
        <f aca="false">A295+5000</f>
        <v>410000</v>
      </c>
      <c r="B296" s="0" t="n">
        <f aca="false">A296/1000</f>
        <v>410</v>
      </c>
      <c r="C296" s="0" t="n">
        <f aca="false">SQRT((A296/Fesr)^2+1)</f>
        <v>1.00000331815549</v>
      </c>
      <c r="D296" s="0" t="n">
        <f aca="false">ATAN(A296/Fesr)</f>
        <v>0.00257610027439979</v>
      </c>
      <c r="F296" s="0" t="n">
        <f aca="false">(Ro/(Ro+Rdcr))/SQRT((A296/(Q*Fo))^2+(1-(A296^2/Fo^2))^2)</f>
        <v>0.0111781576837117</v>
      </c>
      <c r="G296" s="0" t="n">
        <f aca="false">-ATAN(A296*Fo/(Q*(Fo^2-A296^2)))</f>
        <v>0.0666830607241099</v>
      </c>
      <c r="H296" s="0" t="n">
        <f aca="false">IF(G296&gt;0,G296-Pi,G296)</f>
        <v>-3.07490958927589</v>
      </c>
      <c r="J296" s="0" t="n">
        <f aca="false">Vin/Vramp</f>
        <v>9</v>
      </c>
      <c r="M296" s="0" t="n">
        <f aca="false">1/(2*Pi*_Rfb1*(Cc1ea_u+Cc2ea_u)*A296)</f>
        <v>0.0143771403137991</v>
      </c>
      <c r="N296" s="0" t="n">
        <f aca="false">-Pi/2</f>
        <v>-1.570796325</v>
      </c>
      <c r="O296" s="0" t="n">
        <f aca="false">SQRT(1+(A296/Fz1_u)^2)</f>
        <v>10.0656968596919</v>
      </c>
      <c r="P296" s="0" t="n">
        <f aca="false">ATAN2(Fz1_u,A296)</f>
        <v>1.47128485283315</v>
      </c>
      <c r="Q296" s="0" t="n">
        <f aca="false">SQRT(1+(A296/Fz2_u)^2)</f>
        <v>11365.2437668274</v>
      </c>
      <c r="R296" s="0" t="n">
        <f aca="false">ATAN2(Fz2_u,A296)</f>
        <v>1.57070833924075</v>
      </c>
      <c r="S296" s="0" t="n">
        <f aca="false">1/SQRT(1+(A296/Fp1_u)^2)</f>
        <v>0.0329013422637261</v>
      </c>
      <c r="T296" s="0" t="n">
        <f aca="false">-ATAN2(Fp1_u,A296)</f>
        <v>-1.53788904569646</v>
      </c>
      <c r="U296" s="0" t="n">
        <f aca="false">1/SQRT(1+(A296/Fp2_u)^2)</f>
        <v>0.668377383922941</v>
      </c>
      <c r="V296" s="0" t="n">
        <f aca="false">-ATAN2(Fp2_u,A296)</f>
        <v>-0.838771139819528</v>
      </c>
      <c r="X296" s="0" t="n">
        <f aca="false">20*LOG(C296*J296*O296*Q296*F296*M296*S296*U296)</f>
        <v>11.2188931533763</v>
      </c>
      <c r="Y296" s="0" t="n">
        <f aca="false">(180/Pi)*(D296+H296+N296+P296+R296+T296+V296)</f>
        <v>-227.910969087556</v>
      </c>
      <c r="Z296" s="0" t="n">
        <f aca="false">Y296+180</f>
        <v>-47.9109690875564</v>
      </c>
      <c r="AC296" s="0" t="n">
        <v>1</v>
      </c>
      <c r="AD296" s="0" t="n">
        <f aca="false">Rcea1_u*Cc1ea_u*A296*2*Pi</f>
        <v>10.015900023024</v>
      </c>
      <c r="AE296" s="0" t="n">
        <f aca="false">-Rcea1_u*Cc1ea_u*Cc2ea_u*(A296*2*Pi)^2</f>
        <v>-0.00387030298114244</v>
      </c>
      <c r="AF296" s="0" t="n">
        <f aca="false">(Cc2ea_u+Cc1ea_u)*A296*2*Pi</f>
        <v>0.00347774306355</v>
      </c>
      <c r="AG296" s="0" t="n">
        <f aca="false">AC296*AE296/(AE296^2+AF296^2)+AD296*AF296/(AE296^2+AF296^2)</f>
        <v>1143.62451798957</v>
      </c>
      <c r="AH296" s="0" t="n">
        <f aca="false">AD296*AE296/(AE296^2+AF296^2)-AC296*AF296/(AE296^2+AF296^2)</f>
        <v>-1560.25712139404</v>
      </c>
      <c r="AJ296" s="0" t="n">
        <f aca="false">_Rfb1</f>
        <v>20000</v>
      </c>
      <c r="AK296" s="0" t="n">
        <f aca="false">_Rfb1*Rcea2_u*Cc3ea_u*A296*2*Pi</f>
        <v>607548.83267232</v>
      </c>
      <c r="AL296" s="0" t="n">
        <v>1</v>
      </c>
      <c r="AM296" s="0" t="n">
        <f aca="false">(_Rfb1+Rcea2_u)*Cc3ea_u*A296*2*Pi</f>
        <v>11365.2437228336</v>
      </c>
      <c r="AN296" s="0" t="n">
        <f aca="false">AJ296*AL296/(AL296^2+AM296^2)+AK296*AM296/(AL296^2+AM296^2)</f>
        <v>53.4568903700017</v>
      </c>
      <c r="AO296" s="0" t="n">
        <f aca="false">AK296*AL296/(AL296^2+AM296^2)-AJ296*AM296/(AL296^2+AM296^2)</f>
        <v>-1.7550475463677</v>
      </c>
      <c r="AQ296" s="0" t="n">
        <f aca="false">Eadcg/(1+(Eadcg*A296/GBP)^2)</f>
        <v>0.0677272776916421</v>
      </c>
      <c r="AR296" s="0" t="n">
        <f aca="false">-(A296*Eadcg*Eadcg/GBP)/(1+(Eadcg*A296/GBP)^2)</f>
        <v>-14.6338328908331</v>
      </c>
      <c r="AT296" s="0" t="n">
        <f aca="false">-AR296*AH296+AG296*AQ296</f>
        <v>-22755.0874059078</v>
      </c>
      <c r="AU296" s="0" t="n">
        <f aca="false">AQ296*AH296+AG296*AR296</f>
        <v>-16841.2820534499</v>
      </c>
      <c r="AV296" s="0" t="n">
        <f aca="false">ATAN2(AT296,AU296)</f>
        <v>-2.5044508438472</v>
      </c>
      <c r="AW296" s="0" t="n">
        <f aca="false">AG296-AH296*AO296/_Rfb2+AG296*AN296/_Rfb2+AN296-AO296*AR296+AQ296*AN296</f>
        <v>1201.29715378168</v>
      </c>
      <c r="AX296" s="0" t="n">
        <f aca="false">AH296+AH296*AN296/_Rfb2+AG296*AO296/_Rfb2+AO296+AO296*AQ296+AN296*AR296</f>
        <v>-2382.84635825237</v>
      </c>
      <c r="AY296" s="0" t="n">
        <f aca="false">ATAN2(AW296,AX296)</f>
        <v>-1.10383919697355</v>
      </c>
      <c r="BA296" s="0" t="n">
        <f aca="false">SQRT(AT296^2+AU296^2)/SQRT(AW296^2+AX296^2)</f>
        <v>10.6086022273127</v>
      </c>
      <c r="BB296" s="0" t="n">
        <f aca="false">20*LOG(BA296)</f>
        <v>20.513163314304</v>
      </c>
      <c r="BC296" s="0" t="n">
        <f aca="false">AV296-AY296</f>
        <v>-1.40061164687364</v>
      </c>
      <c r="BD296" s="0" t="n">
        <f aca="false">BC296*180/Pi-180</f>
        <v>-260.249136194425</v>
      </c>
      <c r="BF296" s="0" t="n">
        <f aca="false">20*LOG(BA296*J296*F296*C296)</f>
        <v>0.565446957385751</v>
      </c>
      <c r="BG296" s="0" t="n">
        <f aca="false">(180/Pi)*(D296+H296+BC296)</f>
        <v>-256.280878572059</v>
      </c>
      <c r="BH296" s="0" t="n">
        <f aca="false">IF(BG296&gt;180,BG296-180,BG296+180)</f>
        <v>-76.2808785720594</v>
      </c>
      <c r="BI296" s="0" t="n">
        <f aca="false">IF(BH296&gt;180,BH296-360,BH296)</f>
        <v>-76.2808785720594</v>
      </c>
      <c r="BJ296" s="0" t="n">
        <f aca="false">SUM((BF297&lt;0)*(BF296&gt;0))*A296</f>
        <v>0</v>
      </c>
      <c r="BK296" s="0" t="n">
        <f aca="false">IF(BJ296&gt;0,BI296,0)</f>
        <v>0</v>
      </c>
      <c r="BM296" s="0" t="n">
        <f aca="false">20*LOG(J296*F296*C296)</f>
        <v>-19.9477163569183</v>
      </c>
      <c r="BN296" s="0" t="n">
        <f aca="false">(H296+D296)*180/Pi</f>
        <v>-176.031742377634</v>
      </c>
      <c r="BQ296" s="347" t="n">
        <f aca="false">20*LOG(BA296*7)</f>
        <v>37.4151241145892</v>
      </c>
      <c r="BR296" s="353"/>
      <c r="BS296" s="353"/>
      <c r="BT296" s="353" t="n">
        <v>72443.596</v>
      </c>
      <c r="BU296" s="353" t="n">
        <v>3.49921</v>
      </c>
      <c r="BV296" s="353" t="n">
        <v>-130.929</v>
      </c>
      <c r="BY296" s="353"/>
      <c r="BZ296" s="353"/>
      <c r="CA296" s="353"/>
      <c r="CC296" s="353"/>
    </row>
    <row r="297" customFormat="false" ht="12.75" hidden="false" customHeight="false" outlineLevel="0" collapsed="false">
      <c r="A297" s="0" t="n">
        <f aca="false">A296+5000</f>
        <v>415000</v>
      </c>
      <c r="B297" s="0" t="n">
        <f aca="false">A297/1000</f>
        <v>415</v>
      </c>
      <c r="C297" s="0" t="n">
        <f aca="false">SQRT((A297/Fesr)^2+1)</f>
        <v>1.00000339957945</v>
      </c>
      <c r="D297" s="0" t="n">
        <f aca="false">ATAN(A297/Fesr)</f>
        <v>0.00260751598986215</v>
      </c>
      <c r="F297" s="0" t="n">
        <f aca="false">(Ro/(Ro+Rdcr))/SQRT((A297/(Q*Fo))^2+(1-(A297^2/Fo^2))^2)</f>
        <v>0.0109080706835826</v>
      </c>
      <c r="G297" s="0" t="n">
        <f aca="false">-ATAN(A297*Fo/(Q*(Fo^2-A297^2)))</f>
        <v>0.0658642300212569</v>
      </c>
      <c r="H297" s="0" t="n">
        <f aca="false">IF(G297&gt;0,G297-Pi,G297)</f>
        <v>-3.07572841997874</v>
      </c>
      <c r="J297" s="0" t="n">
        <f aca="false">Vin/Vramp</f>
        <v>9</v>
      </c>
      <c r="M297" s="0" t="n">
        <f aca="false">1/(2*Pi*_Rfb1*(Cc1ea_u+Cc2ea_u)*A297)</f>
        <v>0.0142039217558016</v>
      </c>
      <c r="N297" s="0" t="n">
        <f aca="false">-Pi/2</f>
        <v>-1.570796325</v>
      </c>
      <c r="O297" s="0" t="n">
        <f aca="false">SQRT(1+(A297/Fz1_u)^2)</f>
        <v>10.1872449350768</v>
      </c>
      <c r="P297" s="0" t="n">
        <f aca="false">ATAN2(Fz1_u,A297)</f>
        <v>1.47247602801423</v>
      </c>
      <c r="Q297" s="0" t="n">
        <f aca="false">SQRT(1+(A297/Fz2_u)^2)</f>
        <v>11503.8442995026</v>
      </c>
      <c r="R297" s="0" t="n">
        <f aca="false">ATAN2(Fz2_u,A297)</f>
        <v>1.57070939933176</v>
      </c>
      <c r="S297" s="0" t="n">
        <f aca="false">1/SQRT(1+(A297/Fp1_u)^2)</f>
        <v>0.0325053619383391</v>
      </c>
      <c r="T297" s="0" t="n">
        <f aca="false">-ATAN2(Fp1_u,A297)</f>
        <v>-1.53828523794676</v>
      </c>
      <c r="U297" s="0" t="n">
        <f aca="false">1/SQRT(1+(A297/Fp2_u)^2)</f>
        <v>0.663885883049634</v>
      </c>
      <c r="V297" s="0" t="n">
        <f aca="false">-ATAN2(Fp2_u,A297)</f>
        <v>-0.844793287812963</v>
      </c>
      <c r="X297" s="0" t="n">
        <f aca="false">20*LOG(C297*J297*O297*Q297*F297*M297*S297*U297)</f>
        <v>10.9469676764724</v>
      </c>
      <c r="Y297" s="0" t="n">
        <f aca="false">(180/Pi)*(D297+H297+N297+P297+R297+T297+V297)</f>
        <v>-228.255518401621</v>
      </c>
      <c r="Z297" s="0" t="n">
        <f aca="false">Y297+180</f>
        <v>-48.2555184016205</v>
      </c>
      <c r="AC297" s="0" t="n">
        <v>1</v>
      </c>
      <c r="AD297" s="0" t="n">
        <f aca="false">Rcea1_u*Cc1ea_u*A297*2*Pi</f>
        <v>10.138045145256</v>
      </c>
      <c r="AE297" s="0" t="n">
        <f aca="false">-Rcea1_u*Cc1ea_u*Cc2ea_u*(A297*2*Pi)^2</f>
        <v>-0.0039652762101562</v>
      </c>
      <c r="AF297" s="0" t="n">
        <f aca="false">(Cc2ea_u+Cc1ea_u)*A297*2*Pi</f>
        <v>0.003520154564325</v>
      </c>
      <c r="AG297" s="0" t="n">
        <f aca="false">AC297*AE297/(AE297^2+AF297^2)+AD297*AF297/(AE297^2+AF297^2)</f>
        <v>1128.30583222424</v>
      </c>
      <c r="AH297" s="0" t="n">
        <f aca="false">AD297*AE297/(AE297^2+AF297^2)-AC297*AF297/(AE297^2+AF297^2)</f>
        <v>-1555.0579311988</v>
      </c>
      <c r="AJ297" s="0" t="n">
        <f aca="false">_Rfb1</f>
        <v>20000</v>
      </c>
      <c r="AK297" s="0" t="n">
        <f aca="false">_Rfb1*Rcea2_u*Cc3ea_u*A297*2*Pi</f>
        <v>614957.96477808</v>
      </c>
      <c r="AL297" s="0" t="n">
        <v>1</v>
      </c>
      <c r="AM297" s="0" t="n">
        <f aca="false">(_Rfb1+Rcea2_u)*Cc3ea_u*A297*2*Pi</f>
        <v>11503.8442560389</v>
      </c>
      <c r="AN297" s="0" t="n">
        <f aca="false">AJ297*AL297/(AL297^2+AM297^2)+AK297*AM297/(AL297^2+AM297^2)</f>
        <v>53.4568866713972</v>
      </c>
      <c r="AO297" s="0" t="n">
        <f aca="false">AK297*AL297/(AL297^2+AM297^2)-AJ297*AM297/(AL297^2+AM297^2)</f>
        <v>-1.73390239552815</v>
      </c>
      <c r="AQ297" s="0" t="n">
        <f aca="false">Eadcg/(1+(Eadcg*A297/GBP)^2)</f>
        <v>0.0661051602300102</v>
      </c>
      <c r="AR297" s="0" t="n">
        <f aca="false">-(A297*Eadcg*Eadcg/GBP)/(1+(Eadcg*A297/GBP)^2)</f>
        <v>-14.4575290681044</v>
      </c>
      <c r="AT297" s="0" t="n">
        <f aca="false">-AR297*AH297+AG297*AQ297</f>
        <v>-22407.7084050653</v>
      </c>
      <c r="AU297" s="0" t="n">
        <f aca="false">AQ297*AH297+AG297*AR297</f>
        <v>-16415.3117208024</v>
      </c>
      <c r="AV297" s="0" t="n">
        <f aca="false">ATAN2(AT297,AU297)</f>
        <v>-2.50933757607921</v>
      </c>
      <c r="AW297" s="0" t="n">
        <f aca="false">AG297-AH297*AO297/_Rfb2+AG297*AN297/_Rfb2+AN297-AO297*AR297+AQ297*AN297</f>
        <v>1186.15727991915</v>
      </c>
      <c r="AX297" s="0" t="n">
        <f aca="false">AH297+AH297*AN297/_Rfb2+AG297*AO297/_Rfb2+AO297+AO297*AQ297+AN297*AR297</f>
        <v>-2368.04916393352</v>
      </c>
      <c r="AY297" s="0" t="n">
        <f aca="false">ATAN2(AW297,AX297)</f>
        <v>-1.10642848627257</v>
      </c>
      <c r="BA297" s="0" t="n">
        <f aca="false">SQRT(AT297^2+AU297^2)/SQRT(AW297^2+AX297^2)</f>
        <v>10.4878098451406</v>
      </c>
      <c r="BB297" s="0" t="n">
        <f aca="false">20*LOG(BA297)</f>
        <v>20.4136960908892</v>
      </c>
      <c r="BC297" s="0" t="n">
        <f aca="false">AV297-AY297</f>
        <v>-1.40290908980664</v>
      </c>
      <c r="BD297" s="0" t="n">
        <f aca="false">BC297*180/Pi-180</f>
        <v>-260.380769978309</v>
      </c>
      <c r="BF297" s="0" t="n">
        <f aca="false">20*LOG(BA297*J297*F297*C297)</f>
        <v>0.253534677566798</v>
      </c>
      <c r="BG297" s="0" t="n">
        <f aca="false">(180/Pi)*(D297+H297+BC297)</f>
        <v>-256.457627911497</v>
      </c>
      <c r="BH297" s="0" t="n">
        <f aca="false">IF(BG297&gt;180,BG297-180,BG297+180)</f>
        <v>-76.4576279114972</v>
      </c>
      <c r="BI297" s="0" t="n">
        <f aca="false">IF(BH297&gt;180,BH297-360,BH297)</f>
        <v>-76.4576279114972</v>
      </c>
      <c r="BJ297" s="0" t="n">
        <f aca="false">SUM((BF298&lt;0)*(BF297&gt;0))*A297</f>
        <v>415000</v>
      </c>
      <c r="BK297" s="0" t="n">
        <f aca="false">IF(BJ297&gt;0,BI297,0)</f>
        <v>-76.4576279114972</v>
      </c>
      <c r="BM297" s="0" t="n">
        <f aca="false">20*LOG(J297*F297*C297)</f>
        <v>-20.1601614133224</v>
      </c>
      <c r="BN297" s="0" t="n">
        <f aca="false">(H297+D297)*180/Pi</f>
        <v>-176.076857933188</v>
      </c>
      <c r="BQ297" s="347" t="n">
        <f aca="false">20*LOG(BA297*7)</f>
        <v>37.3156568911744</v>
      </c>
      <c r="BR297" s="353"/>
      <c r="BS297" s="353"/>
      <c r="BT297" s="353" t="n">
        <v>74131.024</v>
      </c>
      <c r="BU297" s="353" t="n">
        <v>3.65404</v>
      </c>
      <c r="BV297" s="353" t="n">
        <v>-130.889</v>
      </c>
      <c r="BY297" s="353"/>
      <c r="BZ297" s="353"/>
      <c r="CA297" s="353"/>
      <c r="CC297" s="353"/>
    </row>
    <row r="298" customFormat="false" ht="12.75" hidden="false" customHeight="false" outlineLevel="0" collapsed="false">
      <c r="A298" s="0" t="n">
        <f aca="false">A297+5000</f>
        <v>420000</v>
      </c>
      <c r="B298" s="0" t="n">
        <f aca="false">A298/1000</f>
        <v>420</v>
      </c>
      <c r="C298" s="0" t="n">
        <f aca="false">SQRT((A298/Fesr)^2+1)</f>
        <v>1.00000348199036</v>
      </c>
      <c r="D298" s="0" t="n">
        <f aca="false">ATAN(A298/Fesr)</f>
        <v>0.00263893170017755</v>
      </c>
      <c r="F298" s="0" t="n">
        <f aca="false">(Ro/(Ro+Rdcr))/SQRT((A298/(Q*Fo))^2+(1-(A298^2/Fo^2))^2)</f>
        <v>0.0106476823556185</v>
      </c>
      <c r="G298" s="0" t="n">
        <f aca="false">-ATAN(A298*Fo/(Q*(Fo^2-A298^2)))</f>
        <v>0.0650654419029183</v>
      </c>
      <c r="H298" s="0" t="n">
        <f aca="false">IF(G298&gt;0,G298-Pi,G298)</f>
        <v>-3.07652720809708</v>
      </c>
      <c r="J298" s="0" t="n">
        <f aca="false">Vin/Vramp</f>
        <v>9</v>
      </c>
      <c r="M298" s="0" t="n">
        <f aca="false">1/(2*Pi*_Rfb1*(Cc1ea_u+Cc2ea_u)*A298)</f>
        <v>0.0140348274491849</v>
      </c>
      <c r="N298" s="0" t="n">
        <f aca="false">-Pi/2</f>
        <v>-1.570796325</v>
      </c>
      <c r="O298" s="0" t="n">
        <f aca="false">SQRT(1+(A298/Fz1_u)^2)</f>
        <v>10.3088071242533</v>
      </c>
      <c r="P298" s="0" t="n">
        <f aca="false">ATAN2(Fz1_u,A298)</f>
        <v>1.47363911196787</v>
      </c>
      <c r="Q298" s="0" t="n">
        <f aca="false">SQRT(1+(A298/Fz2_u)^2)</f>
        <v>11642.4448321905</v>
      </c>
      <c r="R298" s="0" t="n">
        <f aca="false">ATAN2(Fz2_u,A298)</f>
        <v>1.57071043418251</v>
      </c>
      <c r="S298" s="0" t="n">
        <f aca="false">1/SQRT(1+(A298/Fp1_u)^2)</f>
        <v>0.0321187949495401</v>
      </c>
      <c r="T298" s="0" t="n">
        <f aca="false">-ATAN2(Fp1_u,A298)</f>
        <v>-1.53867200689772</v>
      </c>
      <c r="U298" s="0" t="n">
        <f aca="false">1/SQRT(1+(A298/Fp2_u)^2)</f>
        <v>0.659430907232023</v>
      </c>
      <c r="V298" s="0" t="n">
        <f aca="false">-ATAN2(Fp2_u,A298)</f>
        <v>-0.850734826189368</v>
      </c>
      <c r="X298" s="0" t="n">
        <f aca="false">20*LOG(C298*J298*O298*Q298*F298*M298*S298*U298)</f>
        <v>10.6777466005838</v>
      </c>
      <c r="Y298" s="0" t="n">
        <f aca="false">(180/Pi)*(D298+H298+N298+P298+R298+T298+V298)</f>
        <v>-228.59537180928</v>
      </c>
      <c r="Z298" s="0" t="n">
        <f aca="false">Y298+180</f>
        <v>-48.5953718092798</v>
      </c>
      <c r="AC298" s="0" t="n">
        <v>1</v>
      </c>
      <c r="AD298" s="0" t="n">
        <f aca="false">Rcea1_u*Cc1ea_u*A298*2*Pi</f>
        <v>10.260190267488</v>
      </c>
      <c r="AE298" s="0" t="n">
        <f aca="false">-Rcea1_u*Cc1ea_u*Cc2ea_u*(A298*2*Pi)^2</f>
        <v>-0.00406140062982467</v>
      </c>
      <c r="AF298" s="0" t="n">
        <f aca="false">(Cc2ea_u+Cc1ea_u)*A298*2*Pi</f>
        <v>0.0035625660651</v>
      </c>
      <c r="AG298" s="0" t="n">
        <f aca="false">AC298*AE298/(AE298^2+AF298^2)+AD298*AF298/(AE298^2+AF298^2)</f>
        <v>1113.21375081689</v>
      </c>
      <c r="AH298" s="0" t="n">
        <f aca="false">AD298*AE298/(AE298^2+AF298^2)-AC298*AF298/(AE298^2+AF298^2)</f>
        <v>-1549.78375917984</v>
      </c>
      <c r="AJ298" s="0" t="n">
        <f aca="false">_Rfb1</f>
        <v>20000</v>
      </c>
      <c r="AK298" s="0" t="n">
        <f aca="false">_Rfb1*Rcea2_u*Cc3ea_u*A298*2*Pi</f>
        <v>622367.09688384</v>
      </c>
      <c r="AL298" s="0" t="n">
        <v>1</v>
      </c>
      <c r="AM298" s="0" t="n">
        <f aca="false">(_Rfb1+Rcea2_u)*Cc3ea_u*A298*2*Pi</f>
        <v>11642.4447892442</v>
      </c>
      <c r="AN298" s="0" t="n">
        <f aca="false">AJ298*AL298/(AL298^2+AM298^2)+AK298*AM298/(AL298^2+AM298^2)</f>
        <v>53.4568831040979</v>
      </c>
      <c r="AO298" s="0" t="n">
        <f aca="false">AK298*AL298/(AL298^2+AM298^2)-AJ298*AM298/(AL298^2+AM298^2)</f>
        <v>-1.7132607006497</v>
      </c>
      <c r="AQ298" s="0" t="n">
        <f aca="false">Eadcg/(1+(Eadcg*A298/GBP)^2)</f>
        <v>0.064540628423567</v>
      </c>
      <c r="AR298" s="0" t="n">
        <f aca="false">-(A298*Eadcg*Eadcg/GBP)/(1+(Eadcg*A298/GBP)^2)</f>
        <v>-14.2854226952723</v>
      </c>
      <c r="AT298" s="0" t="n">
        <f aca="false">-AR298*AH298+AG298*AQ298</f>
        <v>-22067.4685711047</v>
      </c>
      <c r="AU298" s="0" t="n">
        <f aca="false">AQ298*AH298+AG298*AR298</f>
        <v>-16002.752998347</v>
      </c>
      <c r="AV298" s="0" t="n">
        <f aca="false">ATAN2(AT298,AU298)</f>
        <v>-2.51417046234384</v>
      </c>
      <c r="AW298" s="0" t="n">
        <f aca="false">AG298-AH298*AO298/_Rfb2+AG298*AN298/_Rfb2+AN298-AO298*AR298+AQ298*AN298</f>
        <v>1171.2303106363</v>
      </c>
      <c r="AX298" s="0" t="n">
        <f aca="false">AH298+AH298*AN298/_Rfb2+AG298*AO298/_Rfb2+AO298+AO298*AQ298+AN298*AR298</f>
        <v>-2353.40099149638</v>
      </c>
      <c r="AY298" s="0" t="n">
        <f aca="false">ATAN2(AW298,AX298)</f>
        <v>-1.10900994567515</v>
      </c>
      <c r="BA298" s="0" t="n">
        <f aca="false">SQRT(AT298^2+AU298^2)/SQRT(AW298^2+AX298^2)</f>
        <v>10.3696618799499</v>
      </c>
      <c r="BB298" s="0" t="n">
        <f aca="false">20*LOG(BA298)</f>
        <v>20.3152919145388</v>
      </c>
      <c r="BC298" s="0" t="n">
        <f aca="false">AV298-AY298</f>
        <v>-1.40516051666868</v>
      </c>
      <c r="BD298" s="0" t="n">
        <f aca="false">BC298*180/Pi-180</f>
        <v>-260.509767235534</v>
      </c>
      <c r="BF298" s="0" t="n">
        <f aca="false">20*LOG(BA298*J298*F298*C298)</f>
        <v>-0.0547259190257671</v>
      </c>
      <c r="BG298" s="0" t="n">
        <f aca="false">(180/Pi)*(D298+H298+BC298)</f>
        <v>-256.630592369067</v>
      </c>
      <c r="BH298" s="0" t="n">
        <f aca="false">IF(BG298&gt;180,BG298-180,BG298+180)</f>
        <v>-76.6305923690666</v>
      </c>
      <c r="BI298" s="0" t="n">
        <f aca="false">IF(BH298&gt;180,BH298-360,BH298)</f>
        <v>-76.6305923690666</v>
      </c>
      <c r="BJ298" s="0" t="n">
        <f aca="false">SUM((BF299&lt;0)*(BF298&gt;0))*A298</f>
        <v>0</v>
      </c>
      <c r="BK298" s="0" t="n">
        <f aca="false">IF(BJ298&gt;0,BI298,0)</f>
        <v>0</v>
      </c>
      <c r="BM298" s="0" t="n">
        <f aca="false">20*LOG(J298*F298*C298)</f>
        <v>-20.3700178335645</v>
      </c>
      <c r="BN298" s="0" t="n">
        <f aca="false">(H298+D298)*180/Pi</f>
        <v>-176.120825133533</v>
      </c>
      <c r="BQ298" s="347" t="n">
        <f aca="false">20*LOG(BA298*7)</f>
        <v>37.2172527148239</v>
      </c>
      <c r="BR298" s="353"/>
      <c r="BS298" s="353"/>
      <c r="BT298" s="353" t="n">
        <v>75857.758</v>
      </c>
      <c r="BU298" s="353" t="n">
        <v>3.83079</v>
      </c>
      <c r="BV298" s="353" t="n">
        <v>-130.622</v>
      </c>
      <c r="BY298" s="353"/>
      <c r="BZ298" s="353"/>
      <c r="CA298" s="353"/>
      <c r="CC298" s="353"/>
    </row>
    <row r="299" customFormat="false" ht="12.75" hidden="false" customHeight="false" outlineLevel="0" collapsed="false">
      <c r="A299" s="0" t="n">
        <f aca="false">A298+5000</f>
        <v>425000</v>
      </c>
      <c r="B299" s="0" t="n">
        <f aca="false">A299/1000</f>
        <v>425</v>
      </c>
      <c r="C299" s="0" t="n">
        <f aca="false">SQRT((A299/Fesr)^2+1)</f>
        <v>1.00000356538823</v>
      </c>
      <c r="D299" s="0" t="n">
        <f aca="false">ATAN(A299/Fesr)</f>
        <v>0.00267034740528396</v>
      </c>
      <c r="F299" s="0" t="n">
        <f aca="false">(Ro/(Ro+Rdcr))/SQRT((A299/(Q*Fo))^2+(1-(A299^2/Fo^2))^2)</f>
        <v>0.0103965326079028</v>
      </c>
      <c r="G299" s="0" t="n">
        <f aca="false">-ATAN(A299*Fo/(Q*(Fo^2-A299^2)))</f>
        <v>0.0642859633880452</v>
      </c>
      <c r="H299" s="0" t="n">
        <f aca="false">IF(G299&gt;0,G299-Pi,G299)</f>
        <v>-3.07730668661195</v>
      </c>
      <c r="J299" s="0" t="n">
        <f aca="false">Vin/Vramp</f>
        <v>9</v>
      </c>
      <c r="M299" s="0" t="n">
        <f aca="false">1/(2*Pi*_Rfb1*(Cc1ea_u+Cc2ea_u)*A299)</f>
        <v>0.0138697118321356</v>
      </c>
      <c r="N299" s="0" t="n">
        <f aca="false">-Pi/2</f>
        <v>-1.570796325</v>
      </c>
      <c r="O299" s="0" t="n">
        <f aca="false">SQRT(1+(A299/Fz1_u)^2)</f>
        <v>10.4303829337485</v>
      </c>
      <c r="P299" s="0" t="n">
        <f aca="false">ATAN2(Fz1_u,A299)</f>
        <v>1.47477508377906</v>
      </c>
      <c r="Q299" s="0" t="n">
        <f aca="false">SQRT(1+(A299/Fz2_u)^2)</f>
        <v>11781.0453648905</v>
      </c>
      <c r="R299" s="0" t="n">
        <f aca="false">ATAN2(Fz2_u,A299)</f>
        <v>1.57071144468383</v>
      </c>
      <c r="S299" s="0" t="n">
        <f aca="false">1/SQRT(1+(A299/Fp1_u)^2)</f>
        <v>0.0317413097437085</v>
      </c>
      <c r="T299" s="0" t="n">
        <f aca="false">-ATAN2(Fp1_u,A299)</f>
        <v>-1.53904968468148</v>
      </c>
      <c r="U299" s="0" t="n">
        <f aca="false">1/SQRT(1+(A299/Fp2_u)^2)</f>
        <v>0.655012660319248</v>
      </c>
      <c r="V299" s="0" t="n">
        <f aca="false">-ATAN2(Fp2_u,A299)</f>
        <v>-0.85659695151795</v>
      </c>
      <c r="X299" s="0" t="n">
        <f aca="false">20*LOG(C299*J299*O299*Q299*F299*M299*S299*U299)</f>
        <v>10.4111726925921</v>
      </c>
      <c r="Y299" s="0" t="n">
        <f aca="false">(180/Pi)*(D299+H299+N299+P299+R299+T299+V299)</f>
        <v>-228.930602746915</v>
      </c>
      <c r="Z299" s="0" t="n">
        <f aca="false">Y299+180</f>
        <v>-48.9306027469152</v>
      </c>
      <c r="AC299" s="0" t="n">
        <v>1</v>
      </c>
      <c r="AD299" s="0" t="n">
        <f aca="false">Rcea1_u*Cc1ea_u*A299*2*Pi</f>
        <v>10.38233538972</v>
      </c>
      <c r="AE299" s="0" t="n">
        <f aca="false">-Rcea1_u*Cc1ea_u*Cc2ea_u*(A299*2*Pi)^2</f>
        <v>-0.00415867624014785</v>
      </c>
      <c r="AF299" s="0" t="n">
        <f aca="false">(Cc2ea_u+Cc1ea_u)*A299*2*Pi</f>
        <v>0.003604977565875</v>
      </c>
      <c r="AG299" s="0" t="n">
        <f aca="false">AC299*AE299/(AE299^2+AF299^2)+AD299*AF299/(AE299^2+AF299^2)</f>
        <v>1098.34645805696</v>
      </c>
      <c r="AH299" s="0" t="n">
        <f aca="false">AD299*AE299/(AE299^2+AF299^2)-AC299*AF299/(AE299^2+AF299^2)</f>
        <v>-1544.43882571586</v>
      </c>
      <c r="AJ299" s="0" t="n">
        <f aca="false">_Rfb1</f>
        <v>20000</v>
      </c>
      <c r="AK299" s="0" t="n">
        <f aca="false">_Rfb1*Rcea2_u*Cc3ea_u*A299*2*Pi</f>
        <v>629776.2289896</v>
      </c>
      <c r="AL299" s="0" t="n">
        <v>1</v>
      </c>
      <c r="AM299" s="0" t="n">
        <f aca="false">(_Rfb1+Rcea2_u)*Cc3ea_u*A299*2*Pi</f>
        <v>11781.0453224495</v>
      </c>
      <c r="AN299" s="0" t="n">
        <f aca="false">AJ299*AL299/(AL299^2+AM299^2)+AK299*AM299/(AL299^2+AM299^2)</f>
        <v>53.4568796619612</v>
      </c>
      <c r="AO299" s="0" t="n">
        <f aca="false">AK299*AL299/(AL299^2+AM299^2)-AJ299*AM299/(AL299^2+AM299^2)</f>
        <v>-1.69310469269893</v>
      </c>
      <c r="AQ299" s="0" t="n">
        <f aca="false">Eadcg/(1+(Eadcg*A299/GBP)^2)</f>
        <v>0.0630309884543979</v>
      </c>
      <c r="AR299" s="0" t="n">
        <f aca="false">-(A299*Eadcg*Eadcg/GBP)/(1+(Eadcg*A299/GBP)^2)</f>
        <v>-14.1173656390738</v>
      </c>
      <c r="AT299" s="0" t="n">
        <f aca="false">-AR299*AH299+AG299*AQ299</f>
        <v>-21734.1777468958</v>
      </c>
      <c r="AU299" s="0" t="n">
        <f aca="false">AQ299*AH299+AG299*AR299</f>
        <v>-15603.1060525639</v>
      </c>
      <c r="AV299" s="0" t="n">
        <f aca="false">ATAN2(AT299,AU299)</f>
        <v>-2.5189497669797</v>
      </c>
      <c r="AW299" s="0" t="n">
        <f aca="false">AG299-AH299*AO299/_Rfb2+AG299*AN299/_Rfb2+AN299-AO299*AR299+AQ299*AN299</f>
        <v>1156.51527468707</v>
      </c>
      <c r="AX299" s="0" t="n">
        <f aca="false">AH299+AH299*AN299/_Rfb2+AG299*AO299/_Rfb2+AO299+AO299*AQ299+AN299*AR299</f>
        <v>-2338.89818778003</v>
      </c>
      <c r="AY299" s="0" t="n">
        <f aca="false">ATAN2(AW299,AX299)</f>
        <v>-1.11158239745649</v>
      </c>
      <c r="BA299" s="0" t="n">
        <f aca="false">SQRT(AT299^2+AU299^2)/SQRT(AW299^2+AX299^2)</f>
        <v>10.2540748252989</v>
      </c>
      <c r="BB299" s="0" t="n">
        <f aca="false">20*LOG(BA299)</f>
        <v>20.2179296443693</v>
      </c>
      <c r="BC299" s="0" t="n">
        <f aca="false">AV299-AY299</f>
        <v>-1.40736736952321</v>
      </c>
      <c r="BD299" s="0" t="n">
        <f aca="false">BC299*180/Pi-180</f>
        <v>-260.636210590249</v>
      </c>
      <c r="BF299" s="0" t="n">
        <f aca="false">20*LOG(BA299*J299*F299*C299)</f>
        <v>-0.359418797626168</v>
      </c>
      <c r="BG299" s="0" t="n">
        <f aca="false">(180/Pi)*(D299+H299+BC299)</f>
        <v>-256.799896565641</v>
      </c>
      <c r="BH299" s="0" t="n">
        <f aca="false">IF(BG299&gt;180,BG299-180,BG299+180)</f>
        <v>-76.7998965656409</v>
      </c>
      <c r="BI299" s="0" t="n">
        <f aca="false">IF(BH299&gt;180,BH299-360,BH299)</f>
        <v>-76.7998965656409</v>
      </c>
      <c r="BJ299" s="0" t="n">
        <f aca="false">SUM((BF300&lt;0)*(BF299&gt;0))*A299</f>
        <v>0</v>
      </c>
      <c r="BK299" s="0" t="n">
        <f aca="false">IF(BJ299&gt;0,BI299,0)</f>
        <v>0</v>
      </c>
      <c r="BM299" s="0" t="n">
        <f aca="false">20*LOG(J299*F299*C299)</f>
        <v>-20.5773484419955</v>
      </c>
      <c r="BN299" s="0" t="n">
        <f aca="false">(H299+D299)*180/Pi</f>
        <v>-176.163685975392</v>
      </c>
      <c r="BQ299" s="347" t="n">
        <f aca="false">20*LOG(BA299*7)</f>
        <v>37.1198904446545</v>
      </c>
      <c r="BR299" s="353"/>
      <c r="BS299" s="353"/>
      <c r="BT299" s="353" t="n">
        <v>77624.712</v>
      </c>
      <c r="BU299" s="353" t="n">
        <v>4.03098</v>
      </c>
      <c r="BV299" s="353" t="n">
        <v>-130.361</v>
      </c>
      <c r="BY299" s="353"/>
      <c r="BZ299" s="353"/>
      <c r="CA299" s="353"/>
      <c r="CC299" s="353"/>
    </row>
    <row r="300" customFormat="false" ht="12.75" hidden="false" customHeight="false" outlineLevel="0" collapsed="false">
      <c r="A300" s="0" t="n">
        <f aca="false">A299+5000</f>
        <v>430000</v>
      </c>
      <c r="B300" s="0" t="n">
        <f aca="false">A300/1000</f>
        <v>430</v>
      </c>
      <c r="C300" s="0" t="n">
        <f aca="false">SQRT((A300/Fesr)^2+1)</f>
        <v>1.00000364977304</v>
      </c>
      <c r="D300" s="0" t="n">
        <f aca="false">ATAN(A300/Fesr)</f>
        <v>0.00270176310511937</v>
      </c>
      <c r="F300" s="0" t="n">
        <f aca="false">(Ro/(Ro+Rdcr))/SQRT((A300/(Q*Fo))^2+(1-(A300^2/Fo^2))^2)</f>
        <v>0.0101541883799903</v>
      </c>
      <c r="G300" s="0" t="n">
        <f aca="false">-ATAN(A300*Fo/(Q*(Fo^2-A300^2)))</f>
        <v>0.0635250970720436</v>
      </c>
      <c r="H300" s="0" t="n">
        <f aca="false">IF(G300&gt;0,G300-Pi,G300)</f>
        <v>-3.07806755292796</v>
      </c>
      <c r="J300" s="0" t="n">
        <f aca="false">Vin/Vramp</f>
        <v>9</v>
      </c>
      <c r="M300" s="0" t="n">
        <f aca="false">1/(2*Pi*_Rfb1*(Cc1ea_u+Cc2ea_u)*A300)</f>
        <v>0.0137084361131573</v>
      </c>
      <c r="N300" s="0" t="n">
        <f aca="false">-Pi/2</f>
        <v>-1.570796325</v>
      </c>
      <c r="O300" s="0" t="n">
        <f aca="false">SQRT(1+(A300/Fz1_u)^2)</f>
        <v>10.5519718927781</v>
      </c>
      <c r="P300" s="0" t="n">
        <f aca="false">ATAN2(Fz1_u,A300)</f>
        <v>1.47588487769288</v>
      </c>
      <c r="Q300" s="0" t="n">
        <f aca="false">SQRT(1+(A300/Fz2_u)^2)</f>
        <v>11919.6458976023</v>
      </c>
      <c r="R300" s="0" t="n">
        <f aca="false">ATAN2(Fz2_u,A300)</f>
        <v>1.57071243168511</v>
      </c>
      <c r="S300" s="0" t="n">
        <f aca="false">1/SQRT(1+(A300/Fp1_u)^2)</f>
        <v>0.031372590149432</v>
      </c>
      <c r="T300" s="0" t="n">
        <f aca="false">-ATAN2(Fp1_u,A300)</f>
        <v>-1.53941858800815</v>
      </c>
      <c r="U300" s="0" t="n">
        <f aca="false">1/SQRT(1+(A300/Fp2_u)^2)</f>
        <v>0.650631310922121</v>
      </c>
      <c r="V300" s="0" t="n">
        <f aca="false">-ATAN2(Fp2_u,A300)</f>
        <v>-0.862380850431958</v>
      </c>
      <c r="X300" s="0" t="n">
        <f aca="false">20*LOG(C300*J300*O300*Q300*F300*M300*S300*U300)</f>
        <v>10.1471907581545</v>
      </c>
      <c r="Y300" s="0" t="n">
        <f aca="false">(180/Pi)*(D300+H300+N300+P300+R300+T300+V300)</f>
        <v>-229.261283731133</v>
      </c>
      <c r="Z300" s="0" t="n">
        <f aca="false">Y300+180</f>
        <v>-49.2612837311327</v>
      </c>
      <c r="AC300" s="0" t="n">
        <v>1</v>
      </c>
      <c r="AD300" s="0" t="n">
        <f aca="false">Rcea1_u*Cc1ea_u*A300*2*Pi</f>
        <v>10.504480511952</v>
      </c>
      <c r="AE300" s="0" t="n">
        <f aca="false">-Rcea1_u*Cc1ea_u*Cc2ea_u*(A300*2*Pi)^2</f>
        <v>-0.00425710304112575</v>
      </c>
      <c r="AF300" s="0" t="n">
        <f aca="false">(Cc2ea_u+Cc1ea_u)*A300*2*Pi</f>
        <v>0.00364738906665</v>
      </c>
      <c r="AG300" s="0" t="n">
        <f aca="false">AC300*AE300/(AE300^2+AF300^2)+AD300*AF300/(AE300^2+AF300^2)</f>
        <v>1083.70202304573</v>
      </c>
      <c r="AH300" s="0" t="n">
        <f aca="false">AD300*AE300/(AE300^2+AF300^2)-AC300*AF300/(AE300^2+AF300^2)</f>
        <v>-1539.02725357946</v>
      </c>
      <c r="AJ300" s="0" t="n">
        <f aca="false">_Rfb1</f>
        <v>20000</v>
      </c>
      <c r="AK300" s="0" t="n">
        <f aca="false">_Rfb1*Rcea2_u*Cc3ea_u*A300*2*Pi</f>
        <v>637185.36109536</v>
      </c>
      <c r="AL300" s="0" t="n">
        <v>1</v>
      </c>
      <c r="AM300" s="0" t="n">
        <f aca="false">(_Rfb1+Rcea2_u)*Cc3ea_u*A300*2*Pi</f>
        <v>11919.6458556548</v>
      </c>
      <c r="AN300" s="0" t="n">
        <f aca="false">AJ300*AL300/(AL300^2+AM300^2)+AK300*AM300/(AL300^2+AM300^2)</f>
        <v>53.4568763391995</v>
      </c>
      <c r="AO300" s="0" t="n">
        <f aca="false">AK300*AL300/(AL300^2+AM300^2)-AJ300*AM300/(AL300^2+AM300^2)</f>
        <v>-1.67341742910911</v>
      </c>
      <c r="AQ300" s="0" t="n">
        <f aca="false">Eadcg/(1+(Eadcg*A300/GBP)^2)</f>
        <v>0.0615737021997162</v>
      </c>
      <c r="AR300" s="0" t="n">
        <f aca="false">-(A300*Eadcg*Eadcg/GBP)/(1+(Eadcg*A300/GBP)^2)</f>
        <v>-13.9532166554777</v>
      </c>
      <c r="AT300" s="0" t="n">
        <f aca="false">-AR300*AH300+AG300*AQ300</f>
        <v>-21407.6531622387</v>
      </c>
      <c r="AU300" s="0" t="n">
        <f aca="false">AQ300*AH300+AG300*AR300</f>
        <v>-15215.8927233257</v>
      </c>
      <c r="AV300" s="0" t="n">
        <f aca="false">ATAN2(AT300,AU300)</f>
        <v>-2.52367578705019</v>
      </c>
      <c r="AW300" s="0" t="n">
        <f aca="false">AG300-AH300*AO300/_Rfb2+AG300*AN300/_Rfb2+AN300-AO300*AR300+AQ300*AN300</f>
        <v>1142.01103172777</v>
      </c>
      <c r="AX300" s="0" t="n">
        <f aca="false">AH300+AH300*AN300/_Rfb2+AG300*AO300/_Rfb2+AO300+AO300*AQ300+AN300*AR300</f>
        <v>-2324.5373707447</v>
      </c>
      <c r="AY300" s="0" t="n">
        <f aca="false">ATAN2(AW300,AX300)</f>
        <v>-1.11414475409415</v>
      </c>
      <c r="BA300" s="0" t="n">
        <f aca="false">SQRT(AT300^2+AU300^2)/SQRT(AW300^2+AX300^2)</f>
        <v>10.140968551438</v>
      </c>
      <c r="BB300" s="0" t="n">
        <f aca="false">20*LOG(BA300)</f>
        <v>20.1215887182049</v>
      </c>
      <c r="BC300" s="0" t="n">
        <f aca="false">AV300-AY300</f>
        <v>-1.40953103295604</v>
      </c>
      <c r="BD300" s="0" t="n">
        <f aca="false">BC300*180/Pi-180</f>
        <v>-260.760179373378</v>
      </c>
      <c r="BF300" s="0" t="n">
        <f aca="false">20*LOG(BA300*J300*F300*C300)</f>
        <v>-0.66062506848801</v>
      </c>
      <c r="BG300" s="0" t="n">
        <f aca="false">(180/Pi)*(D300+H300+BC300)</f>
        <v>-256.965659790488</v>
      </c>
      <c r="BH300" s="0" t="n">
        <f aca="false">IF(BG300&gt;180,BG300-180,BG300+180)</f>
        <v>-76.965659790488</v>
      </c>
      <c r="BI300" s="0" t="n">
        <f aca="false">IF(BH300&gt;180,BH300-360,BH300)</f>
        <v>-76.965659790488</v>
      </c>
      <c r="BJ300" s="0" t="n">
        <f aca="false">SUM((BF301&lt;0)*(BF300&gt;0))*A300</f>
        <v>0</v>
      </c>
      <c r="BK300" s="0" t="n">
        <f aca="false">IF(BJ300&gt;0,BI300,0)</f>
        <v>0</v>
      </c>
      <c r="BM300" s="0" t="n">
        <f aca="false">20*LOG(J300*F300*C300)</f>
        <v>-20.7822137866929</v>
      </c>
      <c r="BN300" s="0" t="n">
        <f aca="false">(H300+D300)*180/Pi</f>
        <v>-176.20548041711</v>
      </c>
      <c r="BQ300" s="347" t="n">
        <f aca="false">20*LOG(BA300*7)</f>
        <v>37.02354951849</v>
      </c>
      <c r="BR300" s="353"/>
      <c r="BS300" s="353"/>
      <c r="BT300" s="353" t="n">
        <v>79432.823</v>
      </c>
      <c r="BU300" s="353" t="n">
        <v>4.23407</v>
      </c>
      <c r="BV300" s="353" t="n">
        <v>-130.174</v>
      </c>
      <c r="BY300" s="353"/>
      <c r="BZ300" s="353"/>
      <c r="CA300" s="353"/>
      <c r="CC300" s="353"/>
    </row>
    <row r="301" customFormat="false" ht="12.75" hidden="false" customHeight="false" outlineLevel="0" collapsed="false">
      <c r="A301" s="0" t="n">
        <f aca="false">A300+5000</f>
        <v>435000</v>
      </c>
      <c r="B301" s="0" t="n">
        <f aca="false">A301/1000</f>
        <v>435</v>
      </c>
      <c r="C301" s="0" t="n">
        <f aca="false">SQRT((A301/Fesr)^2+1)</f>
        <v>1.0000037351448</v>
      </c>
      <c r="D301" s="0" t="n">
        <f aca="false">ATAN(A301/Fesr)</f>
        <v>0.00273317879962179</v>
      </c>
      <c r="F301" s="0" t="n">
        <f aca="false">(Ro/(Ro+Rdcr))/SQRT((A301/(Q*Fo))^2+(1-(A301^2/Fo^2))^2)</f>
        <v>0.00992024175468117</v>
      </c>
      <c r="G301" s="0" t="n">
        <f aca="false">-ATAN(A301*Fo/(Q*(Fo^2-A301^2)))</f>
        <v>0.0627821789798136</v>
      </c>
      <c r="H301" s="0" t="n">
        <f aca="false">IF(G301&gt;0,G301-Pi,G301)</f>
        <v>-3.07881047102019</v>
      </c>
      <c r="J301" s="0" t="n">
        <f aca="false">Vin/Vramp</f>
        <v>9</v>
      </c>
      <c r="M301" s="0" t="n">
        <f aca="false">1/(2*Pi*_Rfb1*(Cc1ea_u+Cc2ea_u)*A301)</f>
        <v>0.0135508678819716</v>
      </c>
      <c r="N301" s="0" t="n">
        <f aca="false">-Pi/2</f>
        <v>-1.570796325</v>
      </c>
      <c r="O301" s="0" t="n">
        <f aca="false">SQRT(1+(A301/Fz1_u)^2)</f>
        <v>10.6735735519598</v>
      </c>
      <c r="P301" s="0" t="n">
        <f aca="false">ATAN2(Fz1_u,A301)</f>
        <v>1.47696938564472</v>
      </c>
      <c r="Q301" s="0" t="n">
        <f aca="false">SQRT(1+(A301/Fz2_u)^2)</f>
        <v>12058.2464303255</v>
      </c>
      <c r="R301" s="0" t="n">
        <f aca="false">ATAN2(Fz2_u,A301)</f>
        <v>1.57071339599671</v>
      </c>
      <c r="S301" s="0" t="n">
        <f aca="false">1/SQRT(1+(A301/Fp1_u)^2)</f>
        <v>0.0310123344961029</v>
      </c>
      <c r="T301" s="0" t="n">
        <f aca="false">-ATAN2(Fp1_u,A301)</f>
        <v>-1.53977901905035</v>
      </c>
      <c r="U301" s="0" t="n">
        <f aca="false">1/SQRT(1+(A301/Fp2_u)^2)</f>
        <v>0.6462869942735</v>
      </c>
      <c r="V301" s="0" t="n">
        <f aca="false">-ATAN2(Fp2_u,A301)</f>
        <v>-0.868087699046</v>
      </c>
      <c r="X301" s="0" t="n">
        <f aca="false">20*LOG(C301*J301*O301*Q301*F301*M301*S301*U301)</f>
        <v>9.88574753715975</v>
      </c>
      <c r="Y301" s="0" t="n">
        <f aca="false">(180/Pi)*(D301+H301+N301+P301+R301+T301+V301)</f>
        <v>-229.587486353963</v>
      </c>
      <c r="Z301" s="0" t="n">
        <f aca="false">Y301+180</f>
        <v>-49.587486353963</v>
      </c>
      <c r="AC301" s="0" t="n">
        <v>1</v>
      </c>
      <c r="AD301" s="0" t="n">
        <f aca="false">Rcea1_u*Cc1ea_u*A301*2*Pi</f>
        <v>10.626625634184</v>
      </c>
      <c r="AE301" s="0" t="n">
        <f aca="false">-Rcea1_u*Cc1ea_u*Cc2ea_u*(A301*2*Pi)^2</f>
        <v>-0.00435668103275835</v>
      </c>
      <c r="AF301" s="0" t="n">
        <f aca="false">(Cc2ea_u+Cc1ea_u)*A301*2*Pi</f>
        <v>0.003689800567425</v>
      </c>
      <c r="AG301" s="0" t="n">
        <f aca="false">AC301*AE301/(AE301^2+AF301^2)+AD301*AF301/(AE301^2+AF301^2)</f>
        <v>1069.27841015571</v>
      </c>
      <c r="AH301" s="0" t="n">
        <f aca="false">AD301*AE301/(AE301^2+AF301^2)-AC301*AF301/(AE301^2+AF301^2)</f>
        <v>-1533.55306468834</v>
      </c>
      <c r="AJ301" s="0" t="n">
        <f aca="false">_Rfb1</f>
        <v>20000</v>
      </c>
      <c r="AK301" s="0" t="n">
        <f aca="false">_Rfb1*Rcea2_u*Cc3ea_u*A301*2*Pi</f>
        <v>644594.49320112</v>
      </c>
      <c r="AL301" s="0" t="n">
        <v>1</v>
      </c>
      <c r="AM301" s="0" t="n">
        <f aca="false">(_Rfb1+Rcea2_u)*Cc3ea_u*A301*2*Pi</f>
        <v>12058.2463888601</v>
      </c>
      <c r="AN301" s="0" t="n">
        <f aca="false">AJ301*AL301/(AL301^2+AM301^2)+AK301*AM301/(AL301^2+AM301^2)</f>
        <v>53.4568731303561</v>
      </c>
      <c r="AO301" s="0" t="n">
        <f aca="false">AK301*AL301/(AL301^2+AM301^2)-AJ301*AM301/(AL301^2+AM301^2)</f>
        <v>-1.65418274628201</v>
      </c>
      <c r="AQ301" s="0" t="n">
        <f aca="false">Eadcg/(1+(Eadcg*A301/GBP)^2)</f>
        <v>0.0601663765569542</v>
      </c>
      <c r="AR301" s="0" t="n">
        <f aca="false">-(A301*Eadcg*Eadcg/GBP)/(1+(Eadcg*A301/GBP)^2)</f>
        <v>-13.792840993799</v>
      </c>
      <c r="AT301" s="0" t="n">
        <f aca="false">-AR301*AH301+AG301*AQ301</f>
        <v>-21087.7189693298</v>
      </c>
      <c r="AU301" s="0" t="n">
        <f aca="false">AQ301*AH301+AG301*AR301</f>
        <v>-14840.65542054</v>
      </c>
      <c r="AV301" s="0" t="n">
        <f aca="false">ATAN2(AT301,AU301)</f>
        <v>-2.52834884935578</v>
      </c>
      <c r="AW301" s="0" t="n">
        <f aca="false">AG301-AH301*AO301/_Rfb2+AG301*AN301/_Rfb2+AN301-AO301*AR301+AQ301*AN301</f>
        <v>1127.71628653191</v>
      </c>
      <c r="AX301" s="0" t="n">
        <f aca="false">AH301+AH301*AN301/_Rfb2+AG301*AO301/_Rfb2+AO301+AO301*AQ301+AN301*AR301</f>
        <v>-2310.31540481096</v>
      </c>
      <c r="AY301" s="0" t="n">
        <f aca="false">ATAN2(AW301,AX301)</f>
        <v>-1.1166960125695</v>
      </c>
      <c r="BA301" s="0" t="n">
        <f aca="false">SQRT(AT301^2+AU301^2)/SQRT(AW301^2+AX301^2)</f>
        <v>10.0302661417744</v>
      </c>
      <c r="BB301" s="0" t="n">
        <f aca="false">20*LOG(BA301)</f>
        <v>20.0262491337295</v>
      </c>
      <c r="BC301" s="0" t="n">
        <f aca="false">AV301-AY301</f>
        <v>-1.41165283678628</v>
      </c>
      <c r="BD301" s="0" t="n">
        <f aca="false">BC301*180/Pi-180</f>
        <v>-260.881749777945</v>
      </c>
      <c r="BF301" s="0" t="n">
        <f aca="false">20*LOG(BA301*J301*F301*C301)</f>
        <v>-0.958423115105739</v>
      </c>
      <c r="BG301" s="0" t="n">
        <f aca="false">(180/Pi)*(D301+H301+BC301)</f>
        <v>-257.127996279604</v>
      </c>
      <c r="BH301" s="0" t="n">
        <f aca="false">IF(BG301&gt;180,BG301-180,BG301+180)</f>
        <v>-77.1279962796045</v>
      </c>
      <c r="BI301" s="0" t="n">
        <f aca="false">IF(BH301&gt;180,BH301-360,BH301)</f>
        <v>-77.1279962796045</v>
      </c>
      <c r="BJ301" s="0" t="n">
        <f aca="false">SUM((BF302&lt;0)*(BF301&gt;0))*A301</f>
        <v>0</v>
      </c>
      <c r="BK301" s="0" t="n">
        <f aca="false">IF(BJ301&gt;0,BI301,0)</f>
        <v>0</v>
      </c>
      <c r="BM301" s="0" t="n">
        <f aca="false">20*LOG(J301*F301*C301)</f>
        <v>-20.9846722488353</v>
      </c>
      <c r="BN301" s="0" t="n">
        <f aca="false">(H301+D301)*180/Pi</f>
        <v>-176.246246501659</v>
      </c>
      <c r="BQ301" s="347" t="n">
        <f aca="false">20*LOG(BA301*7)</f>
        <v>36.9282099340147</v>
      </c>
      <c r="BR301" s="353"/>
      <c r="BS301" s="353"/>
      <c r="BT301" s="353" t="n">
        <v>81283.052</v>
      </c>
      <c r="BU301" s="353" t="n">
        <v>4.4202</v>
      </c>
      <c r="BV301" s="353" t="n">
        <v>-130.057</v>
      </c>
      <c r="BY301" s="353"/>
      <c r="BZ301" s="353"/>
      <c r="CA301" s="353"/>
      <c r="CC301" s="353"/>
    </row>
    <row r="302" customFormat="false" ht="12.75" hidden="false" customHeight="false" outlineLevel="0" collapsed="false">
      <c r="A302" s="0" t="n">
        <f aca="false">A301+5000</f>
        <v>440000</v>
      </c>
      <c r="B302" s="0" t="n">
        <f aca="false">A302/1000</f>
        <v>440</v>
      </c>
      <c r="C302" s="0" t="n">
        <f aca="false">SQRT((A302/Fesr)^2+1)</f>
        <v>1.00000382150351</v>
      </c>
      <c r="D302" s="0" t="n">
        <f aca="false">ATAN(A302/Fesr)</f>
        <v>0.0027645944887292</v>
      </c>
      <c r="F302" s="0" t="n">
        <f aca="false">(Ro/(Ro+Rdcr))/SQRT((A302/(Q*Fo))^2+(1-(A302^2/Fo^2))^2)</f>
        <v>0.00969430822225514</v>
      </c>
      <c r="G302" s="0" t="n">
        <f aca="false">-ATAN(A302*Fo/(Q*(Fo^2-A302^2)))</f>
        <v>0.0620565765733291</v>
      </c>
      <c r="H302" s="0" t="n">
        <f aca="false">IF(G302&gt;0,G302-Pi,G302)</f>
        <v>-3.07953607342667</v>
      </c>
      <c r="J302" s="0" t="n">
        <f aca="false">Vin/Vramp</f>
        <v>9</v>
      </c>
      <c r="M302" s="0" t="n">
        <f aca="false">1/(2*Pi*_Rfb1*(Cc1ea_u+Cc2ea_u)*A302)</f>
        <v>0.0133968807469492</v>
      </c>
      <c r="N302" s="0" t="n">
        <f aca="false">-Pi/2</f>
        <v>-1.570796325</v>
      </c>
      <c r="O302" s="0" t="n">
        <f aca="false">SQRT(1+(A302/Fz1_u)^2)</f>
        <v>10.7951874821137</v>
      </c>
      <c r="P302" s="0" t="n">
        <f aca="false">ATAN2(Fz1_u,A302)</f>
        <v>1.47802945962161</v>
      </c>
      <c r="Q302" s="0" t="n">
        <f aca="false">SQRT(1+(A302/Fz2_u)^2)</f>
        <v>12196.8469630595</v>
      </c>
      <c r="R302" s="0" t="n">
        <f aca="false">ATAN2(Fz2_u,A302)</f>
        <v>1.57071433839214</v>
      </c>
      <c r="S302" s="0" t="n">
        <f aca="false">1/SQRT(1+(A302/Fp1_u)^2)</f>
        <v>0.0306602547924053</v>
      </c>
      <c r="T302" s="0" t="n">
        <f aca="false">-ATAN2(Fp1_u,A302)</f>
        <v>-1.5401312662676</v>
      </c>
      <c r="U302" s="0" t="n">
        <f aca="false">1/SQRT(1+(A302/Fp2_u)^2)</f>
        <v>0.641979814019735</v>
      </c>
      <c r="V302" s="0" t="n">
        <f aca="false">-ATAN2(Fp2_u,A302)</f>
        <v>-0.873718662427293</v>
      </c>
      <c r="X302" s="0" t="n">
        <f aca="false">20*LOG(C302*J302*O302*Q302*F302*M302*S302*U302)</f>
        <v>9.62679160595391</v>
      </c>
      <c r="Y302" s="0" t="n">
        <f aca="false">(180/Pi)*(D302+H302+N302+P302+R302+T302+V302)</f>
        <v>-229.909281278537</v>
      </c>
      <c r="Z302" s="0" t="n">
        <f aca="false">Y302+180</f>
        <v>-49.9092812785371</v>
      </c>
      <c r="AC302" s="0" t="n">
        <v>1</v>
      </c>
      <c r="AD302" s="0" t="n">
        <f aca="false">Rcea1_u*Cc1ea_u*A302*2*Pi</f>
        <v>10.748770756416</v>
      </c>
      <c r="AE302" s="0" t="n">
        <f aca="false">-Rcea1_u*Cc1ea_u*Cc2ea_u*(A302*2*Pi)^2</f>
        <v>-0.00445741021504567</v>
      </c>
      <c r="AF302" s="0" t="n">
        <f aca="false">(Cc2ea_u+Cc1ea_u)*A302*2*Pi</f>
        <v>0.0037322120682</v>
      </c>
      <c r="AG302" s="0" t="n">
        <f aca="false">AC302*AE302/(AE302^2+AF302^2)+AD302*AF302/(AE302^2+AF302^2)</f>
        <v>1055.07348891856</v>
      </c>
      <c r="AH302" s="0" t="n">
        <f aca="false">AD302*AE302/(AE302^2+AF302^2)-AC302*AF302/(AE302^2+AF302^2)</f>
        <v>-1528.0201775565</v>
      </c>
      <c r="AJ302" s="0" t="n">
        <f aca="false">_Rfb1</f>
        <v>20000</v>
      </c>
      <c r="AK302" s="0" t="n">
        <f aca="false">_Rfb1*Rcea2_u*Cc3ea_u*A302*2*Pi</f>
        <v>652003.62530688</v>
      </c>
      <c r="AL302" s="0" t="n">
        <v>1</v>
      </c>
      <c r="AM302" s="0" t="n">
        <f aca="false">(_Rfb1+Rcea2_u)*Cc3ea_u*A302*2*Pi</f>
        <v>12196.8469220653</v>
      </c>
      <c r="AN302" s="0" t="n">
        <f aca="false">AJ302*AL302/(AL302^2+AM302^2)+AK302*AM302/(AL302^2+AM302^2)</f>
        <v>53.4568700302823</v>
      </c>
      <c r="AO302" s="0" t="n">
        <f aca="false">AK302*AL302/(AL302^2+AM302^2)-AJ302*AM302/(AL302^2+AM302^2)</f>
        <v>-1.63538521532843</v>
      </c>
      <c r="AQ302" s="0" t="n">
        <f aca="false">Eadcg/(1+(Eadcg*A302/GBP)^2)</f>
        <v>0.058806753613078</v>
      </c>
      <c r="AR302" s="0" t="n">
        <f aca="false">-(A302*Eadcg*Eadcg/GBP)/(1+(Eadcg*A302/GBP)^2)</f>
        <v>-13.6361100278005</v>
      </c>
      <c r="AT302" s="0" t="n">
        <f aca="false">-AR302*AH302+AG302*AQ302</f>
        <v>-20774.2058191532</v>
      </c>
      <c r="AU302" s="0" t="n">
        <f aca="false">AQ302*AH302+AG302*AR302</f>
        <v>-14476.9560884063</v>
      </c>
      <c r="AV302" s="0" t="n">
        <f aca="false">ATAN2(AT302,AU302)</f>
        <v>-2.53296930766064</v>
      </c>
      <c r="AW302" s="0" t="n">
        <f aca="false">AG302-AH302*AO302/_Rfb2+AG302*AN302/_Rfb2+AN302-AO302*AR302+AQ302*AN302</f>
        <v>1113.62960234267</v>
      </c>
      <c r="AX302" s="0" t="n">
        <f aca="false">AH302+AH302*AN302/_Rfb2+AG302*AO302/_Rfb2+AO302+AO302*AQ302+AN302*AR302</f>
        <v>-2296.22937837108</v>
      </c>
      <c r="AY302" s="0" t="n">
        <f aca="false">ATAN2(AW302,AX302)</f>
        <v>-1.11923524902667</v>
      </c>
      <c r="BA302" s="0" t="n">
        <f aca="false">SQRT(AT302^2+AU302^2)/SQRT(AW302^2+AX302^2)</f>
        <v>9.92189373840814</v>
      </c>
      <c r="BB302" s="0" t="n">
        <f aca="false">20*LOG(BA302)</f>
        <v>19.9318914302781</v>
      </c>
      <c r="BC302" s="0" t="n">
        <f aca="false">AV302-AY302</f>
        <v>-1.41373405863397</v>
      </c>
      <c r="BD302" s="0" t="n">
        <f aca="false">BC302*180/Pi-180</f>
        <v>-261.000995006184</v>
      </c>
      <c r="BF302" s="0" t="n">
        <f aca="false">20*LOG(BA302*J302*F302*C302)</f>
        <v>-1.25288871526904</v>
      </c>
      <c r="BG302" s="0" t="n">
        <f aca="false">(180/Pi)*(D302+H302+BC302)</f>
        <v>-257.287015476989</v>
      </c>
      <c r="BH302" s="0" t="n">
        <f aca="false">IF(BG302&gt;180,BG302-180,BG302+180)</f>
        <v>-77.2870154769887</v>
      </c>
      <c r="BI302" s="0" t="n">
        <f aca="false">IF(BH302&gt;180,BH302-360,BH302)</f>
        <v>-77.2870154769887</v>
      </c>
      <c r="BJ302" s="0" t="n">
        <f aca="false">SUM((BF303&lt;0)*(BF302&gt;0))*A302</f>
        <v>0</v>
      </c>
      <c r="BK302" s="0" t="n">
        <f aca="false">IF(BJ302&gt;0,BI302,0)</f>
        <v>0</v>
      </c>
      <c r="BM302" s="0" t="n">
        <f aca="false">20*LOG(J302*F302*C302)</f>
        <v>-21.1847801455471</v>
      </c>
      <c r="BN302" s="0" t="n">
        <f aca="false">(H302+D302)*180/Pi</f>
        <v>-176.286020470805</v>
      </c>
      <c r="BQ302" s="347" t="n">
        <f aca="false">20*LOG(BA302*7)</f>
        <v>36.8338522305632</v>
      </c>
      <c r="BR302" s="353"/>
      <c r="BS302" s="353"/>
      <c r="BT302" s="353" t="n">
        <v>83176.377</v>
      </c>
      <c r="BU302" s="353" t="n">
        <v>4.56394</v>
      </c>
      <c r="BV302" s="353" t="n">
        <v>-130.116</v>
      </c>
      <c r="BY302" s="353"/>
      <c r="BZ302" s="353"/>
      <c r="CA302" s="353"/>
      <c r="CC302" s="353"/>
    </row>
    <row r="303" customFormat="false" ht="12.75" hidden="false" customHeight="false" outlineLevel="0" collapsed="false">
      <c r="A303" s="0" t="n">
        <f aca="false">A302+5000</f>
        <v>445000</v>
      </c>
      <c r="B303" s="0" t="n">
        <f aca="false">A303/1000</f>
        <v>445</v>
      </c>
      <c r="C303" s="0" t="n">
        <f aca="false">SQRT((A303/Fesr)^2+1)</f>
        <v>1.00000390884917</v>
      </c>
      <c r="D303" s="0" t="n">
        <f aca="false">ATAN(A303/Fesr)</f>
        <v>0.00279601017237958</v>
      </c>
      <c r="F303" s="0" t="n">
        <f aca="false">(Ro/(Ro+Rdcr))/SQRT((A303/(Q*Fo))^2+(1-(A303^2/Fo^2))^2)</f>
        <v>0.00947602508322749</v>
      </c>
      <c r="G303" s="0" t="n">
        <f aca="false">-ATAN(A303*Fo/(Q*(Fo^2-A303^2)))</f>
        <v>0.0613476869008643</v>
      </c>
      <c r="H303" s="0" t="n">
        <f aca="false">IF(G303&gt;0,G303-Pi,G303)</f>
        <v>-3.08024496309914</v>
      </c>
      <c r="J303" s="0" t="n">
        <f aca="false">Vin/Vramp</f>
        <v>9</v>
      </c>
      <c r="M303" s="0" t="n">
        <f aca="false">1/(2*Pi*_Rfb1*(Cc1ea_u+Cc2ea_u)*A303)</f>
        <v>0.0132463539969835</v>
      </c>
      <c r="N303" s="0" t="n">
        <f aca="false">-Pi/2</f>
        <v>-1.570796325</v>
      </c>
      <c r="O303" s="0" t="n">
        <f aca="false">SQRT(1+(A303/Fz1_u)^2)</f>
        <v>10.9168132731416</v>
      </c>
      <c r="P303" s="0" t="n">
        <f aca="false">ATAN2(Fz1_u,A303)</f>
        <v>1.47906591386758</v>
      </c>
      <c r="Q303" s="0" t="n">
        <f aca="false">SQRT(1+(A303/Fz2_u)^2)</f>
        <v>12335.4474958042</v>
      </c>
      <c r="R303" s="0" t="n">
        <f aca="false">ATAN2(Fz2_u,A303)</f>
        <v>1.57071525961015</v>
      </c>
      <c r="S303" s="0" t="n">
        <f aca="false">1/SQRT(1+(A303/Fp1_u)^2)</f>
        <v>0.0303160759599993</v>
      </c>
      <c r="T303" s="0" t="n">
        <f aca="false">-ATAN2(Fp1_u,A303)</f>
        <v>-1.54047560517529</v>
      </c>
      <c r="U303" s="0" t="n">
        <f aca="false">1/SQRT(1+(A303/Fp2_u)^2)</f>
        <v>0.637709843944102</v>
      </c>
      <c r="V303" s="0" t="n">
        <f aca="false">-ATAN2(Fp2_u,A303)</f>
        <v>-0.879274894117856</v>
      </c>
      <c r="X303" s="0" t="n">
        <f aca="false">20*LOG(C303*J303*O303*Q303*F303*M303*S303*U303)</f>
        <v>9.37027328582312</v>
      </c>
      <c r="Y303" s="0" t="n">
        <f aca="false">(180/Pi)*(D303+H303+N303+P303+R303+T303+V303)</f>
        <v>-230.226738235331</v>
      </c>
      <c r="Z303" s="0" t="n">
        <f aca="false">Y303+180</f>
        <v>-50.2267382353313</v>
      </c>
      <c r="AC303" s="0" t="n">
        <v>1</v>
      </c>
      <c r="AD303" s="0" t="n">
        <f aca="false">Rcea1_u*Cc1ea_u*A303*2*Pi</f>
        <v>10.870915878648</v>
      </c>
      <c r="AE303" s="0" t="n">
        <f aca="false">-Rcea1_u*Cc1ea_u*Cc2ea_u*(A303*2*Pi)^2</f>
        <v>-0.0045592905879877</v>
      </c>
      <c r="AF303" s="0" t="n">
        <f aca="false">(Cc2ea_u+Cc1ea_u)*A303*2*Pi</f>
        <v>0.003774623568975</v>
      </c>
      <c r="AG303" s="0" t="n">
        <f aca="false">AC303*AE303/(AE303^2+AF303^2)+AD303*AF303/(AE303^2+AF303^2)</f>
        <v>1041.08504336182</v>
      </c>
      <c r="AH303" s="0" t="n">
        <f aca="false">AD303*AE303/(AE303^2+AF303^2)-AC303*AF303/(AE303^2+AF303^2)</f>
        <v>-1522.43240537355</v>
      </c>
      <c r="AJ303" s="0" t="n">
        <f aca="false">_Rfb1</f>
        <v>20000</v>
      </c>
      <c r="AK303" s="0" t="n">
        <f aca="false">_Rfb1*Rcea2_u*Cc3ea_u*A303*2*Pi</f>
        <v>659412.75741264</v>
      </c>
      <c r="AL303" s="0" t="n">
        <v>1</v>
      </c>
      <c r="AM303" s="0" t="n">
        <f aca="false">(_Rfb1+Rcea2_u)*Cc3ea_u*A303*2*Pi</f>
        <v>12335.4474552706</v>
      </c>
      <c r="AN303" s="0" t="n">
        <f aca="false">AJ303*AL303/(AL303^2+AM303^2)+AK303*AM303/(AL303^2+AM303^2)</f>
        <v>53.4568670341171</v>
      </c>
      <c r="AO303" s="0" t="n">
        <f aca="false">AK303*AL303/(AL303^2+AM303^2)-AJ303*AM303/(AL303^2+AM303^2)</f>
        <v>-1.61701010079235</v>
      </c>
      <c r="AQ303" s="0" t="n">
        <f aca="false">Eadcg/(1+(Eadcg*A303/GBP)^2)</f>
        <v>0.0574927015826792</v>
      </c>
      <c r="AR303" s="0" t="n">
        <f aca="false">-(A303*Eadcg*Eadcg/GBP)/(1+(Eadcg*A303/GBP)^2)</f>
        <v>-13.482900911662</v>
      </c>
      <c r="AT303" s="0" t="n">
        <f aca="false">-AR303*AH303+AG303*AQ303</f>
        <v>-20466.9504746347</v>
      </c>
      <c r="AU303" s="0" t="n">
        <f aca="false">AQ303*AH303+AG303*AR303</f>
        <v>-14124.3752322227</v>
      </c>
      <c r="AV303" s="0" t="n">
        <f aca="false">ATAN2(AT303,AU303)</f>
        <v>-2.5375375401183</v>
      </c>
      <c r="AW303" s="0" t="n">
        <f aca="false">AG303-AH303*AO303/_Rfb2+AG303*AN303/_Rfb2+AN303-AO303*AR303+AQ303*AN303</f>
        <v>1099.74941340836</v>
      </c>
      <c r="AX303" s="0" t="n">
        <f aca="false">AH303+AH303*AN303/_Rfb2+AG303*AO303/_Rfb2+AO303+AO303*AQ303+AN303*AR303</f>
        <v>-2282.27658328444</v>
      </c>
      <c r="AY303" s="0" t="n">
        <f aca="false">ATAN2(AW303,AX303)</f>
        <v>-1.12176161376579</v>
      </c>
      <c r="BA303" s="0" t="n">
        <f aca="false">SQRT(AT303^2+AU303^2)/SQRT(AW303^2+AX303^2)</f>
        <v>9.81578039618328</v>
      </c>
      <c r="BB303" s="0" t="n">
        <f aca="false">20*LOG(BA303)</f>
        <v>19.838496671248</v>
      </c>
      <c r="BC303" s="0" t="n">
        <f aca="false">AV303-AY303</f>
        <v>-1.41577592635251</v>
      </c>
      <c r="BD303" s="0" t="n">
        <f aca="false">BC303*180/Pi-180</f>
        <v>-261.117985408914</v>
      </c>
      <c r="BF303" s="0" t="n">
        <f aca="false">20*LOG(BA303*J303*F303*C303)</f>
        <v>-1.54409515543112</v>
      </c>
      <c r="BG303" s="0" t="n">
        <f aca="false">(180/Pi)*(D303+H303+BC303)</f>
        <v>-257.442822280052</v>
      </c>
      <c r="BH303" s="0" t="n">
        <f aca="false">IF(BG303&gt;180,BG303-180,BG303+180)</f>
        <v>-77.4428222800523</v>
      </c>
      <c r="BI303" s="0" t="n">
        <f aca="false">IF(BH303&gt;180,BH303-360,BH303)</f>
        <v>-77.4428222800523</v>
      </c>
      <c r="BJ303" s="0" t="n">
        <f aca="false">SUM((BF304&lt;0)*(BF303&gt;0))*A303</f>
        <v>0</v>
      </c>
      <c r="BK303" s="0" t="n">
        <f aca="false">IF(BJ303&gt;0,BI303,0)</f>
        <v>0</v>
      </c>
      <c r="BM303" s="0" t="n">
        <f aca="false">20*LOG(J303*F303*C303)</f>
        <v>-21.3825918266791</v>
      </c>
      <c r="BN303" s="0" t="n">
        <f aca="false">(H303+D303)*180/Pi</f>
        <v>-176.324836871138</v>
      </c>
      <c r="BQ303" s="347" t="n">
        <f aca="false">20*LOG(BA303*7)</f>
        <v>36.7404574715332</v>
      </c>
      <c r="BR303" s="353"/>
      <c r="BS303" s="353"/>
      <c r="BT303" s="353" t="n">
        <v>85113.804</v>
      </c>
      <c r="BU303" s="353" t="n">
        <v>4.76053</v>
      </c>
      <c r="BV303" s="353" t="n">
        <v>-129.973</v>
      </c>
      <c r="BY303" s="353"/>
      <c r="BZ303" s="353"/>
      <c r="CA303" s="353"/>
      <c r="CC303" s="353"/>
    </row>
    <row r="304" customFormat="false" ht="12.75" hidden="false" customHeight="false" outlineLevel="0" collapsed="false">
      <c r="A304" s="0" t="n">
        <f aca="false">A303+5000</f>
        <v>450000</v>
      </c>
      <c r="B304" s="0" t="n">
        <f aca="false">A304/1000</f>
        <v>450</v>
      </c>
      <c r="C304" s="0" t="n">
        <f aca="false">SQRT((A304/Fesr)^2+1)</f>
        <v>1.00000399718178</v>
      </c>
      <c r="D304" s="0" t="n">
        <f aca="false">ATAN(A304/Fesr)</f>
        <v>0.00282742585051093</v>
      </c>
      <c r="F304" s="0" t="n">
        <f aca="false">(Ro/(Ro+Rdcr))/SQRT((A304/(Q*Fo))^2+(1-(A304^2/Fo^2))^2)</f>
        <v>0.0092650499771085</v>
      </c>
      <c r="G304" s="0" t="n">
        <f aca="false">-ATAN(A304*Fo/(Q*(Fo^2-A304^2)))</f>
        <v>0.0606549348761993</v>
      </c>
      <c r="H304" s="0" t="n">
        <f aca="false">IF(G304&gt;0,G304-Pi,G304)</f>
        <v>-3.0809377151238</v>
      </c>
      <c r="J304" s="0" t="n">
        <f aca="false">Vin/Vramp</f>
        <v>9</v>
      </c>
      <c r="M304" s="0" t="n">
        <f aca="false">1/(2*Pi*_Rfb1*(Cc1ea_u+Cc2ea_u)*A304)</f>
        <v>0.0130991722859059</v>
      </c>
      <c r="N304" s="0" t="n">
        <f aca="false">-Pi/2</f>
        <v>-1.570796325</v>
      </c>
      <c r="O304" s="0" t="n">
        <f aca="false">SQRT(1+(A304/Fz1_u)^2)</f>
        <v>11.038450532981</v>
      </c>
      <c r="P304" s="0" t="n">
        <f aca="false">ATAN2(Fz1_u,A304)</f>
        <v>1.48007952694499</v>
      </c>
      <c r="Q304" s="0" t="n">
        <f aca="false">SQRT(1+(A304/Fz2_u)^2)</f>
        <v>12474.0480285591</v>
      </c>
      <c r="R304" s="0" t="n">
        <f aca="false">ATAN2(Fz2_u,A304)</f>
        <v>1.57071616035664</v>
      </c>
      <c r="S304" s="0" t="n">
        <f aca="false">1/SQRT(1+(A304/Fp1_u)^2)</f>
        <v>0.0299795351181272</v>
      </c>
      <c r="T304" s="0" t="n">
        <f aca="false">-ATAN2(Fp1_u,A304)</f>
        <v>-1.54081229906242</v>
      </c>
      <c r="U304" s="0" t="n">
        <f aca="false">1/SQRT(1+(A304/Fp2_u)^2)</f>
        <v>0.633477129623281</v>
      </c>
      <c r="V304" s="0" t="n">
        <f aca="false">-ATAN2(Fp2_u,A304)</f>
        <v>-0.884757535704784</v>
      </c>
      <c r="X304" s="0" t="n">
        <f aca="false">20*LOG(C304*J304*O304*Q304*F304*M304*S304*U304)</f>
        <v>9.11614455726569</v>
      </c>
      <c r="Y304" s="0" t="n">
        <f aca="false">(180/Pi)*(D304+H304+N304+P304+R304+T304+V304)</f>
        <v>-230.539926019051</v>
      </c>
      <c r="Z304" s="0" t="n">
        <f aca="false">Y304+180</f>
        <v>-50.5399260190513</v>
      </c>
      <c r="AC304" s="0" t="n">
        <v>1</v>
      </c>
      <c r="AD304" s="0" t="n">
        <f aca="false">Rcea1_u*Cc1ea_u*A304*2*Pi</f>
        <v>10.99306100088</v>
      </c>
      <c r="AE304" s="0" t="n">
        <f aca="false">-Rcea1_u*Cc1ea_u*Cc2ea_u*(A304*2*Pi)^2</f>
        <v>-0.00466232215158444</v>
      </c>
      <c r="AF304" s="0" t="n">
        <f aca="false">(Cc2ea_u+Cc1ea_u)*A304*2*Pi</f>
        <v>0.00381703506975</v>
      </c>
      <c r="AG304" s="0" t="n">
        <f aca="false">AC304*AE304/(AE304^2+AF304^2)+AD304*AF304/(AE304^2+AF304^2)</f>
        <v>1027.31078081472</v>
      </c>
      <c r="AH304" s="0" t="n">
        <f aca="false">AD304*AE304/(AE304^2+AF304^2)-AC304*AF304/(AE304^2+AF304^2)</f>
        <v>-1516.79345464677</v>
      </c>
      <c r="AJ304" s="0" t="n">
        <f aca="false">_Rfb1</f>
        <v>20000</v>
      </c>
      <c r="AK304" s="0" t="n">
        <f aca="false">_Rfb1*Rcea2_u*Cc3ea_u*A304*2*Pi</f>
        <v>666821.8895184</v>
      </c>
      <c r="AL304" s="0" t="n">
        <v>1</v>
      </c>
      <c r="AM304" s="0" t="n">
        <f aca="false">(_Rfb1+Rcea2_u)*Cc3ea_u*A304*2*Pi</f>
        <v>12474.0479884759</v>
      </c>
      <c r="AN304" s="0" t="n">
        <f aca="false">AJ304*AL304/(AL304^2+AM304^2)+AK304*AM304/(AL304^2+AM304^2)</f>
        <v>53.4568641372683</v>
      </c>
      <c r="AO304" s="0" t="n">
        <f aca="false">AK304*AL304/(AL304^2+AM304^2)-AJ304*AM304/(AL304^2+AM304^2)</f>
        <v>-1.59904332212689</v>
      </c>
      <c r="AQ304" s="0" t="n">
        <f aca="false">Eadcg/(1+(Eadcg*A304/GBP)^2)</f>
        <v>0.056222206446893</v>
      </c>
      <c r="AR304" s="0" t="n">
        <f aca="false">-(A304*Eadcg*Eadcg/GBP)/(1+(Eadcg*A304/GBP)^2)</f>
        <v>-13.3330962588807</v>
      </c>
      <c r="AT304" s="0" t="n">
        <f aca="false">-AR304*AH304+AG304*AQ304</f>
        <v>-20165.7954568415</v>
      </c>
      <c r="AU304" s="0" t="n">
        <f aca="false">AQ304*AH304+AG304*AR304</f>
        <v>-13782.511003133</v>
      </c>
      <c r="AV304" s="0" t="n">
        <f aca="false">ATAN2(AT304,AU304)</f>
        <v>-2.54205394688217</v>
      </c>
      <c r="AW304" s="0" t="n">
        <f aca="false">AG304-AH304*AO304/_Rfb2+AG304*AN304/_Rfb2+AN304-AO304*AR304+AQ304*AN304</f>
        <v>1086.07403674391</v>
      </c>
      <c r="AX304" s="0" t="n">
        <f aca="false">AH304+AH304*AN304/_Rfb2+AG304*AO304/_Rfb2+AO304+AO304*AQ304+AN304*AR304</f>
        <v>-2268.4544961857</v>
      </c>
      <c r="AY304" s="0" t="n">
        <f aca="false">ATAN2(AW304,AX304)</f>
        <v>-1.12427432654863</v>
      </c>
      <c r="BA304" s="0" t="n">
        <f aca="false">SQRT(AT304^2+AU304^2)/SQRT(AW304^2+AX304^2)</f>
        <v>9.71185794473307</v>
      </c>
      <c r="BB304" s="0" t="n">
        <f aca="false">20*LOG(BA304)</f>
        <v>19.7460464271159</v>
      </c>
      <c r="BC304" s="0" t="n">
        <f aca="false">AV304-AY304</f>
        <v>-1.41777962033355</v>
      </c>
      <c r="BD304" s="0" t="n">
        <f aca="false">BC304*180/Pi-180</f>
        <v>-261.232788617594</v>
      </c>
      <c r="BF304" s="0" t="n">
        <f aca="false">20*LOG(BA304*J304*F304*C304)</f>
        <v>-1.83211333883411</v>
      </c>
      <c r="BG304" s="0" t="n">
        <f aca="false">(180/Pi)*(D304+H304+BC304)</f>
        <v>-257.595517270271</v>
      </c>
      <c r="BH304" s="0" t="n">
        <f aca="false">IF(BG304&gt;180,BG304-180,BG304+180)</f>
        <v>-77.5955172702706</v>
      </c>
      <c r="BI304" s="0" t="n">
        <f aca="false">IF(BH304&gt;180,BH304-360,BH304)</f>
        <v>-77.5955172702706</v>
      </c>
      <c r="BJ304" s="0" t="n">
        <f aca="false">SUM((BF305&lt;0)*(BF304&gt;0))*A304</f>
        <v>0</v>
      </c>
      <c r="BK304" s="0" t="n">
        <f aca="false">IF(BJ304&gt;0,BI304,0)</f>
        <v>0</v>
      </c>
      <c r="BM304" s="0" t="n">
        <f aca="false">20*LOG(J304*F304*C304)</f>
        <v>-21.57815976595</v>
      </c>
      <c r="BN304" s="0" t="n">
        <f aca="false">(H304+D304)*180/Pi</f>
        <v>-176.362728652676</v>
      </c>
      <c r="BQ304" s="347" t="n">
        <f aca="false">20*LOG(BA304*7)</f>
        <v>36.6480072274011</v>
      </c>
      <c r="BR304" s="353"/>
      <c r="BS304" s="353"/>
      <c r="BT304" s="353" t="n">
        <v>87096.359</v>
      </c>
      <c r="BU304" s="353" t="n">
        <v>4.94755</v>
      </c>
      <c r="BV304" s="353" t="n">
        <v>-129.962</v>
      </c>
      <c r="BY304" s="353"/>
      <c r="BZ304" s="353"/>
      <c r="CA304" s="353"/>
      <c r="CC304" s="353"/>
    </row>
    <row r="305" customFormat="false" ht="12.75" hidden="false" customHeight="false" outlineLevel="0" collapsed="false">
      <c r="A305" s="0" t="n">
        <f aca="false">A304+5000</f>
        <v>455000</v>
      </c>
      <c r="B305" s="0" t="n">
        <f aca="false">A305/1000</f>
        <v>455</v>
      </c>
      <c r="C305" s="0" t="n">
        <f aca="false">SQRT((A305/Fesr)^2+1)</f>
        <v>1.00000408650134</v>
      </c>
      <c r="D305" s="0" t="n">
        <f aca="false">ATAN(A305/Fesr)</f>
        <v>0.00285884152306124</v>
      </c>
      <c r="F305" s="0" t="n">
        <f aca="false">(Ro/(Ro+Rdcr))/SQRT((A305/(Q*Fo))^2+(1-(A305^2/Fo^2))^2)</f>
        <v>0.00906105952590935</v>
      </c>
      <c r="G305" s="0" t="n">
        <f aca="false">-ATAN(A305*Fo/(Q*(Fo^2-A305^2)))</f>
        <v>0.0599777716772225</v>
      </c>
      <c r="H305" s="0" t="n">
        <f aca="false">IF(G305&gt;0,G305-Pi,G305)</f>
        <v>-3.08161487832278</v>
      </c>
      <c r="J305" s="0" t="n">
        <f aca="false">Vin/Vramp</f>
        <v>9</v>
      </c>
      <c r="M305" s="0" t="n">
        <f aca="false">1/(2*Pi*_Rfb1*(Cc1ea_u+Cc2ea_u)*A305)</f>
        <v>0.0129552253377091</v>
      </c>
      <c r="N305" s="0" t="n">
        <f aca="false">-Pi/2</f>
        <v>-1.570796325</v>
      </c>
      <c r="O305" s="0" t="n">
        <f aca="false">SQRT(1+(A305/Fz1_u)^2)</f>
        <v>11.1600988866258</v>
      </c>
      <c r="P305" s="0" t="n">
        <f aca="false">ATAN2(Fz1_u,A305)</f>
        <v>1.48107104366254</v>
      </c>
      <c r="Q305" s="0" t="n">
        <f aca="false">SQRT(1+(A305/Fz2_u)^2)</f>
        <v>12612.648561324</v>
      </c>
      <c r="R305" s="0" t="n">
        <f aca="false">ATAN2(Fz2_u,A305)</f>
        <v>1.57071704130651</v>
      </c>
      <c r="S305" s="0" t="n">
        <f aca="false">1/SQRT(1+(A305/Fp1_u)^2)</f>
        <v>0.029650380915237</v>
      </c>
      <c r="T305" s="0" t="n">
        <f aca="false">-ATAN2(Fp1_u,A305)</f>
        <v>-1.54114159966222</v>
      </c>
      <c r="U305" s="0" t="n">
        <f aca="false">1/SQRT(1+(A305/Fp2_u)^2)</f>
        <v>0.629281690018107</v>
      </c>
      <c r="V305" s="0" t="n">
        <f aca="false">-ATAN2(Fp2_u,A305)</f>
        <v>-0.890167716435853</v>
      </c>
      <c r="X305" s="0" t="n">
        <f aca="false">20*LOG(C305*J305*O305*Q305*F305*M305*S305*U305)</f>
        <v>8.86435897962512</v>
      </c>
      <c r="Y305" s="0" t="n">
        <f aca="false">(180/Pi)*(D305+H305+N305+P305+R305+T305+V305)</f>
        <v>-230.848912486211</v>
      </c>
      <c r="Z305" s="0" t="n">
        <f aca="false">Y305+180</f>
        <v>-50.8489124862107</v>
      </c>
      <c r="AC305" s="0" t="n">
        <v>1</v>
      </c>
      <c r="AD305" s="0" t="n">
        <f aca="false">Rcea1_u*Cc1ea_u*A305*2*Pi</f>
        <v>11.115206123112</v>
      </c>
      <c r="AE305" s="0" t="n">
        <f aca="false">-Rcea1_u*Cc1ea_u*Cc2ea_u*(A305*2*Pi)^2</f>
        <v>-0.0047665049058359</v>
      </c>
      <c r="AF305" s="0" t="n">
        <f aca="false">(Cc2ea_u+Cc1ea_u)*A305*2*Pi</f>
        <v>0.003859446570525</v>
      </c>
      <c r="AG305" s="0" t="n">
        <f aca="false">AC305*AE305/(AE305^2+AF305^2)+AD305*AF305/(AE305^2+AF305^2)</f>
        <v>1013.74834020364</v>
      </c>
      <c r="AH305" s="0" t="n">
        <f aca="false">AD305*AE305/(AE305^2+AF305^2)-AC305*AF305/(AE305^2+AF305^2)</f>
        <v>-1511.10692434597</v>
      </c>
      <c r="AJ305" s="0" t="n">
        <f aca="false">_Rfb1</f>
        <v>20000</v>
      </c>
      <c r="AK305" s="0" t="n">
        <f aca="false">_Rfb1*Rcea2_u*Cc3ea_u*A305*2*Pi</f>
        <v>674231.02162416</v>
      </c>
      <c r="AL305" s="0" t="n">
        <v>1</v>
      </c>
      <c r="AM305" s="0" t="n">
        <f aca="false">(_Rfb1+Rcea2_u)*Cc3ea_u*A305*2*Pi</f>
        <v>12612.6485216812</v>
      </c>
      <c r="AN305" s="0" t="n">
        <f aca="false">AJ305*AL305/(AL305^2+AM305^2)+AK305*AM305/(AL305^2+AM305^2)</f>
        <v>53.4568613353943</v>
      </c>
      <c r="AO305" s="0" t="n">
        <f aca="false">AK305*AL305/(AL305^2+AM305^2)-AJ305*AM305/(AL305^2+AM305^2)</f>
        <v>-1.58147141771028</v>
      </c>
      <c r="AQ305" s="0" t="n">
        <f aca="false">Eadcg/(1+(Eadcg*A305/GBP)^2)</f>
        <v>0.0549933642318791</v>
      </c>
      <c r="AR305" s="0" t="n">
        <f aca="false">-(A305*Eadcg*Eadcg/GBP)/(1+(Eadcg*A305/GBP)^2)</f>
        <v>-13.1865838423411</v>
      </c>
      <c r="AT305" s="0" t="n">
        <f aca="false">-AR305*AH305+AG305*AQ305</f>
        <v>-19870.5887209181</v>
      </c>
      <c r="AU305" s="0" t="n">
        <f aca="false">AQ305*AH305+AG305*AR305</f>
        <v>-13450.9783366133</v>
      </c>
      <c r="AV305" s="0" t="n">
        <f aca="false">ATAN2(AT305,AU305)</f>
        <v>-2.54651894788805</v>
      </c>
      <c r="AW305" s="0" t="n">
        <f aca="false">AG305-AH305*AO305/_Rfb2+AG305*AN305/_Rfb2+AN305-AO305*AR305+AQ305*AN305</f>
        <v>1072.60168315982</v>
      </c>
      <c r="AX305" s="0" t="n">
        <f aca="false">AH305+AH305*AN305/_Rfb2+AG305*AO305/_Rfb2+AO305+AO305*AQ305+AN305*AR305</f>
        <v>-2254.76076144908</v>
      </c>
      <c r="AY305" s="0" t="n">
        <f aca="false">ATAN2(AW305,AX305)</f>
        <v>-1.12677267219678</v>
      </c>
      <c r="BA305" s="0" t="n">
        <f aca="false">SQRT(AT305^2+AU305^2)/SQRT(AW305^2+AX305^2)</f>
        <v>9.61006085803377</v>
      </c>
      <c r="BB305" s="0" t="n">
        <f aca="false">20*LOG(BA305)</f>
        <v>19.6545227590412</v>
      </c>
      <c r="BC305" s="0" t="n">
        <f aca="false">AV305-AY305</f>
        <v>-1.41974627569127</v>
      </c>
      <c r="BD305" s="0" t="n">
        <f aca="false">BC305*180/Pi-180</f>
        <v>-261.345469669478</v>
      </c>
      <c r="BF305" s="0" t="n">
        <f aca="false">20*LOG(BA305*J305*F305*C305)</f>
        <v>-2.11701188780021</v>
      </c>
      <c r="BG305" s="0" t="n">
        <f aca="false">(180/Pi)*(D305+H305+BC305)</f>
        <v>-257.745196930092</v>
      </c>
      <c r="BH305" s="0" t="n">
        <f aca="false">IF(BG305&gt;180,BG305-180,BG305+180)</f>
        <v>-77.7451969300916</v>
      </c>
      <c r="BI305" s="0" t="n">
        <f aca="false">IF(BH305&gt;180,BH305-360,BH305)</f>
        <v>-77.7451969300916</v>
      </c>
      <c r="BJ305" s="0" t="n">
        <f aca="false">SUM((BF306&lt;0)*(BF305&gt;0))*A305</f>
        <v>0</v>
      </c>
      <c r="BK305" s="0" t="n">
        <f aca="false">IF(BJ305&gt;0,BI305,0)</f>
        <v>0</v>
      </c>
      <c r="BM305" s="0" t="n">
        <f aca="false">20*LOG(J305*F305*C305)</f>
        <v>-21.7715346468414</v>
      </c>
      <c r="BN305" s="0" t="n">
        <f aca="false">(H305+D305)*180/Pi</f>
        <v>-176.399727260614</v>
      </c>
      <c r="BQ305" s="347" t="n">
        <f aca="false">20*LOG(BA305*7)</f>
        <v>36.5564835593263</v>
      </c>
      <c r="BR305" s="353"/>
      <c r="BS305" s="353"/>
      <c r="BT305" s="353" t="n">
        <v>89125.094</v>
      </c>
      <c r="BU305" s="353" t="n">
        <v>5.21431</v>
      </c>
      <c r="BV305" s="353" t="n">
        <v>-129.731</v>
      </c>
      <c r="BY305" s="353"/>
      <c r="BZ305" s="353"/>
      <c r="CA305" s="353"/>
      <c r="CC305" s="353"/>
    </row>
    <row r="306" customFormat="false" ht="12.75" hidden="false" customHeight="false" outlineLevel="0" collapsed="false">
      <c r="A306" s="0" t="n">
        <f aca="false">A305+5000</f>
        <v>460000</v>
      </c>
      <c r="B306" s="0" t="n">
        <f aca="false">A306/1000</f>
        <v>460</v>
      </c>
      <c r="C306" s="0" t="n">
        <f aca="false">SQRT((A306/Fesr)^2+1)</f>
        <v>1.00000417680785</v>
      </c>
      <c r="D306" s="0" t="n">
        <f aca="false">ATAN(A306/Fesr)</f>
        <v>0.00289025718996851</v>
      </c>
      <c r="F306" s="0" t="n">
        <f aca="false">(Ro/(Ro+Rdcr))/SQRT((A306/(Q*Fo))^2+(1-(A306^2/Fo^2))^2)</f>
        <v>0.00886374808225842</v>
      </c>
      <c r="G306" s="0" t="n">
        <f aca="false">-ATAN(A306*Fo/(Q*(Fo^2-A306^2)))</f>
        <v>0.0593156732543285</v>
      </c>
      <c r="H306" s="0" t="n">
        <f aca="false">IF(G306&gt;0,G306-Pi,G306)</f>
        <v>-3.08227697674567</v>
      </c>
      <c r="J306" s="0" t="n">
        <f aca="false">Vin/Vramp</f>
        <v>9</v>
      </c>
      <c r="M306" s="0" t="n">
        <f aca="false">1/(2*Pi*_Rfb1*(Cc1ea_u+Cc2ea_u)*A306)</f>
        <v>0.0128144076709949</v>
      </c>
      <c r="N306" s="0" t="n">
        <f aca="false">-Pi/2</f>
        <v>-1.570796325</v>
      </c>
      <c r="O306" s="0" t="n">
        <f aca="false">SQRT(1+(A306/Fz1_u)^2)</f>
        <v>11.2817579752109</v>
      </c>
      <c r="P306" s="0" t="n">
        <f aca="false">ATAN2(Fz1_u,A306)</f>
        <v>1.48204117687997</v>
      </c>
      <c r="Q306" s="0" t="n">
        <f aca="false">SQRT(1+(A306/Fz2_u)^2)</f>
        <v>12751.2490940983</v>
      </c>
      <c r="R306" s="0" t="n">
        <f aca="false">ATAN2(Fz2_u,A306)</f>
        <v>1.57071790310529</v>
      </c>
      <c r="S306" s="0" t="n">
        <f aca="false">1/SQRT(1+(A306/Fp1_u)^2)</f>
        <v>0.0293283729040604</v>
      </c>
      <c r="T306" s="0" t="n">
        <f aca="false">-ATAN2(Fp1_u,A306)</f>
        <v>-1.54146374777902</v>
      </c>
      <c r="U306" s="0" t="n">
        <f aca="false">1/SQRT(1+(A306/Fp2_u)^2)</f>
        <v>0.625123518999906</v>
      </c>
      <c r="V306" s="0" t="n">
        <f aca="false">-ATAN2(Fp2_u,A306)</f>
        <v>-0.895506552877781</v>
      </c>
      <c r="X306" s="0" t="n">
        <f aca="false">20*LOG(C306*J306*O306*Q306*F306*M306*S306*U306)</f>
        <v>8.61487161569091</v>
      </c>
      <c r="Y306" s="0" t="n">
        <f aca="false">(180/Pi)*(D306+H306+N306+P306+R306+T306+V306)</f>
        <v>-231.153764553435</v>
      </c>
      <c r="Z306" s="0" t="n">
        <f aca="false">Y306+180</f>
        <v>-51.1537645534354</v>
      </c>
      <c r="AC306" s="0" t="n">
        <v>1</v>
      </c>
      <c r="AD306" s="0" t="n">
        <f aca="false">Rcea1_u*Cc1ea_u*A306*2*Pi</f>
        <v>11.237351245344</v>
      </c>
      <c r="AE306" s="0" t="n">
        <f aca="false">-Rcea1_u*Cc1ea_u*Cc2ea_u*(A306*2*Pi)^2</f>
        <v>-0.00487183885074207</v>
      </c>
      <c r="AF306" s="0" t="n">
        <f aca="false">(Cc2ea_u+Cc1ea_u)*A306*2*Pi</f>
        <v>0.0039018580713</v>
      </c>
      <c r="AG306" s="0" t="n">
        <f aca="false">AC306*AE306/(AE306^2+AF306^2)+AD306*AF306/(AE306^2+AF306^2)</f>
        <v>1000.39529985747</v>
      </c>
      <c r="AH306" s="0" t="n">
        <f aca="false">AD306*AE306/(AE306^2+AF306^2)-AC306*AF306/(AE306^2+AF306^2)</f>
        <v>-1505.37630549653</v>
      </c>
      <c r="AJ306" s="0" t="n">
        <f aca="false">_Rfb1</f>
        <v>20000</v>
      </c>
      <c r="AK306" s="0" t="n">
        <f aca="false">_Rfb1*Rcea2_u*Cc3ea_u*A306*2*Pi</f>
        <v>681640.15372992</v>
      </c>
      <c r="AL306" s="0" t="n">
        <v>1</v>
      </c>
      <c r="AM306" s="0" t="n">
        <f aca="false">(_Rfb1+Rcea2_u)*Cc3ea_u*A306*2*Pi</f>
        <v>12751.2490548865</v>
      </c>
      <c r="AN306" s="0" t="n">
        <f aca="false">AJ306*AL306/(AL306^2+AM306^2)+AK306*AM306/(AL306^2+AM306^2)</f>
        <v>53.4568586243882</v>
      </c>
      <c r="AO306" s="0" t="n">
        <f aca="false">AK306*AL306/(AL306^2+AM306^2)-AJ306*AM306/(AL306^2+AM306^2)</f>
        <v>-1.56428151120864</v>
      </c>
      <c r="AQ306" s="0" t="n">
        <f aca="false">Eadcg/(1+(Eadcg*A306/GBP)^2)</f>
        <v>0.0538043738715588</v>
      </c>
      <c r="AR306" s="0" t="n">
        <f aca="false">-(A306*Eadcg*Eadcg/GBP)/(1+(Eadcg*A306/GBP)^2)</f>
        <v>-13.0432563139433</v>
      </c>
      <c r="AT306" s="0" t="n">
        <f aca="false">-AR306*AH306+AG306*AQ306</f>
        <v>-19581.1833587953</v>
      </c>
      <c r="AU306" s="0" t="n">
        <f aca="false">AQ306*AH306+AG306*AR306</f>
        <v>-13129.4081408635</v>
      </c>
      <c r="AV306" s="0" t="n">
        <f aca="false">ATAN2(AT306,AU306)</f>
        <v>-2.55093298079631</v>
      </c>
      <c r="AW306" s="0" t="n">
        <f aca="false">AG306-AH306*AO306/_Rfb2+AG306*AN306/_Rfb2+AN306-AO306*AR306+AQ306*AN306</f>
        <v>1059.33046759733</v>
      </c>
      <c r="AX306" s="0" t="n">
        <f aca="false">AH306+AH306*AN306/_Rfb2+AG306*AO306/_Rfb2+AO306+AO306*AQ306+AN306*AR306</f>
        <v>-2241.19317566603</v>
      </c>
      <c r="AY306" s="0" t="n">
        <f aca="false">ATAN2(AW306,AX306)</f>
        <v>-1.1292559964632</v>
      </c>
      <c r="BA306" s="0" t="n">
        <f aca="false">SQRT(AT306^2+AU306^2)/SQRT(AW306^2+AX306^2)</f>
        <v>9.51032613101241</v>
      </c>
      <c r="BB306" s="0" t="n">
        <f aca="false">20*LOG(BA306)</f>
        <v>19.5639082030396</v>
      </c>
      <c r="BC306" s="0" t="n">
        <f aca="false">AV306-AY306</f>
        <v>-1.42167698433312</v>
      </c>
      <c r="BD306" s="0" t="n">
        <f aca="false">BC306*180/Pi-180</f>
        <v>-261.456091126251</v>
      </c>
      <c r="BF306" s="0" t="n">
        <f aca="false">20*LOG(BA306*J306*F306*C306)</f>
        <v>-2.3988572405661</v>
      </c>
      <c r="BG306" s="0" t="n">
        <f aca="false">(180/Pi)*(D306+H306+BC306)</f>
        <v>-257.891953847036</v>
      </c>
      <c r="BH306" s="0" t="n">
        <f aca="false">IF(BG306&gt;180,BG306-180,BG306+180)</f>
        <v>-77.8919538470359</v>
      </c>
      <c r="BI306" s="0" t="n">
        <f aca="false">IF(BH306&gt;180,BH306-360,BH306)</f>
        <v>-77.8919538470359</v>
      </c>
      <c r="BJ306" s="0" t="n">
        <f aca="false">SUM((BF307&lt;0)*(BF306&gt;0))*A306</f>
        <v>0</v>
      </c>
      <c r="BK306" s="0" t="n">
        <f aca="false">IF(BJ306&gt;0,BI306,0)</f>
        <v>0</v>
      </c>
      <c r="BM306" s="0" t="n">
        <f aca="false">20*LOG(J306*F306*C306)</f>
        <v>-21.9627654436057</v>
      </c>
      <c r="BN306" s="0" t="n">
        <f aca="false">(H306+D306)*180/Pi</f>
        <v>-176.435862720785</v>
      </c>
      <c r="BQ306" s="347" t="n">
        <f aca="false">20*LOG(BA306*7)</f>
        <v>36.4658690033247</v>
      </c>
      <c r="BR306" s="353"/>
      <c r="BS306" s="353"/>
      <c r="BT306" s="353" t="n">
        <v>91201.084</v>
      </c>
      <c r="BU306" s="353" t="n">
        <v>5.40509</v>
      </c>
      <c r="BV306" s="353" t="n">
        <v>-129.683</v>
      </c>
      <c r="BY306" s="353"/>
      <c r="BZ306" s="353"/>
      <c r="CA306" s="353"/>
      <c r="CC306" s="353"/>
    </row>
    <row r="307" customFormat="false" ht="12.75" hidden="false" customHeight="false" outlineLevel="0" collapsed="false">
      <c r="A307" s="0" t="n">
        <f aca="false">A306+5000</f>
        <v>465000</v>
      </c>
      <c r="B307" s="0" t="n">
        <f aca="false">A307/1000</f>
        <v>465</v>
      </c>
      <c r="C307" s="0" t="n">
        <f aca="false">SQRT((A307/Fesr)^2+1)</f>
        <v>1.00000426810131</v>
      </c>
      <c r="D307" s="0" t="n">
        <f aca="false">ATAN(A307/Fesr)</f>
        <v>0.00292167285117071</v>
      </c>
      <c r="F307" s="0" t="n">
        <f aca="false">(Ro/(Ro+Rdcr))/SQRT((A307/(Q*Fo))^2+(1-(A307^2/Fo^2))^2)</f>
        <v>0.0086728265729902</v>
      </c>
      <c r="G307" s="0" t="n">
        <f aca="false">-ATAN(A307*Fo/(Q*(Fo^2-A307^2)))</f>
        <v>0.0586681389398848</v>
      </c>
      <c r="H307" s="0" t="n">
        <f aca="false">IF(G307&gt;0,G307-Pi,G307)</f>
        <v>-3.08292451106012</v>
      </c>
      <c r="J307" s="0" t="n">
        <f aca="false">Vin/Vramp</f>
        <v>9</v>
      </c>
      <c r="M307" s="0" t="n">
        <f aca="false">1/(2*Pi*_Rfb1*(Cc1ea_u+Cc2ea_u)*A307)</f>
        <v>0.0126766183411992</v>
      </c>
      <c r="N307" s="0" t="n">
        <f aca="false">-Pi/2</f>
        <v>-1.570796325</v>
      </c>
      <c r="O307" s="0" t="n">
        <f aca="false">SQRT(1+(A307/Fz1_u)^2)</f>
        <v>11.4034274551545</v>
      </c>
      <c r="P307" s="0" t="n">
        <f aca="false">ATAN2(Fz1_u,A307)</f>
        <v>1.48299060919851</v>
      </c>
      <c r="Q307" s="0" t="n">
        <f aca="false">SQRT(1+(A307/Fz2_u)^2)</f>
        <v>12889.849626882</v>
      </c>
      <c r="R307" s="0" t="n">
        <f aca="false">ATAN2(Fz2_u,A307)</f>
        <v>1.57071874637077</v>
      </c>
      <c r="S307" s="0" t="n">
        <f aca="false">1/SQRT(1+(A307/Fp1_u)^2)</f>
        <v>0.0290132809568848</v>
      </c>
      <c r="T307" s="0" t="n">
        <f aca="false">-ATAN2(Fp1_u,A307)</f>
        <v>-1.54177897387484</v>
      </c>
      <c r="U307" s="0" t="n">
        <f aca="false">1/SQRT(1+(A307/Fp2_u)^2)</f>
        <v>0.621002586813835</v>
      </c>
      <c r="V307" s="0" t="n">
        <f aca="false">-ATAN2(Fp2_u,A307)</f>
        <v>-0.900775148614629</v>
      </c>
      <c r="X307" s="0" t="n">
        <f aca="false">20*LOG(C307*J307*O307*Q307*F307*M307*S307*U307)</f>
        <v>8.36763896090669</v>
      </c>
      <c r="Y307" s="0" t="n">
        <f aca="false">(180/Pi)*(D307+H307+N307+P307+R307+T307+V307)</f>
        <v>-231.454548196516</v>
      </c>
      <c r="Z307" s="0" t="n">
        <f aca="false">Y307+180</f>
        <v>-51.4545481965159</v>
      </c>
      <c r="AC307" s="0" t="n">
        <v>1</v>
      </c>
      <c r="AD307" s="0" t="n">
        <f aca="false">Rcea1_u*Cc1ea_u*A307*2*Pi</f>
        <v>11.359496367576</v>
      </c>
      <c r="AE307" s="0" t="n">
        <f aca="false">-Rcea1_u*Cc1ea_u*Cc2ea_u*(A307*2*Pi)^2</f>
        <v>-0.00497832398630295</v>
      </c>
      <c r="AF307" s="0" t="n">
        <f aca="false">(Cc2ea_u+Cc1ea_u)*A307*2*Pi</f>
        <v>0.003944269572075</v>
      </c>
      <c r="AG307" s="0" t="n">
        <f aca="false">AC307*AE307/(AE307^2+AF307^2)+AD307*AF307/(AE307^2+AF307^2)</f>
        <v>987.249184843455</v>
      </c>
      <c r="AH307" s="0" t="n">
        <f aca="false">AD307*AE307/(AE307^2+AF307^2)-AC307*AF307/(AE307^2+AF307^2)</f>
        <v>-1499.60498117083</v>
      </c>
      <c r="AJ307" s="0" t="n">
        <f aca="false">_Rfb1</f>
        <v>20000</v>
      </c>
      <c r="AK307" s="0" t="n">
        <f aca="false">_Rfb1*Rcea2_u*Cc3ea_u*A307*2*Pi</f>
        <v>689049.28583568</v>
      </c>
      <c r="AL307" s="0" t="n">
        <v>1</v>
      </c>
      <c r="AM307" s="0" t="n">
        <f aca="false">(_Rfb1+Rcea2_u)*Cc3ea_u*A307*2*Pi</f>
        <v>12889.8495880918</v>
      </c>
      <c r="AN307" s="0" t="n">
        <f aca="false">AJ307*AL307/(AL307^2+AM307^2)+AK307*AM307/(AL307^2+AM307^2)</f>
        <v>53.456856000363</v>
      </c>
      <c r="AO307" s="0" t="n">
        <f aca="false">AK307*AL307/(AL307^2+AM307^2)-AJ307*AM307/(AL307^2+AM307^2)</f>
        <v>-1.5474612801089</v>
      </c>
      <c r="AQ307" s="0" t="n">
        <f aca="false">Eadcg/(1+(Eadcg*A307/GBP)^2)</f>
        <v>0.0526535306046259</v>
      </c>
      <c r="AR307" s="0" t="n">
        <f aca="false">-(A307*Eadcg*Eadcg/GBP)/(1+(Eadcg*A307/GBP)^2)</f>
        <v>-12.9030109423166</v>
      </c>
      <c r="AT307" s="0" t="n">
        <f aca="false">-AR307*AH307+AG307*AQ307</f>
        <v>-19297.4373260311</v>
      </c>
      <c r="AU307" s="0" t="n">
        <f aca="false">AQ307*AH307+AG307*AR307</f>
        <v>-12817.4465315992</v>
      </c>
      <c r="AV307" s="0" t="n">
        <f aca="false">ATAN2(AT307,AU307)</f>
        <v>-2.55529649908289</v>
      </c>
      <c r="AW307" s="0" t="n">
        <f aca="false">AG307-AH307*AO307/_Rfb2+AG307*AN307/_Rfb2+AN307-AO307*AR307+AQ307*AN307</f>
        <v>1046.25841880728</v>
      </c>
      <c r="AX307" s="0" t="n">
        <f aca="false">AH307+AH307*AN307/_Rfb2+AG307*AO307/_Rfb2+AO307+AO307*AQ307+AN307*AR307</f>
        <v>-2227.74967350579</v>
      </c>
      <c r="AY307" s="0" t="n">
        <f aca="false">ATAN2(AW307,AX307)</f>
        <v>-1.13172370215988</v>
      </c>
      <c r="BA307" s="0" t="n">
        <f aca="false">SQRT(AT307^2+AU307^2)/SQRT(AW307^2+AX307^2)</f>
        <v>9.41259316278437</v>
      </c>
      <c r="BB307" s="0" t="n">
        <f aca="false">20*LOG(BA307)</f>
        <v>19.4741857547099</v>
      </c>
      <c r="BC307" s="0" t="n">
        <f aca="false">AV307-AY307</f>
        <v>-1.42357279692301</v>
      </c>
      <c r="BD307" s="0" t="n">
        <f aca="false">BC307*180/Pi-180</f>
        <v>-261.564713186524</v>
      </c>
      <c r="BF307" s="0" t="n">
        <f aca="false">20*LOG(BA307*J307*F307*C307)</f>
        <v>-2.67771374300944</v>
      </c>
      <c r="BG307" s="0" t="n">
        <f aca="false">(180/Pi)*(D307+H307+BC307)</f>
        <v>-258.035876905859</v>
      </c>
      <c r="BH307" s="0" t="n">
        <f aca="false">IF(BG307&gt;180,BG307-180,BG307+180)</f>
        <v>-78.0358769058591</v>
      </c>
      <c r="BI307" s="0" t="n">
        <f aca="false">IF(BH307&gt;180,BH307-360,BH307)</f>
        <v>-78.0358769058591</v>
      </c>
      <c r="BJ307" s="0" t="n">
        <f aca="false">SUM((BF308&lt;0)*(BF307&gt;0))*A307</f>
        <v>0</v>
      </c>
      <c r="BK307" s="0" t="n">
        <f aca="false">IF(BJ307&gt;0,BI307,0)</f>
        <v>0</v>
      </c>
      <c r="BM307" s="0" t="n">
        <f aca="false">20*LOG(J307*F307*C307)</f>
        <v>-22.1518994977194</v>
      </c>
      <c r="BN307" s="0" t="n">
        <f aca="false">(H307+D307)*180/Pi</f>
        <v>-176.471163719335</v>
      </c>
      <c r="BQ307" s="347" t="n">
        <f aca="false">20*LOG(BA307*7)</f>
        <v>36.3761465549951</v>
      </c>
      <c r="BR307" s="353"/>
      <c r="BS307" s="353"/>
      <c r="BT307" s="353" t="n">
        <v>93325.43</v>
      </c>
      <c r="BU307" s="353" t="n">
        <v>5.6015</v>
      </c>
      <c r="BV307" s="353" t="n">
        <v>-129.644</v>
      </c>
      <c r="BY307" s="353"/>
      <c r="BZ307" s="353"/>
      <c r="CA307" s="353"/>
      <c r="CC307" s="353"/>
    </row>
    <row r="308" customFormat="false" ht="12.75" hidden="false" customHeight="false" outlineLevel="0" collapsed="false">
      <c r="A308" s="0" t="n">
        <f aca="false">A307+5000</f>
        <v>470000</v>
      </c>
      <c r="B308" s="0" t="n">
        <f aca="false">A308/1000</f>
        <v>470</v>
      </c>
      <c r="C308" s="0" t="n">
        <f aca="false">SQRT((A308/Fesr)^2+1)</f>
        <v>1.00000436038171</v>
      </c>
      <c r="D308" s="0" t="n">
        <f aca="false">ATAN(A308/Fesr)</f>
        <v>0.00295308850660584</v>
      </c>
      <c r="F308" s="0" t="n">
        <f aca="false">(Ro/(Ro+Rdcr))/SQRT((A308/(Q*Fo))^2+(1-(A308^2/Fo^2))^2)</f>
        <v>0.00848802142995901</v>
      </c>
      <c r="G308" s="0" t="n">
        <f aca="false">-ATAN(A308*Fo/(Q*(Fo^2-A308^2)))</f>
        <v>0.0580346901508288</v>
      </c>
      <c r="H308" s="0" t="n">
        <f aca="false">IF(G308&gt;0,G308-Pi,G308)</f>
        <v>-3.08355795984917</v>
      </c>
      <c r="J308" s="0" t="n">
        <f aca="false">Vin/Vramp</f>
        <v>9</v>
      </c>
      <c r="M308" s="0" t="n">
        <f aca="false">1/(2*Pi*_Rfb1*(Cc1ea_u+Cc2ea_u)*A308)</f>
        <v>0.0125417606992716</v>
      </c>
      <c r="N308" s="0" t="n">
        <f aca="false">-Pi/2</f>
        <v>-1.570796325</v>
      </c>
      <c r="O308" s="0" t="n">
        <f aca="false">SQRT(1+(A308/Fz1_u)^2)</f>
        <v>11.525106997355</v>
      </c>
      <c r="P308" s="0" t="n">
        <f aca="false">ATAN2(Fz1_u,A308)</f>
        <v>1.48391999454537</v>
      </c>
      <c r="Q308" s="0" t="n">
        <f aca="false">SQRT(1+(A308/Fz2_u)^2)</f>
        <v>13028.4501596746</v>
      </c>
      <c r="R308" s="0" t="n">
        <f aca="false">ATAN2(Fz2_u,A308)</f>
        <v>1.57071957169443</v>
      </c>
      <c r="S308" s="0" t="n">
        <f aca="false">1/SQRT(1+(A308/Fp1_u)^2)</f>
        <v>0.0287048847180371</v>
      </c>
      <c r="T308" s="0" t="n">
        <f aca="false">-ATAN2(Fp1_u,A308)</f>
        <v>-1.54208749861858</v>
      </c>
      <c r="U308" s="0" t="n">
        <f aca="false">1/SQRT(1+(A308/Fp2_u)^2)</f>
        <v>0.616918841480759</v>
      </c>
      <c r="V308" s="0" t="n">
        <f aca="false">-ATAN2(Fp2_u,A308)</f>
        <v>-0.905974593983882</v>
      </c>
      <c r="X308" s="0" t="n">
        <f aca="false">20*LOG(C308*J308*O308*Q308*F308*M308*S308*U308)</f>
        <v>8.12261887685484</v>
      </c>
      <c r="Y308" s="0" t="n">
        <f aca="false">(180/Pi)*(D308+H308+N308+P308+R308+T308+V308)</f>
        <v>-231.751328450218</v>
      </c>
      <c r="Z308" s="0" t="n">
        <f aca="false">Y308+180</f>
        <v>-51.7513284502183</v>
      </c>
      <c r="AC308" s="0" t="n">
        <v>1</v>
      </c>
      <c r="AD308" s="0" t="n">
        <f aca="false">Rcea1_u*Cc1ea_u*A308*2*Pi</f>
        <v>11.481641489808</v>
      </c>
      <c r="AE308" s="0" t="n">
        <f aca="false">-Rcea1_u*Cc1ea_u*Cc2ea_u*(A308*2*Pi)^2</f>
        <v>-0.00508596031251854</v>
      </c>
      <c r="AF308" s="0" t="n">
        <f aca="false">(Cc2ea_u+Cc1ea_u)*A308*2*Pi</f>
        <v>0.00398668107285</v>
      </c>
      <c r="AG308" s="0" t="n">
        <f aca="false">AC308*AE308/(AE308^2+AF308^2)+AD308*AF308/(AE308^2+AF308^2)</f>
        <v>974.307473853344</v>
      </c>
      <c r="AH308" s="0" t="n">
        <f aca="false">AD308*AE308/(AE308^2+AF308^2)-AC308*AF308/(AE308^2+AF308^2)</f>
        <v>-1493.79622683261</v>
      </c>
      <c r="AJ308" s="0" t="n">
        <f aca="false">_Rfb1</f>
        <v>20000</v>
      </c>
      <c r="AK308" s="0" t="n">
        <f aca="false">_Rfb1*Rcea2_u*Cc3ea_u*A308*2*Pi</f>
        <v>696458.41794144</v>
      </c>
      <c r="AL308" s="0" t="n">
        <v>1</v>
      </c>
      <c r="AM308" s="0" t="n">
        <f aca="false">(_Rfb1+Rcea2_u)*Cc3ea_u*A308*2*Pi</f>
        <v>13028.4501212971</v>
      </c>
      <c r="AN308" s="0" t="n">
        <f aca="false">AJ308*AL308/(AL308^2+AM308^2)+AK308*AM308/(AL308^2+AM308^2)</f>
        <v>53.4568534596369</v>
      </c>
      <c r="AO308" s="0" t="n">
        <f aca="false">AK308*AL308/(AL308^2+AM308^2)-AJ308*AM308/(AL308^2+AM308^2)</f>
        <v>-1.5309989262602</v>
      </c>
      <c r="AQ308" s="0" t="n">
        <f aca="false">Eadcg/(1+(Eadcg*A308/GBP)^2)</f>
        <v>0.0515392198606087</v>
      </c>
      <c r="AR308" s="0" t="n">
        <f aca="false">-(A308*Eadcg*Eadcg/GBP)/(1+(Eadcg*A308/GBP)^2)</f>
        <v>-12.7657493672742</v>
      </c>
      <c r="AT308" s="0" t="n">
        <f aca="false">-AR308*AH308+AG308*AQ308</f>
        <v>-19019.2131904181</v>
      </c>
      <c r="AU308" s="0" t="n">
        <f aca="false">AQ308*AH308+AG308*AR308</f>
        <v>-12514.7541100355</v>
      </c>
      <c r="AV308" s="0" t="n">
        <f aca="false">ATAN2(AT308,AU308)</f>
        <v>-2.5596099702685</v>
      </c>
      <c r="AW308" s="0" t="n">
        <f aca="false">AG308-AH308*AO308/_Rfb2+AG308*AN308/_Rfb2+AN308-AO308*AR308+AQ308*AN308</f>
        <v>1033.38348840807</v>
      </c>
      <c r="AX308" s="0" t="n">
        <f aca="false">AH308+AH308*AN308/_Rfb2+AG308*AO308/_Rfb2+AO308+AO308*AQ308+AN308*AR308</f>
        <v>-2214.42831483966</v>
      </c>
      <c r="AY308" s="0" t="n">
        <f aca="false">ATAN2(AW308,AX308)</f>
        <v>-1.13417524552507</v>
      </c>
      <c r="BA308" s="0" t="n">
        <f aca="false">SQRT(AT308^2+AU308^2)/SQRT(AW308^2+AX308^2)</f>
        <v>9.31680364612353</v>
      </c>
      <c r="BB308" s="0" t="n">
        <f aca="false">20*LOG(BA308)</f>
        <v>19.3853388544955</v>
      </c>
      <c r="BC308" s="0" t="n">
        <f aca="false">AV308-AY308</f>
        <v>-1.42543472474343</v>
      </c>
      <c r="BD308" s="0" t="n">
        <f aca="false">BC308*180/Pi-180</f>
        <v>-261.671393792514</v>
      </c>
      <c r="BF308" s="0" t="n">
        <f aca="false">20*LOG(BA308*J308*F308*C308)</f>
        <v>-2.95364373559016</v>
      </c>
      <c r="BG308" s="0" t="n">
        <f aca="false">(180/Pi)*(D308+H308+BC308)</f>
        <v>-258.177051469572</v>
      </c>
      <c r="BH308" s="0" t="n">
        <f aca="false">IF(BG308&gt;180,BG308-180,BG308+180)</f>
        <v>-78.1770514695721</v>
      </c>
      <c r="BI308" s="0" t="n">
        <f aca="false">IF(BH308&gt;180,BH308-360,BH308)</f>
        <v>-78.1770514695721</v>
      </c>
      <c r="BJ308" s="0" t="n">
        <f aca="false">SUM((BF309&lt;0)*(BF308&gt;0))*A308</f>
        <v>0</v>
      </c>
      <c r="BK308" s="0" t="n">
        <f aca="false">IF(BJ308&gt;0,BI308,0)</f>
        <v>0</v>
      </c>
      <c r="BM308" s="0" t="n">
        <f aca="false">20*LOG(J308*F308*C308)</f>
        <v>-22.3389825900857</v>
      </c>
      <c r="BN308" s="0" t="n">
        <f aca="false">(H308+D308)*180/Pi</f>
        <v>-176.505657677058</v>
      </c>
      <c r="BQ308" s="347" t="n">
        <f aca="false">20*LOG(BA308*7)</f>
        <v>36.2872996547806</v>
      </c>
      <c r="BR308" s="353"/>
      <c r="BS308" s="353"/>
      <c r="BT308" s="353" t="n">
        <v>95499.259</v>
      </c>
      <c r="BU308" s="353" t="n">
        <v>5.79461</v>
      </c>
      <c r="BV308" s="353" t="n">
        <v>-129.63</v>
      </c>
      <c r="BY308" s="353"/>
      <c r="BZ308" s="353"/>
      <c r="CA308" s="353"/>
      <c r="CC308" s="353"/>
    </row>
    <row r="309" customFormat="false" ht="12.75" hidden="false" customHeight="false" outlineLevel="0" collapsed="false">
      <c r="A309" s="0" t="n">
        <f aca="false">A308+5000</f>
        <v>475000</v>
      </c>
      <c r="B309" s="0" t="n">
        <f aca="false">A309/1000</f>
        <v>475</v>
      </c>
      <c r="C309" s="0" t="n">
        <f aca="false">SQRT((A309/Fesr)^2+1)</f>
        <v>1.00000445364906</v>
      </c>
      <c r="D309" s="0" t="n">
        <f aca="false">ATAN(A309/Fesr)</f>
        <v>0.0029845041562119</v>
      </c>
      <c r="F309" s="0" t="n">
        <f aca="false">(Ro/(Ro+Rdcr))/SQRT((A309/(Q*Fo))^2+(1-(A309^2/Fo^2))^2)</f>
        <v>0.00830907360062411</v>
      </c>
      <c r="G309" s="0" t="n">
        <f aca="false">-ATAN(A309*Fo/(Q*(Fo^2-A309^2)))</f>
        <v>0.0574148691771627</v>
      </c>
      <c r="H309" s="0" t="n">
        <f aca="false">IF(G309&gt;0,G309-Pi,G309)</f>
        <v>-3.08417778082284</v>
      </c>
      <c r="J309" s="0" t="n">
        <f aca="false">Vin/Vramp</f>
        <v>9</v>
      </c>
      <c r="M309" s="0" t="n">
        <f aca="false">1/(2*Pi*_Rfb1*(Cc1ea_u+Cc2ea_u)*A309)</f>
        <v>0.012409742165595</v>
      </c>
      <c r="N309" s="0" t="n">
        <f aca="false">-Pi/2</f>
        <v>-1.570796325</v>
      </c>
      <c r="O309" s="0" t="n">
        <f aca="false">SQRT(1+(A309/Fz1_u)^2)</f>
        <v>11.6467962864368</v>
      </c>
      <c r="P309" s="0" t="n">
        <f aca="false">ATAN2(Fz1_u,A309)</f>
        <v>1.48482995965999</v>
      </c>
      <c r="Q309" s="0" t="n">
        <f aca="false">SQRT(1+(A309/Fz2_u)^2)</f>
        <v>13167.0506924759</v>
      </c>
      <c r="R309" s="0" t="n">
        <f aca="false">ATAN2(Fz2_u,A309)</f>
        <v>1.57072037964285</v>
      </c>
      <c r="S309" s="0" t="n">
        <f aca="false">1/SQRT(1+(A309/Fp1_u)^2)</f>
        <v>0.0284029730908465</v>
      </c>
      <c r="T309" s="0" t="n">
        <f aca="false">-ATAN2(Fp1_u,A309)</f>
        <v>-1.54238953340056</v>
      </c>
      <c r="U309" s="0" t="n">
        <f aca="false">1/SQRT(1+(A309/Fp2_u)^2)</f>
        <v>0.612872210139208</v>
      </c>
      <c r="V309" s="0" t="n">
        <f aca="false">-ATAN2(Fp2_u,A309)</f>
        <v>-0.911105965847891</v>
      </c>
      <c r="X309" s="0" t="n">
        <f aca="false">20*LOG(C309*J309*O309*Q309*F309*M309*S309*U309)</f>
        <v>7.8797705287131</v>
      </c>
      <c r="Y309" s="0" t="n">
        <f aca="false">(180/Pi)*(D309+H309+N309+P309+R309+T309+V309)</f>
        <v>-232.044169408852</v>
      </c>
      <c r="Z309" s="0" t="n">
        <f aca="false">Y309+180</f>
        <v>-52.0441694088518</v>
      </c>
      <c r="AC309" s="0" t="n">
        <v>1</v>
      </c>
      <c r="AD309" s="0" t="n">
        <f aca="false">Rcea1_u*Cc1ea_u*A309*2*Pi</f>
        <v>11.60378661204</v>
      </c>
      <c r="AE309" s="0" t="n">
        <f aca="false">-Rcea1_u*Cc1ea_u*Cc2ea_u*(A309*2*Pi)^2</f>
        <v>-0.00519474782938884</v>
      </c>
      <c r="AF309" s="0" t="n">
        <f aca="false">(Cc2ea_u+Cc1ea_u)*A309*2*Pi</f>
        <v>0.004029092573625</v>
      </c>
      <c r="AG309" s="0" t="n">
        <f aca="false">AC309*AE309/(AE309^2+AF309^2)+AD309*AF309/(AE309^2+AF309^2)</f>
        <v>961.567605659951</v>
      </c>
      <c r="AH309" s="0" t="n">
        <f aca="false">AD309*AE309/(AE309^2+AF309^2)-AC309*AF309/(AE309^2+AF309^2)</f>
        <v>-1487.95321099282</v>
      </c>
      <c r="AJ309" s="0" t="n">
        <f aca="false">_Rfb1</f>
        <v>20000</v>
      </c>
      <c r="AK309" s="0" t="n">
        <f aca="false">_Rfb1*Rcea2_u*Cc3ea_u*A309*2*Pi</f>
        <v>703867.5500472</v>
      </c>
      <c r="AL309" s="0" t="n">
        <v>1</v>
      </c>
      <c r="AM309" s="0" t="n">
        <f aca="false">(_Rfb1+Rcea2_u)*Cc3ea_u*A309*2*Pi</f>
        <v>13167.0506545024</v>
      </c>
      <c r="AN309" s="0" t="n">
        <f aca="false">AJ309*AL309/(AL309^2+AM309^2)+AK309*AM309/(AL309^2+AM309^2)</f>
        <v>53.4568509987213</v>
      </c>
      <c r="AO309" s="0" t="n">
        <f aca="false">AK309*AL309/(AL309^2+AM309^2)-AJ309*AM309/(AL309^2+AM309^2)</f>
        <v>-1.51488314827594</v>
      </c>
      <c r="AQ309" s="0" t="n">
        <f aca="false">Eadcg/(1+(Eadcg*A309/GBP)^2)</f>
        <v>0.0504599115940195</v>
      </c>
      <c r="AR309" s="0" t="n">
        <f aca="false">-(A309*Eadcg*Eadcg/GBP)/(1+(Eadcg*A309/GBP)^2)</f>
        <v>-12.6313773697729</v>
      </c>
      <c r="AT309" s="0" t="n">
        <f aca="false">-AR309*AH309+AG309*AQ309</f>
        <v>-18746.3779002424</v>
      </c>
      <c r="AU309" s="0" t="n">
        <f aca="false">AQ309*AH309+AG309*AR309</f>
        <v>-12221.0052811226</v>
      </c>
      <c r="AV309" s="0" t="n">
        <f aca="false">ATAN2(AT309,AU309)</f>
        <v>-2.56387387427662</v>
      </c>
      <c r="AW309" s="0" t="n">
        <f aca="false">AG309-AH309*AO309/_Rfb2+AG309*AN309/_Rfb2+AN309-AO309*AR309+AQ309*AN309</f>
        <v>1020.70355935647</v>
      </c>
      <c r="AX309" s="0" t="n">
        <f aca="false">AH309+AH309*AN309/_Rfb2+AG309*AO309/_Rfb2+AO309+AO309*AQ309+AN309*AR309</f>
        <v>-2201.22727302009</v>
      </c>
      <c r="AY309" s="0" t="n">
        <f aca="false">ATAN2(AW309,AX309)</f>
        <v>-1.13661013281488</v>
      </c>
      <c r="BA309" s="0" t="n">
        <f aca="false">SQRT(AT309^2+AU309^2)/SQRT(AW309^2+AX309^2)</f>
        <v>9.22290146279413</v>
      </c>
      <c r="BB309" s="0" t="n">
        <f aca="false">20*LOG(BA309)</f>
        <v>19.2973513734638</v>
      </c>
      <c r="BC309" s="0" t="n">
        <f aca="false">AV309-AY309</f>
        <v>-1.42726374146174</v>
      </c>
      <c r="BD309" s="0" t="n">
        <f aca="false">BC309*180/Pi-180</f>
        <v>-261.776188731252</v>
      </c>
      <c r="BF309" s="0" t="n">
        <f aca="false">20*LOG(BA309*J309*F309*C309)</f>
        <v>-3.22670763580551</v>
      </c>
      <c r="BG309" s="0" t="n">
        <f aca="false">(180/Pi)*(D309+H309+BC309)</f>
        <v>-258.31555955006</v>
      </c>
      <c r="BH309" s="0" t="n">
        <f aca="false">IF(BG309&gt;180,BG309-180,BG309+180)</f>
        <v>-78.31555955006</v>
      </c>
      <c r="BI309" s="0" t="n">
        <f aca="false">IF(BH309&gt;180,BH309-360,BH309)</f>
        <v>-78.31555955006</v>
      </c>
      <c r="BJ309" s="0" t="n">
        <f aca="false">SUM((BF310&lt;0)*(BF309&gt;0))*A309</f>
        <v>0</v>
      </c>
      <c r="BK309" s="0" t="n">
        <f aca="false">IF(BJ309&gt;0,BI309,0)</f>
        <v>0</v>
      </c>
      <c r="BM309" s="0" t="n">
        <f aca="false">20*LOG(J309*F309*C309)</f>
        <v>-22.5240590092693</v>
      </c>
      <c r="BN309" s="0" t="n">
        <f aca="false">(H309+D309)*180/Pi</f>
        <v>-176.539370818808</v>
      </c>
      <c r="BQ309" s="347" t="n">
        <f aca="false">20*LOG(BA309*7)</f>
        <v>36.1993121737489</v>
      </c>
      <c r="BR309" s="353"/>
      <c r="BS309" s="353"/>
      <c r="BT309" s="353" t="n">
        <v>97723.722</v>
      </c>
      <c r="BU309" s="353" t="n">
        <v>5.98558</v>
      </c>
      <c r="BV309" s="353" t="n">
        <v>-129.621</v>
      </c>
      <c r="BY309" s="353"/>
      <c r="BZ309" s="353"/>
      <c r="CA309" s="353"/>
      <c r="CC309" s="353"/>
    </row>
    <row r="310" customFormat="false" ht="12.75" hidden="false" customHeight="false" outlineLevel="0" collapsed="false">
      <c r="A310" s="0" t="n">
        <f aca="false">A309+5000</f>
        <v>480000</v>
      </c>
      <c r="B310" s="0" t="n">
        <f aca="false">A310/1000</f>
        <v>480</v>
      </c>
      <c r="C310" s="0" t="n">
        <f aca="false">SQRT((A310/Fesr)^2+1)</f>
        <v>1.00000454790336</v>
      </c>
      <c r="D310" s="0" t="n">
        <f aca="false">ATAN(A310/Fesr)</f>
        <v>0.00301591979992687</v>
      </c>
      <c r="F310" s="0" t="n">
        <f aca="false">(Ro/(Ro+Rdcr))/SQRT((A310/(Q*Fo))^2+(1-(A310^2/Fo^2))^2)</f>
        <v>0.00813573763166326</v>
      </c>
      <c r="G310" s="0" t="n">
        <f aca="false">-ATAN(A310*Fo/(Q*(Fo^2-A310^2)))</f>
        <v>0.0568082380497532</v>
      </c>
      <c r="H310" s="0" t="n">
        <f aca="false">IF(G310&gt;0,G310-Pi,G310)</f>
        <v>-3.08478441195025</v>
      </c>
      <c r="J310" s="0" t="n">
        <f aca="false">Vin/Vramp</f>
        <v>9</v>
      </c>
      <c r="M310" s="0" t="n">
        <f aca="false">1/(2*Pi*_Rfb1*(Cc1ea_u+Cc2ea_u)*A310)</f>
        <v>0.0122804740180368</v>
      </c>
      <c r="N310" s="0" t="n">
        <f aca="false">-Pi/2</f>
        <v>-1.570796325</v>
      </c>
      <c r="O310" s="0" t="n">
        <f aca="false">SQRT(1+(A310/Fz1_u)^2)</f>
        <v>11.7684950200443</v>
      </c>
      <c r="P310" s="0" t="n">
        <f aca="false">ATAN2(Fz1_u,A310)</f>
        <v>1.48572110548898</v>
      </c>
      <c r="Q310" s="0" t="n">
        <f aca="false">SQRT(1+(A310/Fz2_u)^2)</f>
        <v>13305.6512252857</v>
      </c>
      <c r="R310" s="0" t="n">
        <f aca="false">ATAN2(Fz2_u,A310)</f>
        <v>1.57072117075901</v>
      </c>
      <c r="S310" s="0" t="n">
        <f aca="false">1/SQRT(1+(A310/Fp1_u)^2)</f>
        <v>0.0281073437565799</v>
      </c>
      <c r="T310" s="0" t="n">
        <f aca="false">-ATAN2(Fp1_u,A310)</f>
        <v>-1.54268528081504</v>
      </c>
      <c r="U310" s="0" t="n">
        <f aca="false">1/SQRT(1+(A310/Fp2_u)^2)</f>
        <v>0.608862600329056</v>
      </c>
      <c r="V310" s="0" t="n">
        <f aca="false">-ATAN2(Fp2_u,A310)</f>
        <v>-0.916170327398451</v>
      </c>
      <c r="X310" s="0" t="n">
        <f aca="false">20*LOG(C310*J310*O310*Q310*F310*M310*S310*U310)</f>
        <v>7.63905432640359</v>
      </c>
      <c r="Y310" s="0" t="n">
        <f aca="false">(180/Pi)*(D310+H310+N310+P310+R310+T310+V310)</f>
        <v>-232.333134227586</v>
      </c>
      <c r="Z310" s="0" t="n">
        <f aca="false">Y310+180</f>
        <v>-52.3331342275863</v>
      </c>
      <c r="AC310" s="0" t="n">
        <v>1</v>
      </c>
      <c r="AD310" s="0" t="n">
        <f aca="false">Rcea1_u*Cc1ea_u*A310*2*Pi</f>
        <v>11.725931734272</v>
      </c>
      <c r="AE310" s="0" t="n">
        <f aca="false">-Rcea1_u*Cc1ea_u*Cc2ea_u*(A310*2*Pi)^2</f>
        <v>-0.00530468653691386</v>
      </c>
      <c r="AF310" s="0" t="n">
        <f aca="false">(Cc2ea_u+Cc1ea_u)*A310*2*Pi</f>
        <v>0.0040715040744</v>
      </c>
      <c r="AG310" s="0" t="n">
        <f aca="false">AC310*AE310/(AE310^2+AF310^2)+AD310*AF310/(AE310^2+AF310^2)</f>
        <v>949.026985163417</v>
      </c>
      <c r="AH310" s="0" t="n">
        <f aca="false">AD310*AE310/(AE310^2+AF310^2)-AC310*AF310/(AE310^2+AF310^2)</f>
        <v>-1482.07899613942</v>
      </c>
      <c r="AJ310" s="0" t="n">
        <f aca="false">_Rfb1</f>
        <v>20000</v>
      </c>
      <c r="AK310" s="0" t="n">
        <f aca="false">_Rfb1*Rcea2_u*Cc3ea_u*A310*2*Pi</f>
        <v>711276.68215296</v>
      </c>
      <c r="AL310" s="0" t="n">
        <v>1</v>
      </c>
      <c r="AM310" s="0" t="n">
        <f aca="false">(_Rfb1+Rcea2_u)*Cc3ea_u*A310*2*Pi</f>
        <v>13305.6511877076</v>
      </c>
      <c r="AN310" s="0" t="n">
        <f aca="false">AJ310*AL310/(AL310^2+AM310^2)+AK310*AM310/(AL310^2+AM310^2)</f>
        <v>53.456848614308</v>
      </c>
      <c r="AO310" s="0" t="n">
        <f aca="false">AK310*AL310/(AL310^2+AM310^2)-AJ310*AM310/(AL310^2+AM310^2)</f>
        <v>-1.4991031156606</v>
      </c>
      <c r="AQ310" s="0" t="n">
        <f aca="false">Eadcg/(1+(Eadcg*A310/GBP)^2)</f>
        <v>0.0494141550294508</v>
      </c>
      <c r="AR310" s="0" t="n">
        <f aca="false">-(A310*Eadcg*Eadcg/GBP)/(1+(Eadcg*A310/GBP)^2)</f>
        <v>-12.4998046562499</v>
      </c>
      <c r="AT310" s="0" t="n">
        <f aca="false">-AR310*AH310+AG310*AQ310</f>
        <v>-18478.8025703017</v>
      </c>
      <c r="AU310" s="0" t="n">
        <f aca="false">AQ310*AH310+AG310*AR310</f>
        <v>-11935.8876093336</v>
      </c>
      <c r="AV310" s="0" t="n">
        <f aca="false">ATAN2(AT310,AU310)</f>
        <v>-2.56808870191134</v>
      </c>
      <c r="AW310" s="0" t="n">
        <f aca="false">AG310-AH310*AO310/_Rfb2+AG310*AN310/_Rfb2+AN310-AO310*AR310+AQ310*AN310</f>
        <v>1008.21645386341</v>
      </c>
      <c r="AX310" s="0" t="n">
        <f aca="false">AH310+AH310*AN310/_Rfb2+AG310*AO310/_Rfb2+AO310+AO310*AQ310+AN310*AR310</f>
        <v>-2188.14482421504</v>
      </c>
      <c r="AY310" s="0" t="n">
        <f aca="false">ATAN2(AW310,AX310)</f>
        <v>-1.13902791710508</v>
      </c>
      <c r="BA310" s="0" t="n">
        <f aca="false">SQRT(AT310^2+AU310^2)/SQRT(AW310^2+AX310^2)</f>
        <v>9.13083258439695</v>
      </c>
      <c r="BB310" s="0" t="n">
        <f aca="false">20*LOG(BA310)</f>
        <v>19.2102075995871</v>
      </c>
      <c r="BC310" s="0" t="n">
        <f aca="false">AV310-AY310</f>
        <v>-1.42906078480627</v>
      </c>
      <c r="BD310" s="0" t="n">
        <f aca="false">BC310*180/Pi-180</f>
        <v>-261.879151730613</v>
      </c>
      <c r="BF310" s="0" t="n">
        <f aca="false">20*LOG(BA310*J310*F310*C310)</f>
        <v>-3.49696401643598</v>
      </c>
      <c r="BG310" s="0" t="n">
        <f aca="false">(180/Pi)*(D310+H310+BC310)</f>
        <v>-258.451479968985</v>
      </c>
      <c r="BH310" s="0" t="n">
        <f aca="false">IF(BG310&gt;180,BG310-180,BG310+180)</f>
        <v>-78.451479968985</v>
      </c>
      <c r="BI310" s="0" t="n">
        <f aca="false">IF(BH310&gt;180,BH310-360,BH310)</f>
        <v>-78.451479968985</v>
      </c>
      <c r="BJ310" s="0" t="n">
        <f aca="false">SUM((BF311&lt;0)*(BF310&gt;0))*A310</f>
        <v>0</v>
      </c>
      <c r="BK310" s="0" t="n">
        <f aca="false">IF(BJ310&gt;0,BI310,0)</f>
        <v>0</v>
      </c>
      <c r="BM310" s="0" t="n">
        <f aca="false">20*LOG(J310*F310*C310)</f>
        <v>-22.7071716160231</v>
      </c>
      <c r="BN310" s="0" t="n">
        <f aca="false">(H310+D310)*180/Pi</f>
        <v>-176.572328238372</v>
      </c>
      <c r="BQ310" s="347" t="n">
        <f aca="false">20*LOG(BA310*7)</f>
        <v>36.1121683998723</v>
      </c>
      <c r="BR310" s="353"/>
      <c r="BS310" s="353"/>
      <c r="BT310" s="353" t="n">
        <v>100000</v>
      </c>
      <c r="BU310" s="353" t="n">
        <v>6.18115</v>
      </c>
      <c r="BV310" s="353" t="n">
        <v>-129.59</v>
      </c>
      <c r="BY310" s="353"/>
      <c r="BZ310" s="353"/>
      <c r="CA310" s="353"/>
      <c r="CC310" s="353"/>
    </row>
    <row r="311" customFormat="false" ht="12.75" hidden="false" customHeight="false" outlineLevel="0" collapsed="false">
      <c r="A311" s="0" t="n">
        <f aca="false">A310+5000</f>
        <v>485000</v>
      </c>
      <c r="B311" s="0" t="n">
        <f aca="false">A311/1000</f>
        <v>485</v>
      </c>
      <c r="C311" s="0" t="n">
        <f aca="false">SQRT((A311/Fesr)^2+1)</f>
        <v>1.0000046431446</v>
      </c>
      <c r="D311" s="0" t="n">
        <f aca="false">ATAN(A311/Fesr)</f>
        <v>0.00304733543768874</v>
      </c>
      <c r="F311" s="0" t="n">
        <f aca="false">(Ro/(Ro+Rdcr))/SQRT((A311/(Q*Fo))^2+(1-(A311^2/Fo^2))^2)</f>
        <v>0.00796778081950719</v>
      </c>
      <c r="G311" s="0" t="n">
        <f aca="false">-ATAN(A311*Fo/(Q*(Fo^2-A311^2)))</f>
        <v>0.0562143774814166</v>
      </c>
      <c r="H311" s="0" t="n">
        <f aca="false">IF(G311&gt;0,G311-Pi,G311)</f>
        <v>-3.08537827251858</v>
      </c>
      <c r="J311" s="0" t="n">
        <f aca="false">Vin/Vramp</f>
        <v>9</v>
      </c>
      <c r="M311" s="0" t="n">
        <f aca="false">1/(2*Pi*_Rfb1*(Cc1ea_u+Cc2ea_u)*A311)</f>
        <v>0.0121538711931085</v>
      </c>
      <c r="N311" s="0" t="n">
        <f aca="false">-Pi/2</f>
        <v>-1.570796325</v>
      </c>
      <c r="O311" s="0" t="n">
        <f aca="false">SQRT(1+(A311/Fz1_u)^2)</f>
        <v>11.8902029081772</v>
      </c>
      <c r="P311" s="0" t="n">
        <f aca="false">ATAN2(Fz1_u,A311)</f>
        <v>1.48659400849629</v>
      </c>
      <c r="Q311" s="0" t="n">
        <f aca="false">SQRT(1+(A311/Fz2_u)^2)</f>
        <v>13444.2517581036</v>
      </c>
      <c r="R311" s="0" t="n">
        <f aca="false">ATAN2(Fz2_u,A311)</f>
        <v>1.5707219455635</v>
      </c>
      <c r="S311" s="0" t="n">
        <f aca="false">1/SQRT(1+(A311/Fp1_u)^2)</f>
        <v>0.027817802723051</v>
      </c>
      <c r="T311" s="0" t="n">
        <f aca="false">-ATAN2(Fp1_u,A311)</f>
        <v>-1.54297493511288</v>
      </c>
      <c r="U311" s="0" t="n">
        <f aca="false">1/SQRT(1+(A311/Fp2_u)^2)</f>
        <v>0.604889901218582</v>
      </c>
      <c r="V311" s="0" t="n">
        <f aca="false">-ATAN2(Fp2_u,A311)</f>
        <v>-0.921168727992387</v>
      </c>
      <c r="X311" s="0" t="n">
        <f aca="false">20*LOG(C311*J311*O311*Q311*F311*M311*S311*U311)</f>
        <v>7.40043186917638</v>
      </c>
      <c r="Y311" s="0" t="n">
        <f aca="false">(180/Pi)*(D311+H311+N311+P311+R311+T311+V311)</f>
        <v>-232.618285124504</v>
      </c>
      <c r="Z311" s="0" t="n">
        <f aca="false">Y311+180</f>
        <v>-52.6182851245041</v>
      </c>
      <c r="AC311" s="0" t="n">
        <v>1</v>
      </c>
      <c r="AD311" s="0" t="n">
        <f aca="false">Rcea1_u*Cc1ea_u*A311*2*Pi</f>
        <v>11.848076856504</v>
      </c>
      <c r="AE311" s="0" t="n">
        <f aca="false">-Rcea1_u*Cc1ea_u*Cc2ea_u*(A311*2*Pi)^2</f>
        <v>-0.00541577643509358</v>
      </c>
      <c r="AF311" s="0" t="n">
        <f aca="false">(Cc2ea_u+Cc1ea_u)*A311*2*Pi</f>
        <v>0.004113915575175</v>
      </c>
      <c r="AG311" s="0" t="n">
        <f aca="false">AC311*AE311/(AE311^2+AF311^2)+AD311*AF311/(AE311^2+AF311^2)</f>
        <v>936.68298904634</v>
      </c>
      <c r="AH311" s="0" t="n">
        <f aca="false">AD311*AE311/(AE311^2+AF311^2)-AC311*AF311/(AE311^2+AF311^2)</f>
        <v>-1476.17653990672</v>
      </c>
      <c r="AJ311" s="0" t="n">
        <f aca="false">_Rfb1</f>
        <v>20000</v>
      </c>
      <c r="AK311" s="0" t="n">
        <f aca="false">_Rfb1*Rcea2_u*Cc3ea_u*A311*2*Pi</f>
        <v>718685.81425872</v>
      </c>
      <c r="AL311" s="0" t="n">
        <v>1</v>
      </c>
      <c r="AM311" s="0" t="n">
        <f aca="false">(_Rfb1+Rcea2_u)*Cc3ea_u*A311*2*Pi</f>
        <v>13444.2517209129</v>
      </c>
      <c r="AN311" s="0" t="n">
        <f aca="false">AJ311*AL311/(AL311^2+AM311^2)+AK311*AM311/(AL311^2+AM311^2)</f>
        <v>53.4568463032587</v>
      </c>
      <c r="AO311" s="0" t="n">
        <f aca="false">AK311*AL311/(AL311^2+AM311^2)-AJ311*AM311/(AL311^2+AM311^2)</f>
        <v>-1.48364844453703</v>
      </c>
      <c r="AQ311" s="0" t="n">
        <f aca="false">Eadcg/(1+(Eadcg*A311/GBP)^2)</f>
        <v>0.048400573783904</v>
      </c>
      <c r="AR311" s="0" t="n">
        <f aca="false">-(A311*Eadcg*Eadcg/GBP)/(1+(Eadcg*A311/GBP)^2)</f>
        <v>-12.3709446562969</v>
      </c>
      <c r="AT311" s="0" t="n">
        <f aca="false">-AR311*AH311+AG311*AQ311</f>
        <v>-18216.3622839865</v>
      </c>
      <c r="AU311" s="0" t="n">
        <f aca="false">AQ311*AH311+AG311*AR311</f>
        <v>-11659.1012095249</v>
      </c>
      <c r="AV311" s="0" t="n">
        <f aca="false">ATAN2(AT311,AU311)</f>
        <v>-2.57225495344681</v>
      </c>
      <c r="AW311" s="0" t="n">
        <f aca="false">AG311-AH311*AO311/_Rfb2+AG311*AN311/_Rfb2+AN311-AO311*AR311+AQ311*AN311</f>
        <v>995.91994078545</v>
      </c>
      <c r="AX311" s="0" t="n">
        <f aca="false">AH311+AH311*AN311/_Rfb2+AG311*AO311/_Rfb2+AO311+AO311*AQ311+AN311*AR311</f>
        <v>-2175.17933770655</v>
      </c>
      <c r="AY311" s="0" t="n">
        <f aca="false">ATAN2(AW311,AX311)</f>
        <v>-1.14142819528967</v>
      </c>
      <c r="BA311" s="0" t="n">
        <f aca="false">SQRT(AT311^2+AU311^2)/SQRT(AW311^2+AX311^2)</f>
        <v>9.04054497840527</v>
      </c>
      <c r="BB311" s="0" t="n">
        <f aca="false">20*LOG(BA311)</f>
        <v>19.1238922245078</v>
      </c>
      <c r="BC311" s="0" t="n">
        <f aca="false">AV311-AY311</f>
        <v>-1.43082675815714</v>
      </c>
      <c r="BD311" s="0" t="n">
        <f aca="false">BC311*180/Pi-180</f>
        <v>-261.980334550466</v>
      </c>
      <c r="BF311" s="0" t="n">
        <f aca="false">20*LOG(BA311*J311*F311*C311)</f>
        <v>-3.76446967983914</v>
      </c>
      <c r="BG311" s="0" t="n">
        <f aca="false">(180/Pi)*(D311+H311+BC311)</f>
        <v>-258.584888509606</v>
      </c>
      <c r="BH311" s="0" t="n">
        <f aca="false">IF(BG311&gt;180,BG311-180,BG311+180)</f>
        <v>-78.5848885096056</v>
      </c>
      <c r="BI311" s="0" t="n">
        <f aca="false">IF(BH311&gt;180,BH311-360,BH311)</f>
        <v>-78.5848885096056</v>
      </c>
      <c r="BJ311" s="0" t="n">
        <f aca="false">SUM((BF312&lt;0)*(BF311&gt;0))*A311</f>
        <v>0</v>
      </c>
      <c r="BK311" s="0" t="n">
        <f aca="false">IF(BJ311&gt;0,BI311,0)</f>
        <v>0</v>
      </c>
      <c r="BM311" s="0" t="n">
        <f aca="false">20*LOG(J311*F311*C311)</f>
        <v>-22.888361904347</v>
      </c>
      <c r="BN311" s="0" t="n">
        <f aca="false">(H311+D311)*180/Pi</f>
        <v>-176.60455395914</v>
      </c>
      <c r="BQ311" s="347" t="n">
        <f aca="false">20*LOG(BA311*7)</f>
        <v>36.025853024793</v>
      </c>
      <c r="BR311" s="353"/>
      <c r="BS311" s="353"/>
      <c r="BT311" s="353" t="n">
        <v>102329.299</v>
      </c>
      <c r="BU311" s="353" t="n">
        <v>6.3763</v>
      </c>
      <c r="BV311" s="353" t="n">
        <v>-129.611</v>
      </c>
      <c r="BY311" s="353"/>
      <c r="BZ311" s="353"/>
      <c r="CA311" s="353"/>
      <c r="CC311" s="353"/>
    </row>
    <row r="312" customFormat="false" ht="12.75" hidden="false" customHeight="false" outlineLevel="0" collapsed="false">
      <c r="A312" s="0" t="n">
        <f aca="false">A311+5000</f>
        <v>490000</v>
      </c>
      <c r="B312" s="0" t="n">
        <f aca="false">A312/1000</f>
        <v>490</v>
      </c>
      <c r="C312" s="0" t="n">
        <f aca="false">SQRT((A312/Fesr)^2+1)</f>
        <v>1.00000473937279</v>
      </c>
      <c r="D312" s="0" t="n">
        <f aca="false">ATAN(A312/Fesr)</f>
        <v>0.0030787510694355</v>
      </c>
      <c r="F312" s="0" t="n">
        <f aca="false">(Ro/(Ro+Rdcr))/SQRT((A312/(Q*Fo))^2+(1-(A312^2/Fo^2))^2)</f>
        <v>0.00780498242225744</v>
      </c>
      <c r="G312" s="0" t="n">
        <f aca="false">-ATAN(A312*Fo/(Q*(Fo^2-A312^2)))</f>
        <v>0.0556328858757887</v>
      </c>
      <c r="H312" s="0" t="n">
        <f aca="false">IF(G312&gt;0,G312-Pi,G312)</f>
        <v>-3.08595976412421</v>
      </c>
      <c r="J312" s="0" t="n">
        <f aca="false">Vin/Vramp</f>
        <v>9</v>
      </c>
      <c r="M312" s="0" t="n">
        <f aca="false">1/(2*Pi*_Rfb1*(Cc1ea_u+Cc2ea_u)*A312)</f>
        <v>0.0120298520993013</v>
      </c>
      <c r="N312" s="0" t="n">
        <f aca="false">-Pi/2</f>
        <v>-1.570796325</v>
      </c>
      <c r="O312" s="0" t="n">
        <f aca="false">SQRT(1+(A312/Fz1_u)^2)</f>
        <v>12.0119196725675</v>
      </c>
      <c r="P312" s="0" t="n">
        <f aca="false">ATAN2(Fz1_u,A312)</f>
        <v>1.48744922189449</v>
      </c>
      <c r="Q312" s="0" t="n">
        <f aca="false">SQRT(1+(A312/Fz2_u)^2)</f>
        <v>13582.8522909293</v>
      </c>
      <c r="R312" s="0" t="n">
        <f aca="false">ATAN2(Fz2_u,A312)</f>
        <v>1.57072270455566</v>
      </c>
      <c r="S312" s="0" t="n">
        <f aca="false">1/SQRT(1+(A312/Fp1_u)^2)</f>
        <v>0.0275341639007894</v>
      </c>
      <c r="T312" s="0" t="n">
        <f aca="false">-ATAN2(Fp1_u,A312)</f>
        <v>-1.54325868262654</v>
      </c>
      <c r="U312" s="0" t="n">
        <f aca="false">1/SQRT(1+(A312/Fp2_u)^2)</f>
        <v>0.600953984776617</v>
      </c>
      <c r="V312" s="0" t="n">
        <f aca="false">-ATAN2(Fp2_u,A312)</f>
        <v>-0.926102203016121</v>
      </c>
      <c r="X312" s="0" t="n">
        <f aca="false">20*LOG(C312*J312*O312*Q312*F312*M312*S312*U312)</f>
        <v>7.16386589339052</v>
      </c>
      <c r="Y312" s="0" t="n">
        <f aca="false">(180/Pi)*(D312+H312+N312+P312+R312+T312+V312)</f>
        <v>-232.899683383366</v>
      </c>
      <c r="Z312" s="0" t="n">
        <f aca="false">Y312+180</f>
        <v>-52.8996833833665</v>
      </c>
      <c r="AC312" s="0" t="n">
        <v>1</v>
      </c>
      <c r="AD312" s="0" t="n">
        <f aca="false">Rcea1_u*Cc1ea_u*A312*2*Pi</f>
        <v>11.970221978736</v>
      </c>
      <c r="AE312" s="0" t="n">
        <f aca="false">-Rcea1_u*Cc1ea_u*Cc2ea_u*(A312*2*Pi)^2</f>
        <v>-0.00552801752392803</v>
      </c>
      <c r="AF312" s="0" t="n">
        <f aca="false">(Cc2ea_u+Cc1ea_u)*A312*2*Pi</f>
        <v>0.00415632707595</v>
      </c>
      <c r="AG312" s="0" t="n">
        <f aca="false">AC312*AE312/(AE312^2+AF312^2)+AD312*AF312/(AE312^2+AF312^2)</f>
        <v>924.532971056369</v>
      </c>
      <c r="AH312" s="0" t="n">
        <f aca="false">AD312*AE312/(AE312^2+AF312^2)-AC312*AF312/(AE312^2+AF312^2)</f>
        <v>-1470.24869645325</v>
      </c>
      <c r="AJ312" s="0" t="n">
        <f aca="false">_Rfb1</f>
        <v>20000</v>
      </c>
      <c r="AK312" s="0" t="n">
        <f aca="false">_Rfb1*Rcea2_u*Cc3ea_u*A312*2*Pi</f>
        <v>726094.94636448</v>
      </c>
      <c r="AL312" s="0" t="n">
        <v>1</v>
      </c>
      <c r="AM312" s="0" t="n">
        <f aca="false">(_Rfb1+Rcea2_u)*Cc3ea_u*A312*2*Pi</f>
        <v>13582.8522541182</v>
      </c>
      <c r="AN312" s="0" t="n">
        <f aca="false">AJ312*AL312/(AL312^2+AM312^2)+AK312*AM312/(AL312^2+AM312^2)</f>
        <v>53.4568440625943</v>
      </c>
      <c r="AO312" s="0" t="n">
        <f aca="false">AK312*AL312/(AL312^2+AM312^2)-AJ312*AM312/(AL312^2+AM312^2)</f>
        <v>-1.46850917485978</v>
      </c>
      <c r="AQ312" s="0" t="n">
        <f aca="false">Eadcg/(1+(Eadcg*A312/GBP)^2)</f>
        <v>0.0474178613357142</v>
      </c>
      <c r="AR312" s="0" t="n">
        <f aca="false">-(A312*Eadcg*Eadcg/GBP)/(1+(Eadcg*A312/GBP)^2)</f>
        <v>-12.2447143327215</v>
      </c>
      <c r="AT312" s="0" t="n">
        <f aca="false">-AR312*AH312+AG312*AQ312</f>
        <v>-17958.9359099044</v>
      </c>
      <c r="AU312" s="0" t="n">
        <f aca="false">AQ312*AH312+AG312*AR312</f>
        <v>-11390.3581705849</v>
      </c>
      <c r="AV312" s="0" t="n">
        <f aca="false">ATAN2(AT312,AU312)</f>
        <v>-2.57637313732053</v>
      </c>
      <c r="AW312" s="0" t="n">
        <f aca="false">AG312-AH312*AO312/_Rfb2+AG312*AN312/_Rfb2+AN312-AO312*AR312+AQ312*AN312</f>
        <v>983.811742521019</v>
      </c>
      <c r="AX312" s="0" t="n">
        <f aca="false">AH312+AH312*AN312/_Rfb2+AG312*AO312/_Rfb2+AO312+AO312*AQ312+AN312*AR312</f>
        <v>-2162.32926707034</v>
      </c>
      <c r="AY312" s="0" t="n">
        <f aca="false">ATAN2(AW312,AX312)</f>
        <v>-1.14381060526392</v>
      </c>
      <c r="BA312" s="0" t="n">
        <f aca="false">SQRT(AT312^2+AU312^2)/SQRT(AW312^2+AX312^2)</f>
        <v>8.95198851908624</v>
      </c>
      <c r="BB312" s="0" t="n">
        <f aca="false">20*LOG(BA312)</f>
        <v>19.0383903307707</v>
      </c>
      <c r="BC312" s="0" t="n">
        <f aca="false">AV312-AY312</f>
        <v>-1.43256253205661</v>
      </c>
      <c r="BD312" s="0" t="n">
        <f aca="false">BC312*180/Pi-180</f>
        <v>-262.079787069208</v>
      </c>
      <c r="BF312" s="0" t="n">
        <f aca="false">20*LOG(BA312*J312*F312*C312)</f>
        <v>-4.02927972853024</v>
      </c>
      <c r="BG312" s="0" t="n">
        <f aca="false">(180/Pi)*(D312+H312+BC312)</f>
        <v>-258.715858060099</v>
      </c>
      <c r="BH312" s="0" t="n">
        <f aca="false">IF(BG312&gt;180,BG312-180,BG312+180)</f>
        <v>-78.7158580600989</v>
      </c>
      <c r="BI312" s="0" t="n">
        <f aca="false">IF(BH312&gt;180,BH312-360,BH312)</f>
        <v>-78.7158580600989</v>
      </c>
      <c r="BJ312" s="0" t="n">
        <f aca="false">SUM((BF313&lt;0)*(BF312&gt;0))*A312</f>
        <v>0</v>
      </c>
      <c r="BK312" s="0" t="n">
        <f aca="false">IF(BJ312&gt;0,BI312,0)</f>
        <v>0</v>
      </c>
      <c r="BM312" s="0" t="n">
        <f aca="false">20*LOG(J312*F312*C312)</f>
        <v>-23.067670059301</v>
      </c>
      <c r="BN312" s="0" t="n">
        <f aca="false">(H312+D312)*180/Pi</f>
        <v>-176.63607099089</v>
      </c>
      <c r="BQ312" s="347" t="n">
        <f aca="false">20*LOG(BA312*7)</f>
        <v>35.9403511310559</v>
      </c>
      <c r="BR312" s="353"/>
      <c r="BS312" s="353"/>
      <c r="BT312" s="353" t="n">
        <v>104712.855</v>
      </c>
      <c r="BU312" s="353" t="n">
        <v>6.56923</v>
      </c>
      <c r="BV312" s="353" t="n">
        <v>-129.617</v>
      </c>
      <c r="BY312" s="353"/>
      <c r="BZ312" s="353"/>
      <c r="CA312" s="353"/>
      <c r="CC312" s="353"/>
    </row>
    <row r="313" customFormat="false" ht="12.75" hidden="false" customHeight="false" outlineLevel="0" collapsed="false">
      <c r="A313" s="0" t="n">
        <f aca="false">A312+5000</f>
        <v>495000</v>
      </c>
      <c r="B313" s="0" t="n">
        <f aca="false">A313/1000</f>
        <v>495</v>
      </c>
      <c r="C313" s="0" t="n">
        <f aca="false">SQRT((A313/Fesr)^2+1)</f>
        <v>1.00000483658793</v>
      </c>
      <c r="D313" s="0" t="n">
        <f aca="false">ATAN(A313/Fesr)</f>
        <v>0.00311016669510515</v>
      </c>
      <c r="F313" s="0" t="n">
        <f aca="false">(Ro/(Ro+Rdcr))/SQRT((A313/(Q*Fo))^2+(1-(A313^2/Fo^2))^2)</f>
        <v>0.00764713292796075</v>
      </c>
      <c r="G313" s="0" t="n">
        <f aca="false">-ATAN(A313*Fo/(Q*(Fo^2-A313^2)))</f>
        <v>0.0550633783989465</v>
      </c>
      <c r="H313" s="0" t="n">
        <f aca="false">IF(G313&gt;0,G313-Pi,G313)</f>
        <v>-3.08652927160105</v>
      </c>
      <c r="J313" s="0" t="n">
        <f aca="false">Vin/Vramp</f>
        <v>9</v>
      </c>
      <c r="M313" s="0" t="n">
        <f aca="false">1/(2*Pi*_Rfb1*(Cc1ea_u+Cc2ea_u)*A313)</f>
        <v>0.0119083384417326</v>
      </c>
      <c r="N313" s="0" t="n">
        <f aca="false">-Pi/2</f>
        <v>-1.570796325</v>
      </c>
      <c r="O313" s="0" t="n">
        <f aca="false">SQRT(1+(A313/Fz1_u)^2)</f>
        <v>12.1336450460928</v>
      </c>
      <c r="P313" s="0" t="n">
        <f aca="false">ATAN2(Fz1_u,A313)</f>
        <v>1.48828727680269</v>
      </c>
      <c r="Q313" s="0" t="n">
        <f aca="false">SQRT(1+(A313/Fz2_u)^2)</f>
        <v>13721.4528237628</v>
      </c>
      <c r="R313" s="0" t="n">
        <f aca="false">ATAN2(Fz2_u,A313)</f>
        <v>1.57072344821464</v>
      </c>
      <c r="S313" s="0" t="n">
        <f aca="false">1/SQRT(1+(A313/Fp1_u)^2)</f>
        <v>0.0272562487048274</v>
      </c>
      <c r="T313" s="0" t="n">
        <f aca="false">-ATAN2(Fp1_u,A313)</f>
        <v>-1.54353670216944</v>
      </c>
      <c r="U313" s="0" t="n">
        <f aca="false">1/SQRT(1+(A313/Fp2_u)^2)</f>
        <v>0.597054706891463</v>
      </c>
      <c r="V313" s="0" t="n">
        <f aca="false">-ATAN2(Fp2_u,A313)</f>
        <v>-0.930971773777303</v>
      </c>
      <c r="X313" s="0" t="n">
        <f aca="false">20*LOG(C313*J313*O313*Q313*F313*M313*S313*U313)</f>
        <v>6.9293202232734</v>
      </c>
      <c r="Y313" s="0" t="n">
        <f aca="false">(180/Pi)*(D313+H313+N313+P313+R313+T313+V313)</f>
        <v>-233.177389357072</v>
      </c>
      <c r="Z313" s="0" t="n">
        <f aca="false">Y313+180</f>
        <v>-53.1773893570719</v>
      </c>
      <c r="AC313" s="0" t="n">
        <v>1</v>
      </c>
      <c r="AD313" s="0" t="n">
        <f aca="false">Rcea1_u*Cc1ea_u*A313*2*Pi</f>
        <v>12.092367100968</v>
      </c>
      <c r="AE313" s="0" t="n">
        <f aca="false">-Rcea1_u*Cc1ea_u*Cc2ea_u*(A313*2*Pi)^2</f>
        <v>-0.00564140980341718</v>
      </c>
      <c r="AF313" s="0" t="n">
        <f aca="false">(Cc2ea_u+Cc1ea_u)*A313*2*Pi</f>
        <v>0.004198738576725</v>
      </c>
      <c r="AG313" s="0" t="n">
        <f aca="false">AC313*AE313/(AE313^2+AF313^2)+AD313*AF313/(AE313^2+AF313^2)</f>
        <v>912.574266934403</v>
      </c>
      <c r="AH313" s="0" t="n">
        <f aca="false">AD313*AE313/(AE313^2+AF313^2)-AC313*AF313/(AE313^2+AF313^2)</f>
        <v>-1464.29821801994</v>
      </c>
      <c r="AJ313" s="0" t="n">
        <f aca="false">_Rfb1</f>
        <v>20000</v>
      </c>
      <c r="AK313" s="0" t="n">
        <f aca="false">_Rfb1*Rcea2_u*Cc3ea_u*A313*2*Pi</f>
        <v>733504.07847024</v>
      </c>
      <c r="AL313" s="0" t="n">
        <v>1</v>
      </c>
      <c r="AM313" s="0" t="n">
        <f aca="false">(_Rfb1+Rcea2_u)*Cc3ea_u*A313*2*Pi</f>
        <v>13721.4527873235</v>
      </c>
      <c r="AN313" s="0" t="n">
        <f aca="false">AJ313*AL313/(AL313^2+AM313^2)+AK313*AM313/(AL313^2+AM313^2)</f>
        <v>53.4568418894852</v>
      </c>
      <c r="AO313" s="0" t="n">
        <f aca="false">AK313*AL313/(AL313^2+AM313^2)-AJ313*AM313/(AL313^2+AM313^2)</f>
        <v>-1.45367574900946</v>
      </c>
      <c r="AQ313" s="0" t="n">
        <f aca="false">Eadcg/(1+(Eadcg*A313/GBP)^2)</f>
        <v>0.0464647768122104</v>
      </c>
      <c r="AR313" s="0" t="n">
        <f aca="false">-(A313*Eadcg*Eadcg/GBP)/(1+(Eadcg*A313/GBP)^2)</f>
        <v>-12.1210340031173</v>
      </c>
      <c r="AT313" s="0" t="n">
        <f aca="false">-AR313*AH313+AG313*AQ313</f>
        <v>-17706.405931686</v>
      </c>
      <c r="AU313" s="0" t="n">
        <f aca="false">AQ313*AH313+AG313*AR313</f>
        <v>-11129.3820097685</v>
      </c>
      <c r="AV313" s="0" t="n">
        <f aca="false">ATAN2(AT313,AU313)</f>
        <v>-2.58044376892362</v>
      </c>
      <c r="AW313" s="0" t="n">
        <f aca="false">AG313-AH313*AO313/_Rfb2+AG313*AN313/_Rfb2+AN313-AO313*AR313+AQ313*AN313</f>
        <v>971.889541439101</v>
      </c>
      <c r="AX313" s="0" t="n">
        <f aca="false">AH313+AH313*AN313/_Rfb2+AG313*AO313/_Rfb2+AO313+AO313*AQ313+AN313*AR313</f>
        <v>-2149.59314216024</v>
      </c>
      <c r="AY313" s="0" t="n">
        <f aca="false">ATAN2(AW313,AX313)</f>
        <v>-1.14617482328026</v>
      </c>
      <c r="BA313" s="0" t="n">
        <f aca="false">SQRT(AT313^2+AU313^2)/SQRT(AW313^2+AX313^2)</f>
        <v>8.86511490302356</v>
      </c>
      <c r="BB313" s="0" t="n">
        <f aca="false">20*LOG(BA313)</f>
        <v>18.9536873795074</v>
      </c>
      <c r="BC313" s="0" t="n">
        <f aca="false">AV313-AY313</f>
        <v>-1.43426894564336</v>
      </c>
      <c r="BD313" s="0" t="n">
        <f aca="false">BC313*180/Pi-180</f>
        <v>-262.177557365944</v>
      </c>
      <c r="BF313" s="0" t="n">
        <f aca="false">20*LOG(BA313*J313*F313*C313)</f>
        <v>-4.29144763227142</v>
      </c>
      <c r="BG313" s="0" t="n">
        <f aca="false">(180/Pi)*(D313+H313+BC313)</f>
        <v>-258.844458748933</v>
      </c>
      <c r="BH313" s="0" t="n">
        <f aca="false">IF(BG313&gt;180,BG313-180,BG313+180)</f>
        <v>-78.8444587489326</v>
      </c>
      <c r="BI313" s="0" t="n">
        <f aca="false">IF(BH313&gt;180,BH313-360,BH313)</f>
        <v>-78.8444587489326</v>
      </c>
      <c r="BJ313" s="0" t="n">
        <f aca="false">SUM((BF314&lt;0)*(BF313&gt;0))*A313</f>
        <v>0</v>
      </c>
      <c r="BK313" s="0" t="n">
        <f aca="false">IF(BJ313&gt;0,BI313,0)</f>
        <v>0</v>
      </c>
      <c r="BM313" s="0" t="n">
        <f aca="false">20*LOG(J313*F313*C313)</f>
        <v>-23.2451350117788</v>
      </c>
      <c r="BN313" s="0" t="n">
        <f aca="false">(H313+D313)*180/Pi</f>
        <v>-176.666901382988</v>
      </c>
      <c r="BQ313" s="347" t="n">
        <f aca="false">20*LOG(BA313*7)</f>
        <v>35.8556481797925</v>
      </c>
      <c r="BR313" s="353"/>
      <c r="BS313" s="353"/>
      <c r="BT313" s="353" t="n">
        <v>107151.931</v>
      </c>
      <c r="BU313" s="353" t="n">
        <v>6.77081</v>
      </c>
      <c r="BV313" s="353" t="n">
        <v>-129.576</v>
      </c>
      <c r="BY313" s="353"/>
      <c r="BZ313" s="353"/>
      <c r="CA313" s="353"/>
      <c r="CC313" s="353"/>
    </row>
    <row r="314" customFormat="false" ht="12.75" hidden="false" customHeight="false" outlineLevel="0" collapsed="false">
      <c r="A314" s="0" t="n">
        <f aca="false">A313+5000</f>
        <v>500000</v>
      </c>
      <c r="B314" s="0" t="n">
        <f aca="false">A314/1000</f>
        <v>500</v>
      </c>
      <c r="C314" s="0" t="n">
        <f aca="false">SQRT((A314/Fesr)^2+1)</f>
        <v>1.00000493479001</v>
      </c>
      <c r="D314" s="0" t="n">
        <f aca="false">ATAN(A314/Fesr)</f>
        <v>0.00314158231463568</v>
      </c>
      <c r="F314" s="0" t="n">
        <f aca="false">(Ro/(Ro+Rdcr))/SQRT((A314/(Q*Fo))^2+(1-(A314^2/Fo^2))^2)</f>
        <v>0.0074940333746729</v>
      </c>
      <c r="G314" s="0" t="n">
        <f aca="false">-ATAN(A314*Fo/(Q*(Fo^2-A314^2)))</f>
        <v>0.0545054861091763</v>
      </c>
      <c r="H314" s="0" t="n">
        <f aca="false">IF(G314&gt;0,G314-Pi,G314)</f>
        <v>-3.08708716389082</v>
      </c>
      <c r="J314" s="0" t="n">
        <f aca="false">Vin/Vramp</f>
        <v>9</v>
      </c>
      <c r="M314" s="0" t="n">
        <f aca="false">1/(2*Pi*_Rfb1*(Cc1ea_u+Cc2ea_u)*A314)</f>
        <v>0.0117892550573153</v>
      </c>
      <c r="N314" s="0" t="n">
        <f aca="false">-Pi/2</f>
        <v>-1.570796325</v>
      </c>
      <c r="O314" s="0" t="n">
        <f aca="false">SQRT(1+(A314/Fz1_u)^2)</f>
        <v>12.255378772225</v>
      </c>
      <c r="P314" s="0" t="n">
        <f aca="false">ATAN2(Fz1_u,A314)</f>
        <v>1.48910868333604</v>
      </c>
      <c r="Q314" s="0" t="n">
        <f aca="false">SQRT(1+(A314/Fz2_u)^2)</f>
        <v>13860.0533566037</v>
      </c>
      <c r="R314" s="0" t="n">
        <f aca="false">ATAN2(Fz2_u,A314)</f>
        <v>1.57072417700044</v>
      </c>
      <c r="S314" s="0" t="n">
        <f aca="false">1/SQRT(1+(A314/Fp1_u)^2)</f>
        <v>0.0269838856803172</v>
      </c>
      <c r="T314" s="0" t="n">
        <f aca="false">-ATAN2(Fp1_u,A314)</f>
        <v>-1.54380916541132</v>
      </c>
      <c r="U314" s="0" t="n">
        <f aca="false">1/SQRT(1+(A314/Fp2_u)^2)</f>
        <v>0.593191908438344</v>
      </c>
      <c r="V314" s="0" t="n">
        <f aca="false">-ATAN2(Fp2_u,A314)</f>
        <v>-0.935778447421661</v>
      </c>
      <c r="X314" s="0" t="n">
        <f aca="false">20*LOG(C314*J314*O314*Q314*F314*M314*S314*U314)</f>
        <v>6.69675972445697</v>
      </c>
      <c r="Y314" s="0" t="n">
        <f aca="false">(180/Pi)*(D314+H314+N314+P314+R314+T314+V314)</f>
        <v>-233.451462471776</v>
      </c>
      <c r="Z314" s="0" t="n">
        <f aca="false">Y314+180</f>
        <v>-53.4514624717765</v>
      </c>
      <c r="AC314" s="0" t="n">
        <v>1</v>
      </c>
      <c r="AD314" s="0" t="n">
        <f aca="false">Rcea1_u*Cc1ea_u*A314*2*Pi</f>
        <v>12.2145122232</v>
      </c>
      <c r="AE314" s="0" t="n">
        <f aca="false">-Rcea1_u*Cc1ea_u*Cc2ea_u*(A314*2*Pi)^2</f>
        <v>-0.00575595327356104</v>
      </c>
      <c r="AF314" s="0" t="n">
        <f aca="false">(Cc2ea_u+Cc1ea_u)*A314*2*Pi</f>
        <v>0.0042411500775</v>
      </c>
      <c r="AG314" s="0" t="n">
        <f aca="false">AC314*AE314/(AE314^2+AF314^2)+AD314*AF314/(AE314^2+AF314^2)</f>
        <v>900.804199006014</v>
      </c>
      <c r="AH314" s="0" t="n">
        <f aca="false">AD314*AE314/(AE314^2+AF314^2)-AC314*AF314/(AE314^2+AF314^2)</f>
        <v>-1458.32775664284</v>
      </c>
      <c r="AJ314" s="0" t="n">
        <f aca="false">_Rfb1</f>
        <v>20000</v>
      </c>
      <c r="AK314" s="0" t="n">
        <f aca="false">_Rfb1*Rcea2_u*Cc3ea_u*A314*2*Pi</f>
        <v>740913.210576</v>
      </c>
      <c r="AL314" s="0" t="n">
        <v>1</v>
      </c>
      <c r="AM314" s="0" t="n">
        <f aca="false">(_Rfb1+Rcea2_u)*Cc3ea_u*A314*2*Pi</f>
        <v>13860.0533205288</v>
      </c>
      <c r="AN314" s="0" t="n">
        <f aca="false">AJ314*AL314/(AL314^2+AM314^2)+AK314*AM314/(AL314^2+AM314^2)</f>
        <v>53.4568397812429</v>
      </c>
      <c r="AO314" s="0" t="n">
        <f aca="false">AK314*AL314/(AL314^2+AM314^2)-AJ314*AM314/(AL314^2+AM314^2)</f>
        <v>-1.43913899167148</v>
      </c>
      <c r="AQ314" s="0" t="n">
        <f aca="false">Eadcg/(1+(Eadcg*A314/GBP)^2)</f>
        <v>0.0455401410707406</v>
      </c>
      <c r="AR314" s="0" t="n">
        <f aca="false">-(A314*Eadcg*Eadcg/GBP)/(1+(Eadcg*A314/GBP)^2)</f>
        <v>-11.9998271721402</v>
      </c>
      <c r="AT314" s="0" t="n">
        <f aca="false">-AR314*AH314+AG314*AQ314</f>
        <v>-17458.6582897491</v>
      </c>
      <c r="AU314" s="0" t="n">
        <f aca="false">AQ314*AH314+AG314*AR314</f>
        <v>-10875.9071557752</v>
      </c>
      <c r="AV314" s="0" t="n">
        <f aca="false">ATAN2(AT314,AU314)</f>
        <v>-2.58446736948111</v>
      </c>
      <c r="AW314" s="0" t="n">
        <f aca="false">AG314-AH314*AO314/_Rfb2+AG314*AN314/_Rfb2+AN314-AO314*AR314+AQ314*AN314</f>
        <v>960.150985866837</v>
      </c>
      <c r="AX314" s="0" t="n">
        <f aca="false">AH314+AH314*AN314/_Rfb2+AG314*AO314/_Rfb2+AO314+AO314*AQ314+AN314*AR314</f>
        <v>-2136.96956182784</v>
      </c>
      <c r="AY314" s="0" t="n">
        <f aca="false">ATAN2(AW314,AX314)</f>
        <v>-1.14852056146616</v>
      </c>
      <c r="BA314" s="0" t="n">
        <f aca="false">SQRT(AT314^2+AU314^2)/SQRT(AW314^2+AX314^2)</f>
        <v>8.77987756897453</v>
      </c>
      <c r="BB314" s="0" t="n">
        <f aca="false">20*LOG(BA314)</f>
        <v>18.869769198556</v>
      </c>
      <c r="BC314" s="0" t="n">
        <f aca="false">AV314-AY314</f>
        <v>-1.43594680801495</v>
      </c>
      <c r="BD314" s="0" t="n">
        <f aca="false">BC314*180/Pi-180</f>
        <v>-262.27369179855</v>
      </c>
      <c r="BF314" s="0" t="n">
        <f aca="false">20*LOG(BA314*J314*F314*C314)</f>
        <v>-4.55102529187609</v>
      </c>
      <c r="BG314" s="0" t="n">
        <f aca="false">(180/Pi)*(D314+H314+BC314)</f>
        <v>-258.97075807279</v>
      </c>
      <c r="BH314" s="0" t="n">
        <f aca="false">IF(BG314&gt;180,BG314-180,BG314+180)</f>
        <v>-78.97075807279</v>
      </c>
      <c r="BI314" s="0" t="n">
        <f aca="false">IF(BH314&gt;180,BH314-360,BH314)</f>
        <v>-78.97075807279</v>
      </c>
      <c r="BJ314" s="0" t="n">
        <f aca="false">SUM((BF315&lt;0)*(BF314&gt;0))*A314</f>
        <v>0</v>
      </c>
      <c r="BK314" s="0" t="n">
        <f aca="false">IF(BJ314&gt;0,BI314,0)</f>
        <v>0</v>
      </c>
      <c r="BM314" s="0" t="n">
        <f aca="false">20*LOG(J314*F314*C314)</f>
        <v>-23.4207944904321</v>
      </c>
      <c r="BN314" s="0" t="n">
        <f aca="false">(H314+D314)*180/Pi</f>
        <v>-176.69706627424</v>
      </c>
      <c r="BQ314" s="347" t="n">
        <f aca="false">20*LOG(BA314*7)</f>
        <v>35.7717299988411</v>
      </c>
      <c r="BR314" s="353"/>
      <c r="BS314" s="353"/>
      <c r="BT314" s="353" t="n">
        <v>109647.82</v>
      </c>
      <c r="BU314" s="353" t="n">
        <v>6.98499</v>
      </c>
      <c r="BV314" s="353" t="n">
        <v>-129.528</v>
      </c>
      <c r="BY314" s="353"/>
      <c r="BZ314" s="353"/>
      <c r="CA314" s="353"/>
      <c r="CC314" s="353"/>
    </row>
    <row r="315" customFormat="false" ht="12.75" hidden="false" customHeight="false" outlineLevel="0" collapsed="false">
      <c r="A315" s="0" t="n">
        <f aca="false">A314+5000</f>
        <v>505000</v>
      </c>
      <c r="B315" s="0" t="n">
        <f aca="false">A315/1000</f>
        <v>505</v>
      </c>
      <c r="C315" s="0" t="n">
        <f aca="false">SQRT((A315/Fesr)^2+1)</f>
        <v>1.00000503397904</v>
      </c>
      <c r="D315" s="0" t="n">
        <f aca="false">ATAN(A315/Fesr)</f>
        <v>0.00317299792796507</v>
      </c>
      <c r="F315" s="0" t="n">
        <f aca="false">(Ro/(Ro+Rdcr))/SQRT((A315/(Q*Fo))^2+(1-(A315^2/Fo^2))^2)</f>
        <v>0.00734549471815721</v>
      </c>
      <c r="G315" s="0" t="n">
        <f aca="false">-ATAN(A315*Fo/(Q*(Fo^2-A315^2)))</f>
        <v>0.0539588551406621</v>
      </c>
      <c r="H315" s="0" t="n">
        <f aca="false">IF(G315&gt;0,G315-Pi,G315)</f>
        <v>-3.08763379485934</v>
      </c>
      <c r="J315" s="0" t="n">
        <f aca="false">Vin/Vramp</f>
        <v>9</v>
      </c>
      <c r="M315" s="0" t="n">
        <f aca="false">1/(2*Pi*_Rfb1*(Cc1ea_u+Cc2ea_u)*A315)</f>
        <v>0.0116725297597181</v>
      </c>
      <c r="N315" s="0" t="n">
        <f aca="false">-Pi/2</f>
        <v>-1.570796325</v>
      </c>
      <c r="O315" s="0" t="n">
        <f aca="false">SQRT(1+(A315/Fz1_u)^2)</f>
        <v>12.3771206045106</v>
      </c>
      <c r="P315" s="0" t="n">
        <f aca="false">ATAN2(Fz1_u,A315)</f>
        <v>1.48991393163158</v>
      </c>
      <c r="Q315" s="0" t="n">
        <f aca="false">SQRT(1+(A315/Fz2_u)^2)</f>
        <v>13998.6538894518</v>
      </c>
      <c r="R315" s="0" t="n">
        <f aca="false">ATAN2(Fz2_u,A315)</f>
        <v>1.57072489135484</v>
      </c>
      <c r="S315" s="0" t="n">
        <f aca="false">1/SQRT(1+(A315/Fp1_u)^2)</f>
        <v>0.0267169101503303</v>
      </c>
      <c r="T315" s="0" t="n">
        <f aca="false">-ATAN2(Fp1_u,A315)</f>
        <v>-1.54407623723135</v>
      </c>
      <c r="U315" s="0" t="n">
        <f aca="false">1/SQRT(1+(A315/Fp2_u)^2)</f>
        <v>0.589365416297067</v>
      </c>
      <c r="V315" s="0" t="n">
        <f aca="false">-ATAN2(Fp2_u,A315)</f>
        <v>-0.940523216873343</v>
      </c>
      <c r="X315" s="0" t="n">
        <f aca="false">20*LOG(C315*J315*O315*Q315*F315*M315*S315*U315)</f>
        <v>6.46615026010387</v>
      </c>
      <c r="Y315" s="0" t="n">
        <f aca="false">(180/Pi)*(D315+H315+N315+P315+R315+T315+V315)</f>
        <v>-233.72196123165</v>
      </c>
      <c r="Z315" s="0" t="n">
        <f aca="false">Y315+180</f>
        <v>-53.7219612316501</v>
      </c>
      <c r="AC315" s="0" t="n">
        <v>1</v>
      </c>
      <c r="AD315" s="0" t="n">
        <f aca="false">Rcea1_u*Cc1ea_u*A315*2*Pi</f>
        <v>12.336657345432</v>
      </c>
      <c r="AE315" s="0" t="n">
        <f aca="false">-Rcea1_u*Cc1ea_u*Cc2ea_u*(A315*2*Pi)^2</f>
        <v>-0.00587164793435962</v>
      </c>
      <c r="AF315" s="0" t="n">
        <f aca="false">(Cc2ea_u+Cc1ea_u)*A315*2*Pi</f>
        <v>0.004283561578275</v>
      </c>
      <c r="AG315" s="0" t="n">
        <f aca="false">AC315*AE315/(AE315^2+AF315^2)+AD315*AF315/(AE315^2+AF315^2)</f>
        <v>889.220080453158</v>
      </c>
      <c r="AH315" s="0" t="n">
        <f aca="false">AD315*AE315/(AE315^2+AF315^2)-AC315*AF315/(AE315^2+AF315^2)</f>
        <v>-1452.33986599748</v>
      </c>
      <c r="AJ315" s="0" t="n">
        <f aca="false">_Rfb1</f>
        <v>20000</v>
      </c>
      <c r="AK315" s="0" t="n">
        <f aca="false">_Rfb1*Rcea2_u*Cc3ea_u*A315*2*Pi</f>
        <v>748322.34268176</v>
      </c>
      <c r="AL315" s="0" t="n">
        <v>1</v>
      </c>
      <c r="AM315" s="0" t="n">
        <f aca="false">(_Rfb1+Rcea2_u)*Cc3ea_u*A315*2*Pi</f>
        <v>13998.6538537341</v>
      </c>
      <c r="AN315" s="0" t="n">
        <f aca="false">AJ315*AL315/(AL315^2+AM315^2)+AK315*AM315/(AL315^2+AM315^2)</f>
        <v>53.4568377353112</v>
      </c>
      <c r="AO315" s="0" t="n">
        <f aca="false">AK315*AL315/(AL315^2+AM315^2)-AJ315*AM315/(AL315^2+AM315^2)</f>
        <v>-1.42489009090999</v>
      </c>
      <c r="AQ315" s="0" t="n">
        <f aca="false">Eadcg/(1+(Eadcg*A315/GBP)^2)</f>
        <v>0.0446428330499416</v>
      </c>
      <c r="AR315" s="0" t="n">
        <f aca="false">-(A315*Eadcg*Eadcg/GBP)/(1+(Eadcg*A315/GBP)^2)</f>
        <v>-11.8810203737462</v>
      </c>
      <c r="AT315" s="0" t="n">
        <f aca="false">-AR315*AH315+AG315*AQ315</f>
        <v>-17215.5822339236</v>
      </c>
      <c r="AU315" s="0" t="n">
        <f aca="false">AQ315*AH315+AG315*AR315</f>
        <v>-10629.6784587777</v>
      </c>
      <c r="AV315" s="0" t="n">
        <f aca="false">ATAN2(AT315,AU315)</f>
        <v>-2.58844446501641</v>
      </c>
      <c r="AW315" s="0" t="n">
        <f aca="false">AG315-AH315*AO315/_Rfb2+AG315*AN315/_Rfb2+AN315-AO315*AR315+AQ315*AN315</f>
        <v>948.593695661046</v>
      </c>
      <c r="AX315" s="0" t="n">
        <f aca="false">AH315+AH315*AN315/_Rfb2+AG315*AO315/_Rfb2+AO315+AO315*AQ315+AN315*AR315</f>
        <v>-2124.45718731361</v>
      </c>
      <c r="AY315" s="0" t="n">
        <f aca="false">ATAN2(AW315,AX315)</f>
        <v>-1.15084756549391</v>
      </c>
      <c r="BA315" s="0" t="n">
        <f aca="false">SQRT(AT315^2+AU315^2)/SQRT(AW315^2+AX315^2)</f>
        <v>8.69623162181213</v>
      </c>
      <c r="BB315" s="0" t="n">
        <f aca="false">20*LOG(BA315)</f>
        <v>18.7866219710019</v>
      </c>
      <c r="BC315" s="0" t="n">
        <f aca="false">AV315-AY315</f>
        <v>-1.4375968995225</v>
      </c>
      <c r="BD315" s="0" t="n">
        <f aca="false">BC315*180/Pi-180</f>
        <v>-262.368235077852</v>
      </c>
      <c r="BF315" s="0" t="n">
        <f aca="false">20*LOG(BA315*J315*F315*C315)</f>
        <v>-4.80806309992061</v>
      </c>
      <c r="BG315" s="0" t="n">
        <f aca="false">(180/Pi)*(D315+H315+BC315)</f>
        <v>-259.094821017517</v>
      </c>
      <c r="BH315" s="0" t="n">
        <f aca="false">IF(BG315&gt;180,BG315-180,BG315+180)</f>
        <v>-79.0948210175173</v>
      </c>
      <c r="BI315" s="0" t="n">
        <f aca="false">IF(BH315&gt;180,BH315-360,BH315)</f>
        <v>-79.0948210175173</v>
      </c>
      <c r="BJ315" s="0" t="n">
        <f aca="false">SUM((BF316&lt;0)*(BF315&gt;0))*A315</f>
        <v>0</v>
      </c>
      <c r="BK315" s="0" t="n">
        <f aca="false">IF(BJ315&gt;0,BI315,0)</f>
        <v>0</v>
      </c>
      <c r="BM315" s="0" t="n">
        <f aca="false">20*LOG(J315*F315*C315)</f>
        <v>-23.5946850709225</v>
      </c>
      <c r="BN315" s="0" t="n">
        <f aca="false">(H315+D315)*180/Pi</f>
        <v>-176.726585939666</v>
      </c>
      <c r="BQ315" s="347" t="n">
        <f aca="false">20*LOG(BA315*7)</f>
        <v>35.688582771287</v>
      </c>
      <c r="BR315" s="353"/>
      <c r="BS315" s="353"/>
      <c r="BT315" s="353" t="n">
        <v>112201.845</v>
      </c>
      <c r="BU315" s="353" t="n">
        <v>7.21207</v>
      </c>
      <c r="BV315" s="353" t="n">
        <v>-129.443</v>
      </c>
      <c r="BY315" s="353"/>
      <c r="BZ315" s="353"/>
      <c r="CA315" s="353"/>
      <c r="CC315" s="353"/>
    </row>
    <row r="316" customFormat="false" ht="12.75" hidden="false" customHeight="false" outlineLevel="0" collapsed="false">
      <c r="A316" s="0" t="n">
        <f aca="false">A315+5000</f>
        <v>510000</v>
      </c>
      <c r="B316" s="0" t="n">
        <f aca="false">A316/1000</f>
        <v>510</v>
      </c>
      <c r="C316" s="0" t="n">
        <f aca="false">SQRT((A316/Fesr)^2+1)</f>
        <v>1.00000513415502</v>
      </c>
      <c r="D316" s="0" t="n">
        <f aca="false">ATAN(A316/Fesr)</f>
        <v>0.00320441353503132</v>
      </c>
      <c r="F316" s="0" t="n">
        <f aca="false">(Ro/(Ro+Rdcr))/SQRT((A316/(Q*Fo))^2+(1-(A316^2/Fo^2))^2)</f>
        <v>0.00720133724343543</v>
      </c>
      <c r="G316" s="0" t="n">
        <f aca="false">-ATAN(A316*Fo/(Q*(Fo^2-A316^2)))</f>
        <v>0.0534231459372207</v>
      </c>
      <c r="H316" s="0" t="n">
        <f aca="false">IF(G316&gt;0,G316-Pi,G316)</f>
        <v>-3.08816950406278</v>
      </c>
      <c r="J316" s="0" t="n">
        <f aca="false">Vin/Vramp</f>
        <v>9</v>
      </c>
      <c r="M316" s="0" t="n">
        <f aca="false">1/(2*Pi*_Rfb1*(Cc1ea_u+Cc2ea_u)*A316)</f>
        <v>0.0115580931934464</v>
      </c>
      <c r="N316" s="0" t="n">
        <f aca="false">-Pi/2</f>
        <v>-1.570796325</v>
      </c>
      <c r="O316" s="0" t="n">
        <f aca="false">SQRT(1+(A316/Fz1_u)^2)</f>
        <v>12.4988703060825</v>
      </c>
      <c r="P316" s="0" t="n">
        <f aca="false">ATAN2(Fz1_u,A316)</f>
        <v>1.49070349281469</v>
      </c>
      <c r="Q316" s="0" t="n">
        <f aca="false">SQRT(1+(A316/Fz2_u)^2)</f>
        <v>14137.2544223069</v>
      </c>
      <c r="R316" s="0" t="n">
        <f aca="false">ATAN2(Fz2_u,A316)</f>
        <v>1.57072559170229</v>
      </c>
      <c r="S316" s="0" t="n">
        <f aca="false">1/SQRT(1+(A316/Fp1_u)^2)</f>
        <v>0.0264551638843229</v>
      </c>
      <c r="T316" s="0" t="n">
        <f aca="false">-ATAN2(Fp1_u,A316)</f>
        <v>-1.54433807605058</v>
      </c>
      <c r="U316" s="0" t="n">
        <f aca="false">1/SQRT(1+(A316/Fp2_u)^2)</f>
        <v>0.585575044321651</v>
      </c>
      <c r="V316" s="0" t="n">
        <f aca="false">-ATAN2(Fp2_u,A316)</f>
        <v>-0.945207060797094</v>
      </c>
      <c r="X316" s="0" t="n">
        <f aca="false">20*LOG(C316*J316*O316*Q316*F316*M316*S316*U316)</f>
        <v>6.23745864945166</v>
      </c>
      <c r="Y316" s="0" t="n">
        <f aca="false">(180/Pi)*(D316+H316+N316+P316+R316+T316+V316)</f>
        <v>-233.988943224234</v>
      </c>
      <c r="Z316" s="0" t="n">
        <f aca="false">Y316+180</f>
        <v>-53.9889432242336</v>
      </c>
      <c r="AC316" s="0" t="n">
        <v>1</v>
      </c>
      <c r="AD316" s="0" t="n">
        <f aca="false">Rcea1_u*Cc1ea_u*A316*2*Pi</f>
        <v>12.458802467664</v>
      </c>
      <c r="AE316" s="0" t="n">
        <f aca="false">-Rcea1_u*Cc1ea_u*Cc2ea_u*(A316*2*Pi)^2</f>
        <v>-0.00598849378581291</v>
      </c>
      <c r="AF316" s="0" t="n">
        <f aca="false">(Cc2ea_u+Cc1ea_u)*A316*2*Pi</f>
        <v>0.00432597307905</v>
      </c>
      <c r="AG316" s="0" t="n">
        <f aca="false">AC316*AE316/(AE316^2+AF316^2)+AD316*AF316/(AE316^2+AF316^2)</f>
        <v>877.819219282697</v>
      </c>
      <c r="AH316" s="0" t="n">
        <f aca="false">AD316*AE316/(AE316^2+AF316^2)-AC316*AF316/(AE316^2+AF316^2)</f>
        <v>-1446.33700335361</v>
      </c>
      <c r="AJ316" s="0" t="n">
        <f aca="false">_Rfb1</f>
        <v>20000</v>
      </c>
      <c r="AK316" s="0" t="n">
        <f aca="false">_Rfb1*Rcea2_u*Cc3ea_u*A316*2*Pi</f>
        <v>755731.47478752</v>
      </c>
      <c r="AL316" s="0" t="n">
        <v>1</v>
      </c>
      <c r="AM316" s="0" t="n">
        <f aca="false">(_Rfb1+Rcea2_u)*Cc3ea_u*A316*2*Pi</f>
        <v>14137.2543869394</v>
      </c>
      <c r="AN316" s="0" t="n">
        <f aca="false">AJ316*AL316/(AL316^2+AM316^2)+AK316*AM316/(AL316^2+AM316^2)</f>
        <v>53.4568357492584</v>
      </c>
      <c r="AO316" s="0" t="n">
        <f aca="false">AK316*AL316/(AL316^2+AM316^2)-AJ316*AM316/(AL316^2+AM316^2)</f>
        <v>-1.41092058035528</v>
      </c>
      <c r="AQ316" s="0" t="n">
        <f aca="false">Eadcg/(1+(Eadcg*A316/GBP)^2)</f>
        <v>0.0437717863701659</v>
      </c>
      <c r="AR316" s="0" t="n">
        <f aca="false">-(A316*Eadcg*Eadcg/GBP)/(1+(Eadcg*A316/GBP)^2)</f>
        <v>-11.7645430227095</v>
      </c>
      <c r="AT316" s="0" t="n">
        <f aca="false">-AR316*AH316+AG316*AQ316</f>
        <v>-16977.0701859522</v>
      </c>
      <c r="AU316" s="0" t="n">
        <f aca="false">AQ316*AH316+AG316*AR316</f>
        <v>-10390.4507257426</v>
      </c>
      <c r="AV316" s="0" t="n">
        <f aca="false">ATAN2(AT316,AU316)</f>
        <v>-2.59237558539398</v>
      </c>
      <c r="AW316" s="0" t="n">
        <f aca="false">AG316-AH316*AO316/_Rfb2+AG316*AN316/_Rfb2+AN316-AO316*AR316+AQ316*AN316</f>
        <v>937.215267387541</v>
      </c>
      <c r="AX316" s="0" t="n">
        <f aca="false">AH316+AH316*AN316/_Rfb2+AG316*AO316/_Rfb2+AO316+AO316*AQ316+AN316*AR316</f>
        <v>-2112.05473625116</v>
      </c>
      <c r="AY316" s="0" t="n">
        <f aca="false">ATAN2(AW316,AX316)</f>
        <v>-1.15315561239283</v>
      </c>
      <c r="BA316" s="0" t="n">
        <f aca="false">SQRT(AT316^2+AU316^2)/SQRT(AW316^2+AX316^2)</f>
        <v>8.6141337603182</v>
      </c>
      <c r="BB316" s="0" t="n">
        <f aca="false">20*LOG(BA316)</f>
        <v>18.7042322241227</v>
      </c>
      <c r="BC316" s="0" t="n">
        <f aca="false">AV316-AY316</f>
        <v>-1.43921997300115</v>
      </c>
      <c r="BD316" s="0" t="n">
        <f aca="false">BC316*180/Pi-180</f>
        <v>-262.461230338124</v>
      </c>
      <c r="BF316" s="0" t="n">
        <f aca="false">20*LOG(BA316*J316*F316*C316)</f>
        <v>-5.06260999854241</v>
      </c>
      <c r="BG316" s="0" t="n">
        <f aca="false">(180/Pi)*(D316+H316+BC316)</f>
        <v>-259.216710172531</v>
      </c>
      <c r="BH316" s="0" t="n">
        <f aca="false">IF(BG316&gt;180,BG316-180,BG316+180)</f>
        <v>-79.2167101725306</v>
      </c>
      <c r="BI316" s="0" t="n">
        <f aca="false">IF(BH316&gt;180,BH316-360,BH316)</f>
        <v>-79.2167101725306</v>
      </c>
      <c r="BJ316" s="0" t="n">
        <f aca="false">SUM((BF317&lt;0)*(BF316&gt;0))*A316</f>
        <v>0</v>
      </c>
      <c r="BK316" s="0" t="n">
        <f aca="false">IF(BJ316&gt;0,BI316,0)</f>
        <v>0</v>
      </c>
      <c r="BM316" s="0" t="n">
        <f aca="false">20*LOG(J316*F316*C316)</f>
        <v>-23.7668422226651</v>
      </c>
      <c r="BN316" s="0" t="n">
        <f aca="false">(H316+D316)*180/Pi</f>
        <v>-176.755479834407</v>
      </c>
      <c r="BQ316" s="347" t="n">
        <f aca="false">20*LOG(BA316*7)</f>
        <v>35.6061930244078</v>
      </c>
      <c r="BR316" s="353"/>
      <c r="BS316" s="353"/>
      <c r="BT316" s="353" t="n">
        <v>114815.362</v>
      </c>
      <c r="BU316" s="353" t="n">
        <v>7.47248</v>
      </c>
      <c r="BV316" s="353" t="n">
        <v>-129.585</v>
      </c>
      <c r="BY316" s="353"/>
      <c r="BZ316" s="353"/>
      <c r="CA316" s="353"/>
      <c r="CC316" s="353"/>
    </row>
    <row r="317" customFormat="false" ht="12.75" hidden="false" customHeight="false" outlineLevel="0" collapsed="false">
      <c r="A317" s="0" t="n">
        <f aca="false">A316+5000</f>
        <v>515000</v>
      </c>
      <c r="B317" s="0" t="n">
        <f aca="false">A317/1000</f>
        <v>515</v>
      </c>
      <c r="C317" s="0" t="n">
        <f aca="false">SQRT((A317/Fesr)^2+1)</f>
        <v>1.00000523531794</v>
      </c>
      <c r="D317" s="0" t="n">
        <f aca="false">ATAN(A317/Fesr)</f>
        <v>0.00323582913577242</v>
      </c>
      <c r="F317" s="0" t="n">
        <f aca="false">(Ro/(Ro+Rdcr))/SQRT((A317/(Q*Fo))^2+(1-(A317^2/Fo^2))^2)</f>
        <v>0.00706139001674323</v>
      </c>
      <c r="G317" s="0" t="n">
        <f aca="false">-ATAN(A317*Fo/(Q*(Fo^2-A317^2)))</f>
        <v>0.0528980325325244</v>
      </c>
      <c r="H317" s="0" t="n">
        <f aca="false">IF(G317&gt;0,G317-Pi,G317)</f>
        <v>-3.08869461746748</v>
      </c>
      <c r="J317" s="0" t="n">
        <f aca="false">Vin/Vramp</f>
        <v>9</v>
      </c>
      <c r="M317" s="0" t="n">
        <f aca="false">1/(2*Pi*_Rfb1*(Cc1ea_u+Cc2ea_u)*A317)</f>
        <v>0.0114458786964226</v>
      </c>
      <c r="N317" s="0" t="n">
        <f aca="false">-Pi/2</f>
        <v>-1.570796325</v>
      </c>
      <c r="O317" s="0" t="n">
        <f aca="false">SQRT(1+(A317/Fz1_u)^2)</f>
        <v>12.6206276491984</v>
      </c>
      <c r="P317" s="0" t="n">
        <f aca="false">ATAN2(Fz1_u,A317)</f>
        <v>1.49147781991005</v>
      </c>
      <c r="Q317" s="0" t="n">
        <f aca="false">SQRT(1+(A317/Fz2_u)^2)</f>
        <v>14275.8549551688</v>
      </c>
      <c r="R317" s="0" t="n">
        <f aca="false">ATAN2(Fz2_u,A317)</f>
        <v>1.57072627845075</v>
      </c>
      <c r="S317" s="0" t="n">
        <f aca="false">1/SQRT(1+(A317/Fp1_u)^2)</f>
        <v>0.026198494785866</v>
      </c>
      <c r="T317" s="0" t="n">
        <f aca="false">-ATAN2(Fp1_u,A317)</f>
        <v>-1.54459483414493</v>
      </c>
      <c r="U317" s="0" t="n">
        <f aca="false">1/SQRT(1+(A317/Fp2_u)^2)</f>
        <v>0.581820594263599</v>
      </c>
      <c r="V317" s="0" t="n">
        <f aca="false">-ATAN2(Fp2_u,A317)</f>
        <v>-0.949830943580699</v>
      </c>
      <c r="X317" s="0" t="n">
        <f aca="false">20*LOG(C317*J317*O317*Q317*F317*M317*S317*U317)</f>
        <v>6.01065262861547</v>
      </c>
      <c r="Y317" s="0" t="n">
        <f aca="false">(180/Pi)*(D317+H317+N317+P317+R317+T317+V317)</f>
        <v>-234.252465126367</v>
      </c>
      <c r="Z317" s="0" t="n">
        <f aca="false">Y317+180</f>
        <v>-54.2524651263668</v>
      </c>
      <c r="AC317" s="0" t="n">
        <v>1</v>
      </c>
      <c r="AD317" s="0" t="n">
        <f aca="false">Rcea1_u*Cc1ea_u*A317*2*Pi</f>
        <v>12.580947589896</v>
      </c>
      <c r="AE317" s="0" t="n">
        <f aca="false">-Rcea1_u*Cc1ea_u*Cc2ea_u*(A317*2*Pi)^2</f>
        <v>-0.00610649082792091</v>
      </c>
      <c r="AF317" s="0" t="n">
        <f aca="false">(Cc2ea_u+Cc1ea_u)*A317*2*Pi</f>
        <v>0.004368384579825</v>
      </c>
      <c r="AG317" s="0" t="n">
        <f aca="false">AC317*AE317/(AE317^2+AF317^2)+AD317*AF317/(AE317^2+AF317^2)</f>
        <v>866.598922007675</v>
      </c>
      <c r="AH317" s="0" t="n">
        <f aca="false">AD317*AE317/(AE317^2+AF317^2)-AC317*AF317/(AE317^2+AF317^2)</f>
        <v>-1440.32153162167</v>
      </c>
      <c r="AJ317" s="0" t="n">
        <f aca="false">_Rfb1</f>
        <v>20000</v>
      </c>
      <c r="AK317" s="0" t="n">
        <f aca="false">_Rfb1*Rcea2_u*Cc3ea_u*A317*2*Pi</f>
        <v>763140.60689328</v>
      </c>
      <c r="AL317" s="0" t="n">
        <v>1</v>
      </c>
      <c r="AM317" s="0" t="n">
        <f aca="false">(_Rfb1+Rcea2_u)*Cc3ea_u*A317*2*Pi</f>
        <v>14275.8549201447</v>
      </c>
      <c r="AN317" s="0" t="n">
        <f aca="false">AJ317*AL317/(AL317^2+AM317^2)+AK317*AM317/(AL317^2+AM317^2)</f>
        <v>53.4568338207705</v>
      </c>
      <c r="AO317" s="0" t="n">
        <f aca="false">AK317*AL317/(AL317^2+AM317^2)-AJ317*AM317/(AL317^2+AM317^2)</f>
        <v>-1.39722232242867</v>
      </c>
      <c r="AQ317" s="0" t="n">
        <f aca="false">Eadcg/(1+(Eadcg*A317/GBP)^2)</f>
        <v>0.0429259861638069</v>
      </c>
      <c r="AR317" s="0" t="n">
        <f aca="false">-(A317*Eadcg*Eadcg/GBP)/(1+(Eadcg*A317/GBP)^2)</f>
        <v>-11.650327274788</v>
      </c>
      <c r="AT317" s="0" t="n">
        <f aca="false">-AR317*AH317+AG317*AQ317</f>
        <v>-16743.0176109807</v>
      </c>
      <c r="AU317" s="0" t="n">
        <f aca="false">AQ317*AH317+AG317*AR317</f>
        <v>-10157.9882795057</v>
      </c>
      <c r="AV317" s="0" t="n">
        <f aca="false">ATAN2(AT317,AU317)</f>
        <v>-2.59626126343504</v>
      </c>
      <c r="AW317" s="0" t="n">
        <f aca="false">AG317-AH317*AO317/_Rfb2+AG317*AN317/_Rfb2+AN317-AO317*AR317+AQ317*AN317</f>
        <v>926.013279130869</v>
      </c>
      <c r="AX317" s="0" t="n">
        <f aca="false">AH317+AH317*AN317/_Rfb2+AG317*AO317/_Rfb2+AO317+AO317*AQ317+AN317*AR317</f>
        <v>-2099.76097723137</v>
      </c>
      <c r="AY317" s="0" t="n">
        <f aca="false">ATAN2(AW317,AX317)</f>
        <v>-1.15544450849506</v>
      </c>
      <c r="BA317" s="0" t="n">
        <f aca="false">SQRT(AT317^2+AU317^2)/SQRT(AW317^2+AX317^2)</f>
        <v>8.53354220860839</v>
      </c>
      <c r="BB317" s="0" t="n">
        <f aca="false">20*LOG(BA317)</f>
        <v>18.6225868187246</v>
      </c>
      <c r="BC317" s="0" t="n">
        <f aca="false">AV317-AY317</f>
        <v>-1.44081675493998</v>
      </c>
      <c r="BD317" s="0" t="n">
        <f aca="false">BC317*180/Pi-180</f>
        <v>-262.552719204126</v>
      </c>
      <c r="BF317" s="0" t="n">
        <f aca="false">20*LOG(BA317*J317*F317*C317)</f>
        <v>-5.31471353449155</v>
      </c>
      <c r="BG317" s="0" t="n">
        <f aca="false">(180/Pi)*(D317+H317+BC317)</f>
        <v>-259.336485839086</v>
      </c>
      <c r="BH317" s="0" t="n">
        <f aca="false">IF(BG317&gt;180,BG317-180,BG317+180)</f>
        <v>-79.3364858390864</v>
      </c>
      <c r="BI317" s="0" t="n">
        <f aca="false">IF(BH317&gt;180,BH317-360,BH317)</f>
        <v>-79.3364858390864</v>
      </c>
      <c r="BJ317" s="0" t="n">
        <f aca="false">SUM((BF318&lt;0)*(BF317&gt;0))*A317</f>
        <v>0</v>
      </c>
      <c r="BK317" s="0" t="n">
        <f aca="false">IF(BJ317&gt;0,BI317,0)</f>
        <v>0</v>
      </c>
      <c r="BM317" s="0" t="n">
        <f aca="false">20*LOG(J317*F317*C317)</f>
        <v>-23.9373003532161</v>
      </c>
      <c r="BN317" s="0" t="n">
        <f aca="false">(H317+D317)*180/Pi</f>
        <v>-176.78376663496</v>
      </c>
      <c r="BQ317" s="347" t="n">
        <f aca="false">20*LOG(BA317*7)</f>
        <v>35.5245476190097</v>
      </c>
      <c r="BR317" s="353"/>
      <c r="BS317" s="353"/>
      <c r="BT317" s="353" t="n">
        <v>117489.755</v>
      </c>
      <c r="BU317" s="353" t="n">
        <v>7.67536</v>
      </c>
      <c r="BV317" s="353" t="n">
        <v>-129.617</v>
      </c>
      <c r="BY317" s="353"/>
      <c r="BZ317" s="353"/>
      <c r="CA317" s="353"/>
      <c r="CC317" s="353"/>
    </row>
    <row r="318" customFormat="false" ht="12.75" hidden="false" customHeight="false" outlineLevel="0" collapsed="false">
      <c r="A318" s="0" t="n">
        <f aca="false">A317+5000</f>
        <v>520000</v>
      </c>
      <c r="B318" s="0" t="n">
        <f aca="false">A318/1000</f>
        <v>520</v>
      </c>
      <c r="C318" s="0" t="n">
        <f aca="false">SQRT((A318/Fesr)^2+1)</f>
        <v>1.0000053374678</v>
      </c>
      <c r="D318" s="0" t="n">
        <f aca="false">ATAN(A318/Fesr)</f>
        <v>0.00326724473012637</v>
      </c>
      <c r="F318" s="0" t="n">
        <f aca="false">(Ro/(Ro+Rdcr))/SQRT((A318/(Q*Fo))^2+(1-(A318^2/Fo^2))^2)</f>
        <v>0.00692549037474537</v>
      </c>
      <c r="G318" s="0" t="n">
        <f aca="false">-ATAN(A318*Fo/(Q*(Fo^2-A318^2)))</f>
        <v>0.0523832018735393</v>
      </c>
      <c r="H318" s="0" t="n">
        <f aca="false">IF(G318&gt;0,G318-Pi,G318)</f>
        <v>-3.08920944812646</v>
      </c>
      <c r="J318" s="0" t="n">
        <f aca="false">Vin/Vramp</f>
        <v>9</v>
      </c>
      <c r="M318" s="0" t="n">
        <f aca="false">1/(2*Pi*_Rfb1*(Cc1ea_u+Cc2ea_u)*A318)</f>
        <v>0.0113358221704955</v>
      </c>
      <c r="N318" s="0" t="n">
        <f aca="false">-Pi/2</f>
        <v>-1.570796325</v>
      </c>
      <c r="O318" s="0" t="n">
        <f aca="false">SQRT(1+(A318/Fz1_u)^2)</f>
        <v>12.7423924148066</v>
      </c>
      <c r="P318" s="0" t="n">
        <f aca="false">ATAN2(Fz1_u,A318)</f>
        <v>1.49223734870086</v>
      </c>
      <c r="Q318" s="0" t="n">
        <f aca="false">SQRT(1+(A318/Fz2_u)^2)</f>
        <v>14414.4554880374</v>
      </c>
      <c r="R318" s="0" t="n">
        <f aca="false">ATAN2(Fz2_u,A318)</f>
        <v>1.57072695199252</v>
      </c>
      <c r="S318" s="0" t="n">
        <f aca="false">1/SQRT(1+(A318/Fp1_u)^2)</f>
        <v>0.0259467565983472</v>
      </c>
      <c r="T318" s="0" t="n">
        <f aca="false">-ATAN2(Fp1_u,A318)</f>
        <v>-1.54484665794029</v>
      </c>
      <c r="U318" s="0" t="n">
        <f aca="false">1/SQRT(1+(A318/Fp2_u)^2)</f>
        <v>0.578101856650514</v>
      </c>
      <c r="V318" s="0" t="n">
        <f aca="false">-ATAN2(Fp2_u,A318)</f>
        <v>-0.954395815336221</v>
      </c>
      <c r="X318" s="0" t="n">
        <f aca="false">20*LOG(C318*J318*O318*Q318*F318*M318*S318*U318)</f>
        <v>5.78570081350202</v>
      </c>
      <c r="Y318" s="0" t="n">
        <f aca="false">(180/Pi)*(D318+H318+N318+P318+R318+T318+V318)</f>
        <v>-234.512582710653</v>
      </c>
      <c r="Z318" s="0" t="n">
        <f aca="false">Y318+180</f>
        <v>-54.5125827106527</v>
      </c>
      <c r="AC318" s="0" t="n">
        <v>1</v>
      </c>
      <c r="AD318" s="0" t="n">
        <f aca="false">Rcea1_u*Cc1ea_u*A318*2*Pi</f>
        <v>12.703092712128</v>
      </c>
      <c r="AE318" s="0" t="n">
        <f aca="false">-Rcea1_u*Cc1ea_u*Cc2ea_u*(A318*2*Pi)^2</f>
        <v>-0.00622563906068362</v>
      </c>
      <c r="AF318" s="0" t="n">
        <f aca="false">(Cc2ea_u+Cc1ea_u)*A318*2*Pi</f>
        <v>0.0044107960806</v>
      </c>
      <c r="AG318" s="0" t="n">
        <f aca="false">AC318*AE318/(AE318^2+AF318^2)+AD318*AF318/(AE318^2+AF318^2)</f>
        <v>855.556497056696</v>
      </c>
      <c r="AH318" s="0" t="n">
        <f aca="false">AD318*AE318/(AE318^2+AF318^2)-AC318*AF318/(AE318^2+AF318^2)</f>
        <v>-1434.29572147376</v>
      </c>
      <c r="AJ318" s="0" t="n">
        <f aca="false">_Rfb1</f>
        <v>20000</v>
      </c>
      <c r="AK318" s="0" t="n">
        <f aca="false">_Rfb1*Rcea2_u*Cc3ea_u*A318*2*Pi</f>
        <v>770549.73899904</v>
      </c>
      <c r="AL318" s="0" t="n">
        <v>1</v>
      </c>
      <c r="AM318" s="0" t="n">
        <f aca="false">(_Rfb1+Rcea2_u)*Cc3ea_u*A318*2*Pi</f>
        <v>14414.45545335</v>
      </c>
      <c r="AN318" s="0" t="n">
        <f aca="false">AJ318*AL318/(AL318^2+AM318^2)+AK318*AM318/(AL318^2+AM318^2)</f>
        <v>53.4568319476443</v>
      </c>
      <c r="AO318" s="0" t="n">
        <f aca="false">AK318*AL318/(AL318^2+AM318^2)-AJ318*AM318/(AL318^2+AM318^2)</f>
        <v>-1.38378749253526</v>
      </c>
      <c r="AQ318" s="0" t="n">
        <f aca="false">Eadcg/(1+(Eadcg*A318/GBP)^2)</f>
        <v>0.0421044661179263</v>
      </c>
      <c r="AR318" s="0" t="n">
        <f aca="false">-(A318*Eadcg*Eadcg/GBP)/(1+(Eadcg*A318/GBP)^2)</f>
        <v>-11.5383078949565</v>
      </c>
      <c r="AT318" s="0" t="n">
        <f aca="false">-AR318*AH318+AG318*AQ318</f>
        <v>-16513.3228972408</v>
      </c>
      <c r="AU318" s="0" t="n">
        <f aca="false">AQ318*AH318+AG318*AR318</f>
        <v>-9932.06454017849</v>
      </c>
      <c r="AV318" s="0" t="n">
        <f aca="false">ATAN2(AT318,AU318)</f>
        <v>-2.60010203410129</v>
      </c>
      <c r="AW318" s="0" t="n">
        <f aca="false">AG318-AH318*AO318/_Rfb2+AG318*AN318/_Rfb2+AN318-AO318*AR318+AQ318*AN318</f>
        <v>914.985294955997</v>
      </c>
      <c r="AX318" s="0" t="n">
        <f aca="false">AH318+AH318*AN318/_Rfb2+AG318*AO318/_Rfb2+AO318+AO318*AQ318+AN318*AR318</f>
        <v>-2087.57472487738</v>
      </c>
      <c r="AY318" s="0" t="n">
        <f aca="false">ATAN2(AW318,AX318)</f>
        <v>-1.15771408750669</v>
      </c>
      <c r="BA318" s="0" t="n">
        <f aca="false">SQRT(AT318^2+AU318^2)/SQRT(AW318^2+AX318^2)</f>
        <v>8.45441665098338</v>
      </c>
      <c r="BB318" s="0" t="n">
        <f aca="false">20*LOG(BA318)</f>
        <v>18.5416729388548</v>
      </c>
      <c r="BC318" s="0" t="n">
        <f aca="false">AV318-AY318</f>
        <v>-1.44238794659459</v>
      </c>
      <c r="BD318" s="0" t="n">
        <f aca="false">BC318*180/Pi-180</f>
        <v>-262.642741854845</v>
      </c>
      <c r="BF318" s="0" t="n">
        <f aca="false">20*LOG(BA318*J318*F318*C318)</f>
        <v>-5.56441991159169</v>
      </c>
      <c r="BG318" s="0" t="n">
        <f aca="false">(180/Pi)*(D318+H318+BC318)</f>
        <v>-259.454206132793</v>
      </c>
      <c r="BH318" s="0" t="n">
        <f aca="false">IF(BG318&gt;180,BG318-180,BG318+180)</f>
        <v>-79.4542061327929</v>
      </c>
      <c r="BI318" s="0" t="n">
        <f aca="false">IF(BH318&gt;180,BH318-360,BH318)</f>
        <v>-79.4542061327929</v>
      </c>
      <c r="BJ318" s="0" t="n">
        <f aca="false">SUM((BF319&lt;0)*(BF318&gt;0))*A318</f>
        <v>0</v>
      </c>
      <c r="BK318" s="0" t="n">
        <f aca="false">IF(BJ318&gt;0,BI318,0)</f>
        <v>0</v>
      </c>
      <c r="BM318" s="0" t="n">
        <f aca="false">20*LOG(J318*F318*C318)</f>
        <v>-24.1060928504465</v>
      </c>
      <c r="BN318" s="0" t="n">
        <f aca="false">(H318+D318)*180/Pi</f>
        <v>-176.811464277948</v>
      </c>
      <c r="BQ318" s="347" t="n">
        <f aca="false">20*LOG(BA318*7)</f>
        <v>35.44363373914</v>
      </c>
      <c r="BR318" s="353"/>
      <c r="BS318" s="353"/>
      <c r="BT318" s="353" t="n">
        <v>120226.443</v>
      </c>
      <c r="BU318" s="353" t="n">
        <v>7.94462</v>
      </c>
      <c r="BV318" s="353" t="n">
        <v>-129.863</v>
      </c>
      <c r="BY318" s="353"/>
      <c r="BZ318" s="353"/>
      <c r="CA318" s="353"/>
      <c r="CC318" s="353"/>
    </row>
    <row r="319" customFormat="false" ht="12.75" hidden="false" customHeight="false" outlineLevel="0" collapsed="false">
      <c r="A319" s="0" t="n">
        <f aca="false">A318+5000</f>
        <v>525000</v>
      </c>
      <c r="B319" s="0" t="n">
        <f aca="false">A319/1000</f>
        <v>525</v>
      </c>
      <c r="C319" s="0" t="n">
        <f aca="false">SQRT((A319/Fesr)^2+1)</f>
        <v>1.00000544060461</v>
      </c>
      <c r="D319" s="0" t="n">
        <f aca="false">ATAN(A319/Fesr)</f>
        <v>0.00329866031803114</v>
      </c>
      <c r="F319" s="0" t="n">
        <f aca="false">(Ro/(Ro+Rdcr))/SQRT((A319/(Q*Fo))^2+(1-(A319^2/Fo^2))^2)</f>
        <v>0.00679348344813877</v>
      </c>
      <c r="G319" s="0" t="n">
        <f aca="false">-ATAN(A319*Fo/(Q*(Fo^2-A319^2)))</f>
        <v>0.0518783531841698</v>
      </c>
      <c r="H319" s="0" t="n">
        <f aca="false">IF(G319&gt;0,G319-Pi,G319)</f>
        <v>-3.08971429681583</v>
      </c>
      <c r="J319" s="0" t="n">
        <f aca="false">Vin/Vramp</f>
        <v>9</v>
      </c>
      <c r="M319" s="0" t="n">
        <f aca="false">1/(2*Pi*_Rfb1*(Cc1ea_u+Cc2ea_u)*A319)</f>
        <v>0.0112278619593479</v>
      </c>
      <c r="N319" s="0" t="n">
        <f aca="false">-Pi/2</f>
        <v>-1.570796325</v>
      </c>
      <c r="O319" s="0" t="n">
        <f aca="false">SQRT(1+(A319/Fz1_u)^2)</f>
        <v>12.864164392136</v>
      </c>
      <c r="P319" s="0" t="n">
        <f aca="false">ATAN2(Fz1_u,A319)</f>
        <v>1.49298249853965</v>
      </c>
      <c r="Q319" s="0" t="n">
        <f aca="false">SQRT(1+(A319/Fz2_u)^2)</f>
        <v>14553.0560209123</v>
      </c>
      <c r="R319" s="0" t="n">
        <f aca="false">ATAN2(Fz2_u,A319)</f>
        <v>1.57072761270492</v>
      </c>
      <c r="S319" s="0" t="n">
        <f aca="false">1/SQRT(1+(A319/Fp1_u)^2)</f>
        <v>0.0256998086274491</v>
      </c>
      <c r="T319" s="0" t="n">
        <f aca="false">-ATAN2(Fp1_u,A319)</f>
        <v>-1.54509368829065</v>
      </c>
      <c r="U319" s="0" t="n">
        <f aca="false">1/SQRT(1+(A319/Fp2_u)^2)</f>
        <v>0.574418611621717</v>
      </c>
      <c r="V319" s="0" t="n">
        <f aca="false">-ATAN2(Fp2_u,A319)</f>
        <v>-0.95890261191862</v>
      </c>
      <c r="X319" s="0" t="n">
        <f aca="false">20*LOG(C319*J319*O319*Q319*F319*M319*S319*U319)</f>
        <v>5.56257266469823</v>
      </c>
      <c r="Y319" s="0" t="n">
        <f aca="false">(180/Pi)*(D319+H319+N319+P319+R319+T319+V319)</f>
        <v>-234.769350852425</v>
      </c>
      <c r="Z319" s="0" t="n">
        <f aca="false">Y319+180</f>
        <v>-54.7693508524248</v>
      </c>
      <c r="AC319" s="0" t="n">
        <v>1</v>
      </c>
      <c r="AD319" s="0" t="n">
        <f aca="false">Rcea1_u*Cc1ea_u*A319*2*Pi</f>
        <v>12.82523783436</v>
      </c>
      <c r="AE319" s="0" t="n">
        <f aca="false">-Rcea1_u*Cc1ea_u*Cc2ea_u*(A319*2*Pi)^2</f>
        <v>-0.00634593848410105</v>
      </c>
      <c r="AF319" s="0" t="n">
        <f aca="false">(Cc2ea_u+Cc1ea_u)*A319*2*Pi</f>
        <v>0.004453207581375</v>
      </c>
      <c r="AG319" s="0" t="n">
        <f aca="false">AC319*AE319/(AE319^2+AF319^2)+AD319*AF319/(AE319^2+AF319^2)</f>
        <v>844.6892579262</v>
      </c>
      <c r="AH319" s="0" t="n">
        <f aca="false">AD319*AE319/(AE319^2+AF319^2)-AC319*AF319/(AE319^2+AF319^2)</f>
        <v>-1428.26175352391</v>
      </c>
      <c r="AJ319" s="0" t="n">
        <f aca="false">_Rfb1</f>
        <v>20000</v>
      </c>
      <c r="AK319" s="0" t="n">
        <f aca="false">_Rfb1*Rcea2_u*Cc3ea_u*A319*2*Pi</f>
        <v>777958.8711048</v>
      </c>
      <c r="AL319" s="0" t="n">
        <v>1</v>
      </c>
      <c r="AM319" s="0" t="n">
        <f aca="false">(_Rfb1+Rcea2_u)*Cc3ea_u*A319*2*Pi</f>
        <v>14553.0559865552</v>
      </c>
      <c r="AN319" s="0" t="n">
        <f aca="false">AJ319*AL319/(AL319^2+AM319^2)+AK319*AM319/(AL319^2+AM319^2)</f>
        <v>53.4568301277806</v>
      </c>
      <c r="AO319" s="0" t="n">
        <f aca="false">AK319*AL319/(AL319^2+AM319^2)-AJ319*AM319/(AL319^2+AM319^2)</f>
        <v>-1.37060856415998</v>
      </c>
      <c r="AQ319" s="0" t="n">
        <f aca="false">Eadcg/(1+(Eadcg*A319/GBP)^2)</f>
        <v>0.0413063057130861</v>
      </c>
      <c r="AR319" s="0" t="n">
        <f aca="false">-(A319*Eadcg*Eadcg/GBP)/(1+(Eadcg*A319/GBP)^2)</f>
        <v>-11.4284221331681</v>
      </c>
      <c r="AT319" s="0" t="n">
        <f aca="false">-AR319*AH319+AG319*AQ319</f>
        <v>-16287.8872432097</v>
      </c>
      <c r="AU319" s="0" t="n">
        <f aca="false">AQ319*AH319+AG319*AR319</f>
        <v>-9712.46162756249</v>
      </c>
      <c r="AV319" s="0" t="n">
        <f aca="false">ATAN2(AT319,AU319)</f>
        <v>-2.60389843374195</v>
      </c>
      <c r="AW319" s="0" t="n">
        <f aca="false">AG319-AH319*AO319/_Rfb2+AG319*AN319/_Rfb2+AN319-AO319*AR319+AQ319*AN319</f>
        <v>904.128869042351</v>
      </c>
      <c r="AX319" s="0" t="n">
        <f aca="false">AH319+AH319*AN319/_Rfb2+AG319*AO319/_Rfb2+AO319+AO319*AQ319+AN319*AR319</f>
        <v>-2075.49483538597</v>
      </c>
      <c r="AY319" s="0" t="n">
        <f aca="false">ATAN2(AW319,AX319)</f>
        <v>-1.15996420869638</v>
      </c>
      <c r="BA319" s="0" t="n">
        <f aca="false">SQRT(AT319^2+AU319^2)/SQRT(AW319^2+AX319^2)</f>
        <v>8.37671817001374</v>
      </c>
      <c r="BB319" s="0" t="n">
        <f aca="false">20*LOG(BA319)</f>
        <v>18.4614780818769</v>
      </c>
      <c r="BC319" s="0" t="n">
        <f aca="false">AV319-AY319</f>
        <v>-1.44393422504558</v>
      </c>
      <c r="BD319" s="0" t="n">
        <f aca="false">BC319*180/Pi-180</f>
        <v>-262.731337084139</v>
      </c>
      <c r="BF319" s="0" t="n">
        <f aca="false">20*LOG(BA319*J319*F319*C319)</f>
        <v>-5.81177404075581</v>
      </c>
      <c r="BG319" s="0" t="n">
        <f aca="false">(180/Pi)*(D319+H319+BC319)</f>
        <v>-259.569927080714</v>
      </c>
      <c r="BH319" s="0" t="n">
        <f aca="false">IF(BG319&gt;180,BG319-180,BG319+180)</f>
        <v>-79.5699270807143</v>
      </c>
      <c r="BI319" s="0" t="n">
        <f aca="false">IF(BH319&gt;180,BH319-360,BH319)</f>
        <v>-79.5699270807143</v>
      </c>
      <c r="BJ319" s="0" t="n">
        <f aca="false">SUM((BF320&lt;0)*(BF319&gt;0))*A319</f>
        <v>0</v>
      </c>
      <c r="BK319" s="0" t="n">
        <f aca="false">IF(BJ319&gt;0,BI319,0)</f>
        <v>0</v>
      </c>
      <c r="BM319" s="0" t="n">
        <f aca="false">20*LOG(J319*F319*C319)</f>
        <v>-24.2732521226327</v>
      </c>
      <c r="BN319" s="0" t="n">
        <f aca="false">(H319+D319)*180/Pi</f>
        <v>-176.838589996575</v>
      </c>
      <c r="BQ319" s="347" t="n">
        <f aca="false">20*LOG(BA319*7)</f>
        <v>35.363438882162</v>
      </c>
      <c r="BR319" s="353"/>
      <c r="BS319" s="353"/>
      <c r="BT319" s="353" t="n">
        <v>123026.877</v>
      </c>
      <c r="BU319" s="353" t="n">
        <v>8.18659</v>
      </c>
      <c r="BV319" s="353" t="n">
        <v>-130.313</v>
      </c>
      <c r="BY319" s="353"/>
      <c r="BZ319" s="353"/>
      <c r="CA319" s="353"/>
      <c r="CC319" s="353"/>
    </row>
    <row r="320" customFormat="false" ht="12.75" hidden="false" customHeight="false" outlineLevel="0" collapsed="false">
      <c r="A320" s="0" t="n">
        <f aca="false">A319+5000</f>
        <v>530000</v>
      </c>
      <c r="B320" s="0" t="n">
        <f aca="false">A320/1000</f>
        <v>530</v>
      </c>
      <c r="C320" s="0" t="n">
        <f aca="false">SQRT((A320/Fesr)^2+1)</f>
        <v>1.00000554472837</v>
      </c>
      <c r="D320" s="0" t="n">
        <f aca="false">ATAN(A320/Fesr)</f>
        <v>0.00333007589942474</v>
      </c>
      <c r="F320" s="0" t="n">
        <f aca="false">(Ro/(Ro+Rdcr))/SQRT((A320/(Q*Fo))^2+(1-(A320^2/Fo^2))^2)</f>
        <v>0.00666522171701839</v>
      </c>
      <c r="G320" s="0" t="n">
        <f aca="false">-ATAN(A320*Fo/(Q*(Fo^2-A320^2)))</f>
        <v>0.0513831973663376</v>
      </c>
      <c r="H320" s="0" t="n">
        <f aca="false">IF(G320&gt;0,G320-Pi,G320)</f>
        <v>-3.09020945263366</v>
      </c>
      <c r="J320" s="0" t="n">
        <f aca="false">Vin/Vramp</f>
        <v>9</v>
      </c>
      <c r="M320" s="0" t="n">
        <f aca="false">1/(2*Pi*_Rfb1*(Cc1ea_u+Cc2ea_u)*A320)</f>
        <v>0.0111219387333163</v>
      </c>
      <c r="N320" s="0" t="n">
        <f aca="false">-Pi/2</f>
        <v>-1.570796325</v>
      </c>
      <c r="O320" s="0" t="n">
        <f aca="false">SQRT(1+(A320/Fz1_u)^2)</f>
        <v>12.9859433783091</v>
      </c>
      <c r="P320" s="0" t="n">
        <f aca="false">ATAN2(Fz1_u,A320)</f>
        <v>1.49371367311391</v>
      </c>
      <c r="Q320" s="0" t="n">
        <f aca="false">SQRT(1+(A320/Fz2_u)^2)</f>
        <v>14691.6565537934</v>
      </c>
      <c r="R320" s="0" t="n">
        <f aca="false">ATAN2(Fz2_u,A320)</f>
        <v>1.57072826095105</v>
      </c>
      <c r="S320" s="0" t="n">
        <f aca="false">1/SQRT(1+(A320/Fp1_u)^2)</f>
        <v>0.0254575154793004</v>
      </c>
      <c r="T320" s="0" t="n">
        <f aca="false">-ATAN2(Fp1_u,A320)</f>
        <v>-1.54533606074063</v>
      </c>
      <c r="U320" s="0" t="n">
        <f aca="false">1/SQRT(1+(A320/Fp2_u)^2)</f>
        <v>0.570770629722511</v>
      </c>
      <c r="V320" s="0" t="n">
        <f aca="false">-ATAN2(Fp2_u,A320)</f>
        <v>-0.963352254960436</v>
      </c>
      <c r="X320" s="0" t="n">
        <f aca="false">20*LOG(C320*J320*O320*Q320*F320*M320*S320*U320)</f>
        <v>5.34123845420806</v>
      </c>
      <c r="Y320" s="0" t="n">
        <f aca="false">(180/Pi)*(D320+H320+N320+P320+R320+T320+V320)</f>
        <v>-235.022823537183</v>
      </c>
      <c r="Z320" s="0" t="n">
        <f aca="false">Y320+180</f>
        <v>-55.0228235371826</v>
      </c>
      <c r="AC320" s="0" t="n">
        <v>1</v>
      </c>
      <c r="AD320" s="0" t="n">
        <f aca="false">Rcea1_u*Cc1ea_u*A320*2*Pi</f>
        <v>12.947382956592</v>
      </c>
      <c r="AE320" s="0" t="n">
        <f aca="false">-Rcea1_u*Cc1ea_u*Cc2ea_u*(A320*2*Pi)^2</f>
        <v>-0.00646738909817319</v>
      </c>
      <c r="AF320" s="0" t="n">
        <f aca="false">(Cc2ea_u+Cc1ea_u)*A320*2*Pi</f>
        <v>0.00449561908215</v>
      </c>
      <c r="AG320" s="0" t="n">
        <f aca="false">AC320*AE320/(AE320^2+AF320^2)+AD320*AF320/(AE320^2+AF320^2)</f>
        <v>833.994526089809</v>
      </c>
      <c r="AH320" s="0" t="n">
        <f aca="false">AD320*AE320/(AE320^2+AF320^2)-AC320*AF320/(AE320^2+AF320^2)</f>
        <v>-1422.22172055368</v>
      </c>
      <c r="AJ320" s="0" t="n">
        <f aca="false">_Rfb1</f>
        <v>20000</v>
      </c>
      <c r="AK320" s="0" t="n">
        <f aca="false">_Rfb1*Rcea2_u*Cc3ea_u*A320*2*Pi</f>
        <v>785368.00321056</v>
      </c>
      <c r="AL320" s="0" t="n">
        <v>1</v>
      </c>
      <c r="AM320" s="0" t="n">
        <f aca="false">(_Rfb1+Rcea2_u)*Cc3ea_u*A320*2*Pi</f>
        <v>14691.6565197605</v>
      </c>
      <c r="AN320" s="0" t="n">
        <f aca="false">AJ320*AL320/(AL320^2+AM320^2)+AK320*AM320/(AL320^2+AM320^2)</f>
        <v>53.4568283591792</v>
      </c>
      <c r="AO320" s="0" t="n">
        <f aca="false">AK320*AL320/(AL320^2+AM320^2)-AJ320*AM320/(AL320^2+AM320^2)</f>
        <v>-1.35767829480715</v>
      </c>
      <c r="AQ320" s="0" t="n">
        <f aca="false">Eadcg/(1+(Eadcg*A320/GBP)^2)</f>
        <v>0.0405306276436485</v>
      </c>
      <c r="AR320" s="0" t="n">
        <f aca="false">-(A320*Eadcg*Eadcg/GBP)/(1+(Eadcg*A320/GBP)^2)</f>
        <v>-11.3206096071475</v>
      </c>
      <c r="AT320" s="0" t="n">
        <f aca="false">-AR320*AH320+AG320*AQ320</f>
        <v>-16066.6145516</v>
      </c>
      <c r="AU320" s="0" t="n">
        <f aca="false">AQ320*AH320+AG320*AR320</f>
        <v>-9498.96998334316</v>
      </c>
      <c r="AV320" s="0" t="n">
        <f aca="false">ATAN2(AT320,AU320)</f>
        <v>-2.60765099940001</v>
      </c>
      <c r="AW320" s="0" t="n">
        <f aca="false">AG320-AH320*AO320/_Rfb2+AG320*AN320/_Rfb2+AN320-AO320*AR320+AQ320*AN320</f>
        <v>893.441549509591</v>
      </c>
      <c r="AX320" s="0" t="n">
        <f aca="false">AH320+AH320*AN320/_Rfb2+AG320*AO320/_Rfb2+AO320+AO320*AQ320+AN320*AR320</f>
        <v>-2063.52020249415</v>
      </c>
      <c r="AY320" s="0" t="n">
        <f aca="false">ATAN2(AW320,AX320)</f>
        <v>-1.16219475519436</v>
      </c>
      <c r="BA320" s="0" t="n">
        <f aca="false">SQRT(AT320^2+AU320^2)/SQRT(AW320^2+AX320^2)</f>
        <v>8.30040918767725</v>
      </c>
      <c r="BB320" s="0" t="n">
        <f aca="false">20*LOG(BA320)</f>
        <v>18.3819900488949</v>
      </c>
      <c r="BC320" s="0" t="n">
        <f aca="false">AV320-AY320</f>
        <v>-1.44545624420566</v>
      </c>
      <c r="BD320" s="0" t="n">
        <f aca="false">BC320*180/Pi-180</f>
        <v>-262.818542358449</v>
      </c>
      <c r="BF320" s="0" t="n">
        <f aca="false">20*LOG(BA320*J320*F320*C320)</f>
        <v>-6.05681958769297</v>
      </c>
      <c r="BG320" s="0" t="n">
        <f aca="false">(180/Pi)*(D320+H320+BC320)</f>
        <v>-259.683702713393</v>
      </c>
      <c r="BH320" s="0" t="n">
        <f aca="false">IF(BG320&gt;180,BG320-180,BG320+180)</f>
        <v>-79.6837027133931</v>
      </c>
      <c r="BI320" s="0" t="n">
        <f aca="false">IF(BH320&gt;180,BH320-360,BH320)</f>
        <v>-79.6837027133931</v>
      </c>
      <c r="BJ320" s="0" t="n">
        <f aca="false">SUM((BF321&lt;0)*(BF320&gt;0))*A320</f>
        <v>0</v>
      </c>
      <c r="BK320" s="0" t="n">
        <f aca="false">IF(BJ320&gt;0,BI320,0)</f>
        <v>0</v>
      </c>
      <c r="BM320" s="0" t="n">
        <f aca="false">20*LOG(J320*F320*C320)</f>
        <v>-24.4388096365878</v>
      </c>
      <c r="BN320" s="0" t="n">
        <f aca="false">(H320+D320)*180/Pi</f>
        <v>-176.865160354944</v>
      </c>
      <c r="BQ320" s="347" t="n">
        <f aca="false">20*LOG(BA320*7)</f>
        <v>35.28395084918</v>
      </c>
      <c r="BR320" s="353"/>
      <c r="BS320" s="353"/>
      <c r="BT320" s="353" t="n">
        <v>125892.541</v>
      </c>
      <c r="BU320" s="353" t="n">
        <v>8.44458</v>
      </c>
      <c r="BV320" s="353" t="n">
        <v>-130.771</v>
      </c>
      <c r="BY320" s="353"/>
      <c r="BZ320" s="353"/>
      <c r="CA320" s="353"/>
      <c r="CC320" s="353"/>
    </row>
    <row r="321" customFormat="false" ht="12.75" hidden="false" customHeight="false" outlineLevel="0" collapsed="false">
      <c r="A321" s="0" t="n">
        <f aca="false">A320+5000</f>
        <v>535000</v>
      </c>
      <c r="B321" s="0" t="n">
        <f aca="false">A321/1000</f>
        <v>535</v>
      </c>
      <c r="C321" s="0" t="n">
        <f aca="false">SQRT((A321/Fesr)^2+1)</f>
        <v>1.00000564983907</v>
      </c>
      <c r="D321" s="0" t="n">
        <f aca="false">ATAN(A321/Fesr)</f>
        <v>0.00336149147424515</v>
      </c>
      <c r="F321" s="0" t="n">
        <f aca="false">(Ro/(Ro+Rdcr))/SQRT((A321/(Q*Fo))^2+(1-(A321^2/Fo^2))^2)</f>
        <v>0.006540564595605</v>
      </c>
      <c r="G321" s="0" t="n">
        <f aca="false">-ATAN(A321*Fo/(Q*(Fo^2-A321^2)))</f>
        <v>0.0508974564359398</v>
      </c>
      <c r="H321" s="0" t="n">
        <f aca="false">IF(G321&gt;0,G321-Pi,G321)</f>
        <v>-3.09069519356406</v>
      </c>
      <c r="J321" s="0" t="n">
        <f aca="false">Vin/Vramp</f>
        <v>9</v>
      </c>
      <c r="M321" s="0" t="n">
        <f aca="false">1/(2*Pi*_Rfb1*(Cc1ea_u+Cc2ea_u)*A321)</f>
        <v>0.0110179953806685</v>
      </c>
      <c r="N321" s="0" t="n">
        <f aca="false">-Pi/2</f>
        <v>-1.570796325</v>
      </c>
      <c r="O321" s="0" t="n">
        <f aca="false">SQRT(1+(A321/Fz1_u)^2)</f>
        <v>13.1077291779762</v>
      </c>
      <c r="P321" s="0" t="n">
        <f aca="false">ATAN2(Fz1_u,A321)</f>
        <v>1.49443126116934</v>
      </c>
      <c r="Q321" s="0" t="n">
        <f aca="false">SQRT(1+(A321/Fz2_u)^2)</f>
        <v>14830.2570866807</v>
      </c>
      <c r="R321" s="0" t="n">
        <f aca="false">ATAN2(Fz2_u,A321)</f>
        <v>1.57072889708043</v>
      </c>
      <c r="S321" s="0" t="n">
        <f aca="false">1/SQRT(1+(A321/Fp1_u)^2)</f>
        <v>0.0252197468132758</v>
      </c>
      <c r="T321" s="0" t="n">
        <f aca="false">-ATAN2(Fp1_u,A321)</f>
        <v>-1.54557390577323</v>
      </c>
      <c r="U321" s="0" t="n">
        <f aca="false">1/SQRT(1+(A321/Fp2_u)^2)</f>
        <v>0.56715767265869</v>
      </c>
      <c r="V321" s="0" t="n">
        <f aca="false">-ATAN2(Fp2_u,A321)</f>
        <v>-0.967745651921284</v>
      </c>
      <c r="X321" s="0" t="n">
        <f aca="false">20*LOG(C321*J321*O321*Q321*F321*M321*S321*U321)</f>
        <v>5.12166923392036</v>
      </c>
      <c r="Y321" s="0" t="n">
        <f aca="false">(180/Pi)*(D321+H321+N321+P321+R321+T321+V321)</f>
        <v>-235.273053868464</v>
      </c>
      <c r="Z321" s="0" t="n">
        <f aca="false">Y321+180</f>
        <v>-55.2730538684637</v>
      </c>
      <c r="AC321" s="0" t="n">
        <v>1</v>
      </c>
      <c r="AD321" s="0" t="n">
        <f aca="false">Rcea1_u*Cc1ea_u*A321*2*Pi</f>
        <v>13.069528078824</v>
      </c>
      <c r="AE321" s="0" t="n">
        <f aca="false">-Rcea1_u*Cc1ea_u*Cc2ea_u*(A321*2*Pi)^2</f>
        <v>-0.00658999090290004</v>
      </c>
      <c r="AF321" s="0" t="n">
        <f aca="false">(Cc2ea_u+Cc1ea_u)*A321*2*Pi</f>
        <v>0.004538030582925</v>
      </c>
      <c r="AG321" s="0" t="n">
        <f aca="false">AC321*AE321/(AE321^2+AF321^2)+AD321*AF321/(AE321^2+AF321^2)</f>
        <v>823.469633678391</v>
      </c>
      <c r="AH321" s="0" t="n">
        <f aca="false">AD321*AE321/(AE321^2+AF321^2)-AC321*AF321/(AE321^2+AF321^2)</f>
        <v>-1416.177629771</v>
      </c>
      <c r="AJ321" s="0" t="n">
        <f aca="false">_Rfb1</f>
        <v>20000</v>
      </c>
      <c r="AK321" s="0" t="n">
        <f aca="false">_Rfb1*Rcea2_u*Cc3ea_u*A321*2*Pi</f>
        <v>792777.13531632</v>
      </c>
      <c r="AL321" s="0" t="n">
        <v>1</v>
      </c>
      <c r="AM321" s="0" t="n">
        <f aca="false">(_Rfb1+Rcea2_u)*Cc3ea_u*A321*2*Pi</f>
        <v>14830.2570529658</v>
      </c>
      <c r="AN321" s="0" t="n">
        <f aca="false">AJ321*AL321/(AL321^2+AM321^2)+AK321*AM321/(AL321^2+AM321^2)</f>
        <v>53.4568266399327</v>
      </c>
      <c r="AO321" s="0" t="n">
        <f aca="false">AK321*AL321/(AL321^2+AM321^2)-AJ321*AM321/(AL321^2+AM321^2)</f>
        <v>-1.34498971272862</v>
      </c>
      <c r="AQ321" s="0" t="n">
        <f aca="false">Eadcg/(1+(Eadcg*A321/GBP)^2)</f>
        <v>0.0397765954060395</v>
      </c>
      <c r="AR321" s="0" t="n">
        <f aca="false">-(A321*Eadcg*Eadcg/GBP)/(1+(Eadcg*A321/GBP)^2)</f>
        <v>-11.2148121917558</v>
      </c>
      <c r="AT321" s="0" t="n">
        <f aca="false">-AR321*AH321+AG321*AQ321</f>
        <v>-15849.4113295997</v>
      </c>
      <c r="AU321" s="0" t="n">
        <f aca="false">AQ321*AH321+AG321*AR321</f>
        <v>-9291.3880119196</v>
      </c>
      <c r="AV321" s="0" t="n">
        <f aca="false">ATAN2(AT321,AU321)</f>
        <v>-2.61136026817338</v>
      </c>
      <c r="AW321" s="0" t="n">
        <f aca="false">AG321-AH321*AO321/_Rfb2+AG321*AN321/_Rfb2+AN321-AO321*AR321+AQ321*AN321</f>
        <v>882.920881953486</v>
      </c>
      <c r="AX321" s="0" t="n">
        <f aca="false">AH321+AH321*AN321/_Rfb2+AG321*AO321/_Rfb2+AO321+AO321*AQ321+AN321*AR321</f>
        <v>-2051.64975383388</v>
      </c>
      <c r="AY321" s="0" t="n">
        <f aca="false">ATAN2(AW321,AX321)</f>
        <v>-1.16440563239498</v>
      </c>
      <c r="BA321" s="0" t="n">
        <f aca="false">SQRT(AT321^2+AU321^2)/SQRT(AW321^2+AX321^2)</f>
        <v>8.22545340937937</v>
      </c>
      <c r="BB321" s="0" t="n">
        <f aca="false">20*LOG(BA321)</f>
        <v>18.3031969355143</v>
      </c>
      <c r="BC321" s="0" t="n">
        <f aca="false">AV321-AY321</f>
        <v>-1.4469546357784</v>
      </c>
      <c r="BD321" s="0" t="n">
        <f aca="false">BC321*180/Pi-180</f>
        <v>-262.904393871724</v>
      </c>
      <c r="BF321" s="0" t="n">
        <f aca="false">20*LOG(BA321*J321*F321*C321)</f>
        <v>-6.29959901843313</v>
      </c>
      <c r="BG321" s="0" t="n">
        <f aca="false">(180/Pi)*(D321+H321+BC321)</f>
        <v>-259.795585152097</v>
      </c>
      <c r="BH321" s="0" t="n">
        <f aca="false">IF(BG321&gt;180,BG321-180,BG321+180)</f>
        <v>-79.7955851520974</v>
      </c>
      <c r="BI321" s="0" t="n">
        <f aca="false">IF(BH321&gt;180,BH321-360,BH321)</f>
        <v>-79.7955851520974</v>
      </c>
      <c r="BJ321" s="0" t="n">
        <f aca="false">SUM((BF322&lt;0)*(BF321&gt;0))*A321</f>
        <v>0</v>
      </c>
      <c r="BK321" s="0" t="n">
        <f aca="false">IF(BJ321&gt;0,BI321,0)</f>
        <v>0</v>
      </c>
      <c r="BM321" s="0" t="n">
        <f aca="false">20*LOG(J321*F321*C321)</f>
        <v>-24.6027959539474</v>
      </c>
      <c r="BN321" s="0" t="n">
        <f aca="false">(H321+D321)*180/Pi</f>
        <v>-176.891191280374</v>
      </c>
      <c r="BQ321" s="347" t="n">
        <f aca="false">20*LOG(BA321*7)</f>
        <v>35.2051577357994</v>
      </c>
      <c r="BR321" s="353"/>
      <c r="BS321" s="353"/>
      <c r="BT321" s="353" t="n">
        <v>128824.955</v>
      </c>
      <c r="BU321" s="353" t="n">
        <v>8.67805</v>
      </c>
      <c r="BV321" s="353" t="n">
        <v>-131.426</v>
      </c>
      <c r="BY321" s="353"/>
      <c r="BZ321" s="353"/>
      <c r="CA321" s="353"/>
      <c r="CC321" s="353"/>
    </row>
    <row r="322" customFormat="false" ht="12.75" hidden="false" customHeight="false" outlineLevel="0" collapsed="false">
      <c r="A322" s="0" t="n">
        <f aca="false">A321+5000</f>
        <v>540000</v>
      </c>
      <c r="B322" s="0" t="n">
        <f aca="false">A322/1000</f>
        <v>540</v>
      </c>
      <c r="C322" s="0" t="n">
        <f aca="false">SQRT((A322/Fesr)^2+1)</f>
        <v>1.00000575593671</v>
      </c>
      <c r="D322" s="0" t="n">
        <f aca="false">ATAN(A322/Fesr)</f>
        <v>0.00339290704243037</v>
      </c>
      <c r="F322" s="0" t="n">
        <f aca="false">(Ro/(Ro+Rdcr))/SQRT((A322/(Q*Fo))^2+(1-(A322^2/Fo^2))^2)</f>
        <v>0.00641937804413595</v>
      </c>
      <c r="G322" s="0" t="n">
        <f aca="false">-ATAN(A322*Fo/(Q*(Fo^2-A322^2)))</f>
        <v>0.0504208629913296</v>
      </c>
      <c r="H322" s="0" t="n">
        <f aca="false">IF(G322&gt;0,G322-Pi,G322)</f>
        <v>-3.09117178700867</v>
      </c>
      <c r="J322" s="0" t="n">
        <f aca="false">Vin/Vramp</f>
        <v>9</v>
      </c>
      <c r="M322" s="0" t="n">
        <f aca="false">1/(2*Pi*_Rfb1*(Cc1ea_u+Cc2ea_u)*A322)</f>
        <v>0.0109159769049216</v>
      </c>
      <c r="N322" s="0" t="n">
        <f aca="false">-Pi/2</f>
        <v>-1.570796325</v>
      </c>
      <c r="O322" s="0" t="n">
        <f aca="false">SQRT(1+(A322/Fz1_u)^2)</f>
        <v>13.2295216029703</v>
      </c>
      <c r="P322" s="0" t="n">
        <f aca="false">ATAN2(Fz1_u,A322)</f>
        <v>1.49513563719344</v>
      </c>
      <c r="Q322" s="0" t="n">
        <f aca="false">SQRT(1+(A322/Fz2_u)^2)</f>
        <v>14968.8576195738</v>
      </c>
      <c r="R322" s="0" t="n">
        <f aca="false">ATAN2(Fz2_u,A322)</f>
        <v>1.57072952142964</v>
      </c>
      <c r="S322" s="0" t="n">
        <f aca="false">1/SQRT(1+(A322/Fp1_u)^2)</f>
        <v>0.0249863771084985</v>
      </c>
      <c r="T322" s="0" t="n">
        <f aca="false">-ATAN2(Fp1_u,A322)</f>
        <v>-1.54580734904387</v>
      </c>
      <c r="U322" s="0" t="n">
        <f aca="false">1/SQRT(1+(A322/Fp2_u)^2)</f>
        <v>0.56357949401288</v>
      </c>
      <c r="V322" s="0" t="n">
        <f aca="false">-ATAN2(Fp2_u,A322)</f>
        <v>-0.972083696150975</v>
      </c>
      <c r="X322" s="0" t="n">
        <f aca="false">20*LOG(C322*J322*O322*Q322*F322*M322*S322*U322)</f>
        <v>4.90383680569897</v>
      </c>
      <c r="Y322" s="0" t="n">
        <f aca="false">(180/Pi)*(D322+H322+N322+P322+R322+T322+V322)</f>
        <v>-235.520094076118</v>
      </c>
      <c r="Z322" s="0" t="n">
        <f aca="false">Y322+180</f>
        <v>-55.5200940761176</v>
      </c>
      <c r="AC322" s="0" t="n">
        <v>1</v>
      </c>
      <c r="AD322" s="0" t="n">
        <f aca="false">Rcea1_u*Cc1ea_u*A322*2*Pi</f>
        <v>13.191673201056</v>
      </c>
      <c r="AE322" s="0" t="n">
        <f aca="false">-Rcea1_u*Cc1ea_u*Cc2ea_u*(A322*2*Pi)^2</f>
        <v>-0.0067137438982816</v>
      </c>
      <c r="AF322" s="0" t="n">
        <f aca="false">(Cc2ea_u+Cc1ea_u)*A322*2*Pi</f>
        <v>0.0045804420837</v>
      </c>
      <c r="AG322" s="0" t="n">
        <f aca="false">AC322*AE322/(AE322^2+AF322^2)+AD322*AF322/(AE322^2+AF322^2)</f>
        <v>813.111925943844</v>
      </c>
      <c r="AH322" s="0" t="n">
        <f aca="false">AD322*AE322/(AE322^2+AF322^2)-AC322*AF322/(AE322^2+AF322^2)</f>
        <v>-1410.13140509093</v>
      </c>
      <c r="AJ322" s="0" t="n">
        <f aca="false">_Rfb1</f>
        <v>20000</v>
      </c>
      <c r="AK322" s="0" t="n">
        <f aca="false">_Rfb1*Rcea2_u*Cc3ea_u*A322*2*Pi</f>
        <v>800186.26742208</v>
      </c>
      <c r="AL322" s="0" t="n">
        <v>1</v>
      </c>
      <c r="AM322" s="0" t="n">
        <f aca="false">(_Rfb1+Rcea2_u)*Cc3ea_u*A322*2*Pi</f>
        <v>14968.8575861711</v>
      </c>
      <c r="AN322" s="0" t="n">
        <f aca="false">AJ322*AL322/(AL322^2+AM322^2)+AK322*AM322/(AL322^2+AM322^2)</f>
        <v>53.4568249682216</v>
      </c>
      <c r="AO322" s="0" t="n">
        <f aca="false">AK322*AL322/(AL322^2+AM322^2)-AJ322*AM322/(AL322^2+AM322^2)</f>
        <v>-1.33253610438911</v>
      </c>
      <c r="AQ322" s="0" t="n">
        <f aca="false">Eadcg/(1+(Eadcg*A322/GBP)^2)</f>
        <v>0.0390434110425958</v>
      </c>
      <c r="AR322" s="0" t="n">
        <f aca="false">-(A322*Eadcg*Eadcg/GBP)/(1+(Eadcg*A322/GBP)^2)</f>
        <v>-11.1109739145019</v>
      </c>
      <c r="AT322" s="0" t="n">
        <f aca="false">-AR322*AH322+AG322*AQ322</f>
        <v>-15636.186594837</v>
      </c>
      <c r="AU322" s="0" t="n">
        <f aca="false">AQ322*AH322+AG322*AR322</f>
        <v>-9089.52173880552</v>
      </c>
      <c r="AV322" s="0" t="n">
        <f aca="false">ATAN2(AT322,AU322)</f>
        <v>-2.61502677662744</v>
      </c>
      <c r="AW322" s="0" t="n">
        <f aca="false">AG322-AH322*AO322/_Rfb2+AG322*AN322/_Rfb2+AN322-AO322*AR322+AQ322*AN322</f>
        <v>872.564412709325</v>
      </c>
      <c r="AX322" s="0" t="n">
        <f aca="false">AH322+AH322*AN322/_Rfb2+AG322*AO322/_Rfb2+AO322+AO322*AQ322+AN322*AR322</f>
        <v>-2039.88244764024</v>
      </c>
      <c r="AY322" s="0" t="n">
        <f aca="false">ATAN2(AW322,AX322)</f>
        <v>-1.16659676645639</v>
      </c>
      <c r="BA322" s="0" t="n">
        <f aca="false">SQRT(AT322^2+AU322^2)/SQRT(AW322^2+AX322^2)</f>
        <v>8.15181577069712</v>
      </c>
      <c r="BB322" s="0" t="n">
        <f aca="false">20*LOG(BA322)</f>
        <v>18.2250871229268</v>
      </c>
      <c r="BC322" s="0" t="n">
        <f aca="false">AV322-AY322</f>
        <v>-1.44843001017105</v>
      </c>
      <c r="BD322" s="0" t="n">
        <f aca="false">BC322*180/Pi-180</f>
        <v>-262.98892659772</v>
      </c>
      <c r="BF322" s="0" t="n">
        <f aca="false">20*LOG(BA322*J322*F322*C322)</f>
        <v>-6.54015364278925</v>
      </c>
      <c r="BG322" s="0" t="n">
        <f aca="false">(180/Pi)*(D322+H322+BC322)</f>
        <v>-259.905624691575</v>
      </c>
      <c r="BH322" s="0" t="n">
        <f aca="false">IF(BG322&gt;180,BG322-180,BG322+180)</f>
        <v>-79.9056246915753</v>
      </c>
      <c r="BI322" s="0" t="n">
        <f aca="false">IF(BH322&gt;180,BH322-360,BH322)</f>
        <v>-79.9056246915753</v>
      </c>
      <c r="BJ322" s="0" t="n">
        <f aca="false">SUM((BF323&lt;0)*(BF322&gt;0))*A322</f>
        <v>0</v>
      </c>
      <c r="BK322" s="0" t="n">
        <f aca="false">IF(BJ322&gt;0,BI322,0)</f>
        <v>0</v>
      </c>
      <c r="BM322" s="0" t="n">
        <f aca="false">20*LOG(J322*F322*C322)</f>
        <v>-24.7652407657161</v>
      </c>
      <c r="BN322" s="0" t="n">
        <f aca="false">(H322+D322)*180/Pi</f>
        <v>-176.916698093855</v>
      </c>
      <c r="BQ322" s="347" t="n">
        <f aca="false">20*LOG(BA322*7)</f>
        <v>35.127047923212</v>
      </c>
      <c r="BR322" s="353"/>
      <c r="BS322" s="353"/>
      <c r="BT322" s="353" t="n">
        <v>131825.674</v>
      </c>
      <c r="BU322" s="353" t="n">
        <v>8.88895</v>
      </c>
      <c r="BV322" s="353" t="n">
        <v>-132.064</v>
      </c>
      <c r="BY322" s="353"/>
      <c r="BZ322" s="353"/>
      <c r="CA322" s="353"/>
      <c r="CC322" s="353"/>
    </row>
    <row r="323" customFormat="false" ht="12.75" hidden="false" customHeight="false" outlineLevel="0" collapsed="false">
      <c r="A323" s="0" t="n">
        <f aca="false">A322+5000</f>
        <v>545000</v>
      </c>
      <c r="B323" s="0" t="n">
        <f aca="false">A323/1000</f>
        <v>545</v>
      </c>
      <c r="C323" s="0" t="n">
        <f aca="false">SQRT((A323/Fesr)^2+1)</f>
        <v>1.00000586302129</v>
      </c>
      <c r="D323" s="0" t="n">
        <f aca="false">ATAN(A323/Fesr)</f>
        <v>0.00342432260391839</v>
      </c>
      <c r="F323" s="0" t="n">
        <f aca="false">(Ro/(Ro+Rdcr))/SQRT((A323/(Q*Fo))^2+(1-(A323^2/Fo^2))^2)</f>
        <v>0.00630153420590428</v>
      </c>
      <c r="G323" s="0" t="n">
        <f aca="false">-ATAN(A323*Fo/(Q*(Fo^2-A323^2)))</f>
        <v>0.0499531597121452</v>
      </c>
      <c r="H323" s="0" t="n">
        <f aca="false">IF(G323&gt;0,G323-Pi,G323)</f>
        <v>-3.09163949028785</v>
      </c>
      <c r="J323" s="0" t="n">
        <f aca="false">Vin/Vramp</f>
        <v>9</v>
      </c>
      <c r="M323" s="0" t="n">
        <f aca="false">1/(2*Pi*_Rfb1*(Cc1ea_u+Cc2ea_u)*A323)</f>
        <v>0.0108158303278122</v>
      </c>
      <c r="N323" s="0" t="n">
        <f aca="false">-Pi/2</f>
        <v>-1.570796325</v>
      </c>
      <c r="O323" s="0" t="n">
        <f aca="false">SQRT(1+(A323/Fz1_u)^2)</f>
        <v>13.3513204719803</v>
      </c>
      <c r="P323" s="0" t="n">
        <f aca="false">ATAN2(Fz1_u,A323)</f>
        <v>1.4958271620621</v>
      </c>
      <c r="Q323" s="0" t="n">
        <f aca="false">SQRT(1+(A323/Fz2_u)^2)</f>
        <v>15107.4581524726</v>
      </c>
      <c r="R323" s="0" t="n">
        <f aca="false">ATAN2(Fz2_u,A323)</f>
        <v>1.5707301343229</v>
      </c>
      <c r="S323" s="0" t="n">
        <f aca="false">1/SQRT(1+(A323/Fp1_u)^2)</f>
        <v>0.0247572854431678</v>
      </c>
      <c r="T323" s="0" t="n">
        <f aca="false">-ATAN2(Fp1_u,A323)</f>
        <v>-1.54603651160156</v>
      </c>
      <c r="U323" s="0" t="n">
        <f aca="false">1/SQRT(1+(A323/Fp2_u)^2)</f>
        <v>0.560035839924241</v>
      </c>
      <c r="V323" s="0" t="n">
        <f aca="false">-ATAN2(Fp2_u,A323)</f>
        <v>-0.976367266965151</v>
      </c>
      <c r="X323" s="0" t="n">
        <f aca="false">20*LOG(C323*J323*O323*Q323*F323*M323*S323*U323)</f>
        <v>4.68771369299381</v>
      </c>
      <c r="Y323" s="0" t="n">
        <f aca="false">(180/Pi)*(D323+H323+N323+P323+R323+T323+V323)</f>
        <v>-235.76399552495</v>
      </c>
      <c r="Z323" s="0" t="n">
        <f aca="false">Y323+180</f>
        <v>-55.7639955249502</v>
      </c>
      <c r="AC323" s="0" t="n">
        <v>1</v>
      </c>
      <c r="AD323" s="0" t="n">
        <f aca="false">Rcea1_u*Cc1ea_u*A323*2*Pi</f>
        <v>13.313818323288</v>
      </c>
      <c r="AE323" s="0" t="n">
        <f aca="false">-Rcea1_u*Cc1ea_u*Cc2ea_u*(A323*2*Pi)^2</f>
        <v>-0.00683864808431788</v>
      </c>
      <c r="AF323" s="0" t="n">
        <f aca="false">(Cc2ea_u+Cc1ea_u)*A323*2*Pi</f>
        <v>0.004622853584475</v>
      </c>
      <c r="AG323" s="0" t="n">
        <f aca="false">AC323*AE323/(AE323^2+AF323^2)+AD323*AF323/(AE323^2+AF323^2)</f>
        <v>802.918763519104</v>
      </c>
      <c r="AH323" s="0" t="n">
        <f aca="false">AD323*AE323/(AE323^2+AF323^2)-AC323*AF323/(AE323^2+AF323^2)</f>
        <v>-1404.08488942873</v>
      </c>
      <c r="AJ323" s="0" t="n">
        <f aca="false">_Rfb1</f>
        <v>20000</v>
      </c>
      <c r="AK323" s="0" t="n">
        <f aca="false">_Rfb1*Rcea2_u*Cc3ea_u*A323*2*Pi</f>
        <v>807595.39952784</v>
      </c>
      <c r="AL323" s="0" t="n">
        <v>1</v>
      </c>
      <c r="AM323" s="0" t="n">
        <f aca="false">(_Rfb1+Rcea2_u)*Cc3ea_u*A323*2*Pi</f>
        <v>15107.4581193764</v>
      </c>
      <c r="AN323" s="0" t="n">
        <f aca="false">AJ323*AL323/(AL323^2+AM323^2)+AK323*AM323/(AL323^2+AM323^2)</f>
        <v>53.4568233423095</v>
      </c>
      <c r="AO323" s="0" t="n">
        <f aca="false">AK323*AL323/(AL323^2+AM323^2)-AJ323*AM323/(AL323^2+AM323^2)</f>
        <v>-1.3203110026216</v>
      </c>
      <c r="AQ323" s="0" t="n">
        <f aca="false">Eadcg/(1+(Eadcg*A323/GBP)^2)</f>
        <v>0.038330313029626</v>
      </c>
      <c r="AR323" s="0" t="n">
        <f aca="false">-(A323*Eadcg*Eadcg/GBP)/(1+(Eadcg*A323/GBP)^2)</f>
        <v>-11.009040856804</v>
      </c>
      <c r="AT323" s="0" t="n">
        <f aca="false">-AR323*AH323+AG323*AQ323</f>
        <v>-15426.851786599</v>
      </c>
      <c r="AU323" s="0" t="n">
        <f aca="false">AQ323*AH323+AG323*AR323</f>
        <v>-8893.18448560836</v>
      </c>
      <c r="AV323" s="0" t="n">
        <f aca="false">ATAN2(AT323,AU323)</f>
        <v>-2.61865106025544</v>
      </c>
      <c r="AW323" s="0" t="n">
        <f aca="false">AG323-AH323*AO323/_Rfb2+AG323*AN323/_Rfb2+AN323-AO323*AR323+AQ323*AN323</f>
        <v>862.369691859337</v>
      </c>
      <c r="AX323" s="0" t="n">
        <f aca="false">AH323+AH323*AN323/_Rfb2+AG323*AO323/_Rfb2+AO323+AO323*AQ323+AN323*AR323</f>
        <v>-2028.21726978209</v>
      </c>
      <c r="AY323" s="0" t="n">
        <f aca="false">ATAN2(AW323,AX323)</f>
        <v>-1.16876810289153</v>
      </c>
      <c r="BA323" s="0" t="n">
        <f aca="false">SQRT(AT323^2+AU323^2)/SQRT(AW323^2+AX323^2)</f>
        <v>8.07946238669694</v>
      </c>
      <c r="BB323" s="0" t="n">
        <f aca="false">20*LOG(BA323)</f>
        <v>18.1476492693066</v>
      </c>
      <c r="BC323" s="0" t="n">
        <f aca="false">AV323-AY323</f>
        <v>-1.44988295736391</v>
      </c>
      <c r="BD323" s="0" t="n">
        <f aca="false">BC323*180/Pi-180</f>
        <v>-263.072174339822</v>
      </c>
      <c r="BF323" s="0" t="n">
        <f aca="false">20*LOG(BA323*J323*F323*C323)</f>
        <v>-6.77852365586809</v>
      </c>
      <c r="BG323" s="0" t="n">
        <f aca="false">(180/Pi)*(D323+H323+BC323)</f>
        <v>-260.013869878583</v>
      </c>
      <c r="BH323" s="0" t="n">
        <f aca="false">IF(BG323&gt;180,BG323-180,BG323+180)</f>
        <v>-80.0138698785826</v>
      </c>
      <c r="BI323" s="0" t="n">
        <f aca="false">IF(BH323&gt;180,BH323-360,BH323)</f>
        <v>-80.0138698785826</v>
      </c>
      <c r="BJ323" s="0" t="n">
        <f aca="false">SUM((BF324&lt;0)*(BF323&gt;0))*A323</f>
        <v>0</v>
      </c>
      <c r="BK323" s="0" t="n">
        <f aca="false">IF(BJ323&gt;0,BI323,0)</f>
        <v>0</v>
      </c>
      <c r="BM323" s="0" t="n">
        <f aca="false">20*LOG(J323*F323*C323)</f>
        <v>-24.9261729251747</v>
      </c>
      <c r="BN323" s="0" t="n">
        <f aca="false">(H323+D323)*180/Pi</f>
        <v>-176.941695538761</v>
      </c>
      <c r="BQ323" s="347" t="n">
        <f aca="false">20*LOG(BA323*7)</f>
        <v>35.0496100695917</v>
      </c>
      <c r="BR323" s="353"/>
      <c r="BS323" s="353"/>
      <c r="BT323" s="353" t="n">
        <v>134896.288</v>
      </c>
      <c r="BU323" s="353" t="n">
        <v>9.0987</v>
      </c>
      <c r="BV323" s="353" t="n">
        <v>-132.629</v>
      </c>
      <c r="BY323" s="353"/>
      <c r="BZ323" s="353"/>
      <c r="CA323" s="353"/>
      <c r="CC323" s="353"/>
    </row>
    <row r="324" customFormat="false" ht="12.75" hidden="false" customHeight="false" outlineLevel="0" collapsed="false">
      <c r="A324" s="0" t="n">
        <f aca="false">A323+5000</f>
        <v>550000</v>
      </c>
      <c r="B324" s="0" t="n">
        <f aca="false">A324/1000</f>
        <v>550</v>
      </c>
      <c r="C324" s="0" t="n">
        <f aca="false">SQRT((A324/Fesr)^2+1)</f>
        <v>1.00000597109282</v>
      </c>
      <c r="D324" s="0" t="n">
        <f aca="false">ATAN(A324/Fesr)</f>
        <v>0.0034557381586472</v>
      </c>
      <c r="F324" s="0" t="n">
        <f aca="false">(Ro/(Ro+Rdcr))/SQRT((A324/(Q*Fo))^2+(1-(A324^2/Fo^2))^2)</f>
        <v>0.00618691106759814</v>
      </c>
      <c r="G324" s="0" t="n">
        <f aca="false">-ATAN(A324*Fo/(Q*(Fo^2-A324^2)))</f>
        <v>0.049494098886474</v>
      </c>
      <c r="H324" s="0" t="n">
        <f aca="false">IF(G324&gt;0,G324-Pi,G324)</f>
        <v>-3.09209855111353</v>
      </c>
      <c r="J324" s="0" t="n">
        <f aca="false">Vin/Vramp</f>
        <v>9</v>
      </c>
      <c r="M324" s="0" t="n">
        <f aca="false">1/(2*Pi*_Rfb1*(Cc1ea_u+Cc2ea_u)*A324)</f>
        <v>0.0107175045975594</v>
      </c>
      <c r="N324" s="0" t="n">
        <f aca="false">-Pi/2</f>
        <v>-1.570796325</v>
      </c>
      <c r="O324" s="0" t="n">
        <f aca="false">SQRT(1+(A324/Fz1_u)^2)</f>
        <v>13.4731256102417</v>
      </c>
      <c r="P324" s="0" t="n">
        <f aca="false">ATAN2(Fz1_u,A324)</f>
        <v>1.49650618365126</v>
      </c>
      <c r="Q324" s="0" t="n">
        <f aca="false">SQRT(1+(A324/Fz2_u)^2)</f>
        <v>15246.058685377</v>
      </c>
      <c r="R324" s="0" t="n">
        <f aca="false">ATAN2(Fz2_u,A324)</f>
        <v>1.57073073607264</v>
      </c>
      <c r="S324" s="0" t="n">
        <f aca="false">1/SQRT(1+(A324/Fp1_u)^2)</f>
        <v>0.0245323552858962</v>
      </c>
      <c r="T324" s="0" t="n">
        <f aca="false">-ATAN2(Fp1_u,A324)</f>
        <v>-1.54626151009803</v>
      </c>
      <c r="U324" s="0" t="n">
        <f aca="false">1/SQRT(1+(A324/Fp2_u)^2)</f>
        <v>0.556526449733033</v>
      </c>
      <c r="V324" s="0" t="n">
        <f aca="false">-ATAN2(Fp2_u,A324)</f>
        <v>-0.9805972297324</v>
      </c>
      <c r="X324" s="0" t="n">
        <f aca="false">20*LOG(C324*J324*O324*Q324*F324*M324*S324*U324)</f>
        <v>4.47327311387953</v>
      </c>
      <c r="Y324" s="0" t="n">
        <f aca="false">(180/Pi)*(D324+H324+N324+P324+R324+T324+V324)</f>
        <v>-236.004808723707</v>
      </c>
      <c r="Z324" s="0" t="n">
        <f aca="false">Y324+180</f>
        <v>-56.004808723707</v>
      </c>
      <c r="AC324" s="0" t="n">
        <v>1</v>
      </c>
      <c r="AD324" s="0" t="n">
        <f aca="false">Rcea1_u*Cc1ea_u*A324*2*Pi</f>
        <v>13.43596344552</v>
      </c>
      <c r="AE324" s="0" t="n">
        <f aca="false">-Rcea1_u*Cc1ea_u*Cc2ea_u*(A324*2*Pi)^2</f>
        <v>-0.00696470346100886</v>
      </c>
      <c r="AF324" s="0" t="n">
        <f aca="false">(Cc2ea_u+Cc1ea_u)*A324*2*Pi</f>
        <v>0.00466526508525</v>
      </c>
      <c r="AG324" s="0" t="n">
        <f aca="false">AC324*AE324/(AE324^2+AF324^2)+AD324*AF324/(AE324^2+AF324^2)</f>
        <v>792.887524486283</v>
      </c>
      <c r="AH324" s="0" t="n">
        <f aca="false">AD324*AE324/(AE324^2+AF324^2)-AC324*AF324/(AE324^2+AF324^2)</f>
        <v>-1398.03984699636</v>
      </c>
      <c r="AJ324" s="0" t="n">
        <f aca="false">_Rfb1</f>
        <v>20000</v>
      </c>
      <c r="AK324" s="0" t="n">
        <f aca="false">_Rfb1*Rcea2_u*Cc3ea_u*A324*2*Pi</f>
        <v>815004.5316336</v>
      </c>
      <c r="AL324" s="0" t="n">
        <v>1</v>
      </c>
      <c r="AM324" s="0" t="n">
        <f aca="false">(_Rfb1+Rcea2_u)*Cc3ea_u*A324*2*Pi</f>
        <v>15246.0586525817</v>
      </c>
      <c r="AN324" s="0" t="n">
        <f aca="false">AJ324*AL324/(AL324^2+AM324^2)+AK324*AM324/(AL324^2+AM324^2)</f>
        <v>53.4568217605386</v>
      </c>
      <c r="AO324" s="0" t="n">
        <f aca="false">AK324*AL324/(AL324^2+AM324^2)-AJ324*AM324/(AL324^2+AM324^2)</f>
        <v>-1.30830817542879</v>
      </c>
      <c r="AQ324" s="0" t="n">
        <f aca="false">Eadcg/(1+(Eadcg*A324/GBP)^2)</f>
        <v>0.0376365742992487</v>
      </c>
      <c r="AR324" s="0" t="n">
        <f aca="false">-(A324*Eadcg*Eadcg/GBP)/(1+(Eadcg*A324/GBP)^2)</f>
        <v>-10.9089610606372</v>
      </c>
      <c r="AT324" s="0" t="n">
        <f aca="false">-AR324*AH324+AG324*AQ324</f>
        <v>-15221.3206818762</v>
      </c>
      <c r="AU324" s="0" t="n">
        <f aca="false">AQ324*AH324+AG324*AR324</f>
        <v>-8702.1965606607</v>
      </c>
      <c r="AV324" s="0" t="n">
        <f aca="false">ATAN2(AT324,AU324)</f>
        <v>-2.62223365298337</v>
      </c>
      <c r="AW324" s="0" t="n">
        <f aca="false">AG324-AH324*AO324/_Rfb2+AG324*AN324/_Rfb2+AN324-AO324*AR324+AQ324*AN324</f>
        <v>852.334275999796</v>
      </c>
      <c r="AX324" s="0" t="n">
        <f aca="false">AH324+AH324*AN324/_Rfb2+AG324*AO324/_Rfb2+AO324+AO324*AQ324+AN324*AR324</f>
        <v>-2016.65323108625</v>
      </c>
      <c r="AY324" s="0" t="n">
        <f aca="false">ATAN2(AW324,AX324)</f>
        <v>-1.17091960524474</v>
      </c>
      <c r="BA324" s="0" t="n">
        <f aca="false">SQRT(AT324^2+AU324^2)/SQRT(AW324^2+AX324^2)</f>
        <v>8.008360503686</v>
      </c>
      <c r="BB324" s="0" t="n">
        <f aca="false">20*LOG(BA324)</f>
        <v>18.070872301507</v>
      </c>
      <c r="BC324" s="0" t="n">
        <f aca="false">AV324-AY324</f>
        <v>-1.45131404773864</v>
      </c>
      <c r="BD324" s="0" t="n">
        <f aca="false">BC324*180/Pi-180</f>
        <v>-263.154169778489</v>
      </c>
      <c r="BF324" s="0" t="n">
        <f aca="false">20*LOG(BA324*J324*F324*C324)</f>
        <v>-7.01474817773426</v>
      </c>
      <c r="BG324" s="0" t="n">
        <f aca="false">(180/Pi)*(D324+H324+BC324)</f>
        <v>-260.120367586432</v>
      </c>
      <c r="BH324" s="0" t="n">
        <f aca="false">IF(BG324&gt;180,BG324-180,BG324+180)</f>
        <v>-80.1203675864319</v>
      </c>
      <c r="BI324" s="0" t="n">
        <f aca="false">IF(BH324&gt;180,BH324-360,BH324)</f>
        <v>-80.1203675864319</v>
      </c>
      <c r="BJ324" s="0" t="n">
        <f aca="false">SUM((BF325&lt;0)*(BF324&gt;0))*A324</f>
        <v>0</v>
      </c>
      <c r="BK324" s="0" t="n">
        <f aca="false">IF(BJ324&gt;0,BI324,0)</f>
        <v>0</v>
      </c>
      <c r="BM324" s="0" t="n">
        <f aca="false">20*LOG(J324*F324*C324)</f>
        <v>-25.0856204792412</v>
      </c>
      <c r="BN324" s="0" t="n">
        <f aca="false">(H324+D324)*180/Pi</f>
        <v>-176.966197807942</v>
      </c>
      <c r="BQ324" s="347" t="n">
        <f aca="false">20*LOG(BA324*7)</f>
        <v>34.9728331017921</v>
      </c>
      <c r="BR324" s="353"/>
      <c r="BS324" s="353"/>
      <c r="BT324" s="353" t="n">
        <v>138038.426</v>
      </c>
      <c r="BU324" s="353" t="n">
        <v>9.31966</v>
      </c>
      <c r="BV324" s="353" t="n">
        <v>-133.267</v>
      </c>
      <c r="BY324" s="353"/>
      <c r="BZ324" s="353"/>
      <c r="CA324" s="353"/>
      <c r="CC324" s="353"/>
    </row>
    <row r="325" customFormat="false" ht="12.75" hidden="false" customHeight="false" outlineLevel="0" collapsed="false">
      <c r="A325" s="0" t="n">
        <f aca="false">A324+5000</f>
        <v>555000</v>
      </c>
      <c r="B325" s="0" t="n">
        <f aca="false">A325/1000</f>
        <v>555</v>
      </c>
      <c r="C325" s="0" t="n">
        <f aca="false">SQRT((A325/Fesr)^2+1)</f>
        <v>1.00000608015129</v>
      </c>
      <c r="D325" s="0" t="n">
        <f aca="false">ATAN(A325/Fesr)</f>
        <v>0.00348715370655479</v>
      </c>
      <c r="F325" s="0" t="n">
        <f aca="false">(Ro/(Ro+Rdcr))/SQRT((A325/(Q*Fo))^2+(1-(A325^2/Fo^2))^2)</f>
        <v>0.00607539214124396</v>
      </c>
      <c r="G325" s="0" t="n">
        <f aca="false">-ATAN(A325*Fo/(Q*(Fo^2-A325^2)))</f>
        <v>0.0490434419644951</v>
      </c>
      <c r="H325" s="0" t="n">
        <f aca="false">IF(G325&gt;0,G325-Pi,G325)</f>
        <v>-3.09254920803551</v>
      </c>
      <c r="J325" s="0" t="n">
        <f aca="false">Vin/Vramp</f>
        <v>9</v>
      </c>
      <c r="M325" s="0" t="n">
        <f aca="false">1/(2*Pi*_Rfb1*(Cc1ea_u+Cc2ea_u)*A325)</f>
        <v>0.0106209505020858</v>
      </c>
      <c r="N325" s="0" t="n">
        <f aca="false">-Pi/2</f>
        <v>-1.570796325</v>
      </c>
      <c r="O325" s="0" t="n">
        <f aca="false">SQRT(1+(A325/Fz1_u)^2)</f>
        <v>13.5949368492447</v>
      </c>
      <c r="P325" s="0" t="n">
        <f aca="false">ATAN2(Fz1_u,A325)</f>
        <v>1.49717303741601</v>
      </c>
      <c r="Q325" s="0" t="n">
        <f aca="false">SQRT(1+(A325/Fz2_u)^2)</f>
        <v>15384.6592182869</v>
      </c>
      <c r="R325" s="0" t="n">
        <f aca="false">ATAN2(Fz2_u,A325)</f>
        <v>1.57073132698005</v>
      </c>
      <c r="S325" s="0" t="n">
        <f aca="false">1/SQRT(1+(A325/Fp1_u)^2)</f>
        <v>0.0243114742983029</v>
      </c>
      <c r="T325" s="0" t="n">
        <f aca="false">-ATAN2(Fp1_u,A325)</f>
        <v>-1.54648245698557</v>
      </c>
      <c r="U325" s="0" t="n">
        <f aca="false">1/SQRT(1+(A325/Fp2_u)^2)</f>
        <v>0.553051056591521</v>
      </c>
      <c r="V325" s="0" t="n">
        <f aca="false">-ATAN2(Fp2_u,A325)</f>
        <v>-0.984774435971832</v>
      </c>
      <c r="X325" s="0" t="n">
        <f aca="false">20*LOG(C325*J325*O325*Q325*F325*M325*S325*U325)</f>
        <v>4.26048895543412</v>
      </c>
      <c r="Y325" s="0" t="n">
        <f aca="false">(180/Pi)*(D325+H325+N325+P325+R325+T325+V325)</f>
        <v>-236.242583334365</v>
      </c>
      <c r="Z325" s="0" t="n">
        <f aca="false">Y325+180</f>
        <v>-56.2425833343647</v>
      </c>
      <c r="AC325" s="0" t="n">
        <v>1</v>
      </c>
      <c r="AD325" s="0" t="n">
        <f aca="false">Rcea1_u*Cc1ea_u*A325*2*Pi</f>
        <v>13.558108567752</v>
      </c>
      <c r="AE325" s="0" t="n">
        <f aca="false">-Rcea1_u*Cc1ea_u*Cc2ea_u*(A325*2*Pi)^2</f>
        <v>-0.00709191002835456</v>
      </c>
      <c r="AF325" s="0" t="n">
        <f aca="false">(Cc2ea_u+Cc1ea_u)*A325*2*Pi</f>
        <v>0.004707676586025</v>
      </c>
      <c r="AG325" s="0" t="n">
        <f aca="false">AC325*AE325/(AE325^2+AF325^2)+AD325*AF325/(AE325^2+AF325^2)</f>
        <v>783.015606264314</v>
      </c>
      <c r="AH325" s="0" t="n">
        <f aca="false">AD325*AE325/(AE325^2+AF325^2)-AC325*AF325/(AE325^2+AF325^2)</f>
        <v>-1391.99796559458</v>
      </c>
      <c r="AJ325" s="0" t="n">
        <f aca="false">_Rfb1</f>
        <v>20000</v>
      </c>
      <c r="AK325" s="0" t="n">
        <f aca="false">_Rfb1*Rcea2_u*Cc3ea_u*A325*2*Pi</f>
        <v>822413.66373936</v>
      </c>
      <c r="AL325" s="0" t="n">
        <v>1</v>
      </c>
      <c r="AM325" s="0" t="n">
        <f aca="false">(_Rfb1+Rcea2_u)*Cc3ea_u*A325*2*Pi</f>
        <v>15384.659185787</v>
      </c>
      <c r="AN325" s="0" t="n">
        <f aca="false">AJ325*AL325/(AL325^2+AM325^2)+AK325*AM325/(AL325^2+AM325^2)</f>
        <v>53.4568202213253</v>
      </c>
      <c r="AO325" s="0" t="n">
        <f aca="false">AK325*AL325/(AL325^2+AM325^2)-AJ325*AM325/(AL325^2+AM325^2)</f>
        <v>-1.29652161538984</v>
      </c>
      <c r="AQ325" s="0" t="n">
        <f aca="false">Eadcg/(1+(Eadcg*A325/GBP)^2)</f>
        <v>0.0369615003854091</v>
      </c>
      <c r="AR325" s="0" t="n">
        <f aca="false">-(A325*Eadcg*Eadcg/GBP)/(1+(Eadcg*A325/GBP)^2)</f>
        <v>-10.8106844402264</v>
      </c>
      <c r="AT325" s="0" t="n">
        <f aca="false">-AR325*AH325+AG325*AQ325</f>
        <v>-15019.5093158473</v>
      </c>
      <c r="AU325" s="0" t="n">
        <f aca="false">AQ325*AH325+AG325*AR325</f>
        <v>-8516.38496443787</v>
      </c>
      <c r="AV325" s="0" t="n">
        <f aca="false">ATAN2(AT325,AU325)</f>
        <v>-2.62577508671643</v>
      </c>
      <c r="AW325" s="0" t="n">
        <f aca="false">AG325-AH325*AO325/_Rfb2+AG325*AN325/_Rfb2+AN325-AO325*AR325+AQ325*AN325</f>
        <v>842.455730782557</v>
      </c>
      <c r="AX325" s="0" t="n">
        <f aca="false">AH325+AH325*AN325/_Rfb2+AG325*AO325/_Rfb2+AO325+AO325*AQ325+AN325*AR325</f>
        <v>-2005.18936492909</v>
      </c>
      <c r="AY325" s="0" t="n">
        <f aca="false">ATAN2(AW325,AX325)</f>
        <v>-1.17305125384883</v>
      </c>
      <c r="BA325" s="0" t="n">
        <f aca="false">SQRT(AT325^2+AU325^2)/SQRT(AW325^2+AX325^2)</f>
        <v>7.93847845326465</v>
      </c>
      <c r="BB325" s="0" t="n">
        <f aca="false">20*LOG(BA325)</f>
        <v>17.994745407046</v>
      </c>
      <c r="BC325" s="0" t="n">
        <f aca="false">AV325-AY325</f>
        <v>-1.4527238328676</v>
      </c>
      <c r="BD325" s="0" t="n">
        <f aca="false">BC325*180/Pi-180</f>
        <v>-263.234944516492</v>
      </c>
      <c r="BF325" s="0" t="n">
        <f aca="false">20*LOG(BA325*J325*F325*C325)</f>
        <v>-7.24886529132544</v>
      </c>
      <c r="BG325" s="0" t="n">
        <f aca="false">(180/Pi)*(D325+H325+BC325)</f>
        <v>-260.225163085793</v>
      </c>
      <c r="BH325" s="0" t="n">
        <f aca="false">IF(BG325&gt;180,BG325-180,BG325+180)</f>
        <v>-80.2251630857931</v>
      </c>
      <c r="BI325" s="0" t="n">
        <f aca="false">IF(BH325&gt;180,BH325-360,BH325)</f>
        <v>-80.2251630857931</v>
      </c>
      <c r="BJ325" s="0" t="n">
        <f aca="false">SUM((BF326&lt;0)*(BF325&gt;0))*A325</f>
        <v>0</v>
      </c>
      <c r="BK325" s="0" t="n">
        <f aca="false">IF(BJ325&gt;0,BI325,0)</f>
        <v>0</v>
      </c>
      <c r="BM325" s="0" t="n">
        <f aca="false">20*LOG(J325*F325*C325)</f>
        <v>-25.2436106983714</v>
      </c>
      <c r="BN325" s="0" t="n">
        <f aca="false">(H325+D325)*180/Pi</f>
        <v>-176.990218569301</v>
      </c>
      <c r="BQ325" s="347" t="n">
        <f aca="false">20*LOG(BA325*7)</f>
        <v>34.8967062073311</v>
      </c>
      <c r="BR325" s="353"/>
      <c r="BS325" s="353"/>
      <c r="BT325" s="353" t="n">
        <v>141253.754</v>
      </c>
      <c r="BU325" s="353" t="n">
        <v>9.52904</v>
      </c>
      <c r="BV325" s="353" t="n">
        <v>-133.959</v>
      </c>
      <c r="BY325" s="353"/>
      <c r="BZ325" s="353"/>
      <c r="CA325" s="353"/>
      <c r="CC325" s="353"/>
    </row>
    <row r="326" customFormat="false" ht="12.75" hidden="false" customHeight="false" outlineLevel="0" collapsed="false">
      <c r="A326" s="0" t="n">
        <f aca="false">A325+5000</f>
        <v>560000</v>
      </c>
      <c r="B326" s="0" t="n">
        <f aca="false">A326/1000</f>
        <v>560</v>
      </c>
      <c r="C326" s="0" t="n">
        <f aca="false">SQRT((A326/Fesr)^2+1)</f>
        <v>1.00000619019671</v>
      </c>
      <c r="D326" s="0" t="n">
        <f aca="false">ATAN(A326/Fesr)</f>
        <v>0.00351856924757915</v>
      </c>
      <c r="F326" s="0" t="n">
        <f aca="false">(Ro/(Ro+Rdcr))/SQRT((A326/(Q*Fo))^2+(1-(A326^2/Fo^2))^2)</f>
        <v>0.00596686616619507</v>
      </c>
      <c r="G326" s="0" t="n">
        <f aca="false">-ATAN(A326*Fo/(Q*(Fo^2-A326^2)))</f>
        <v>0.0486009591368791</v>
      </c>
      <c r="H326" s="0" t="n">
        <f aca="false">IF(G326&gt;0,G326-Pi,G326)</f>
        <v>-3.09299169086312</v>
      </c>
      <c r="J326" s="0" t="n">
        <f aca="false">Vin/Vramp</f>
        <v>9</v>
      </c>
      <c r="M326" s="0" t="n">
        <f aca="false">1/(2*Pi*_Rfb1*(Cc1ea_u+Cc2ea_u)*A326)</f>
        <v>0.0105261205868886</v>
      </c>
      <c r="N326" s="0" t="n">
        <f aca="false">-Pi/2</f>
        <v>-1.570796325</v>
      </c>
      <c r="O326" s="0" t="n">
        <f aca="false">SQRT(1+(A326/Fz1_u)^2)</f>
        <v>13.7167540264569</v>
      </c>
      <c r="P326" s="0" t="n">
        <f aca="false">ATAN2(Fz1_u,A326)</f>
        <v>1.49782804693907</v>
      </c>
      <c r="Q326" s="0" t="n">
        <f aca="false">SQRT(1+(A326/Fz2_u)^2)</f>
        <v>15523.259751202</v>
      </c>
      <c r="R326" s="0" t="n">
        <f aca="false">ATAN2(Fz2_u,A326)</f>
        <v>1.57073190733554</v>
      </c>
      <c r="S326" s="0" t="n">
        <f aca="false">1/SQRT(1+(A326/Fp1_u)^2)</f>
        <v>0.0240945341481594</v>
      </c>
      <c r="T326" s="0" t="n">
        <f aca="false">-ATAN2(Fp1_u,A326)</f>
        <v>-1.54669946070426</v>
      </c>
      <c r="U326" s="0" t="n">
        <f aca="false">1/SQRT(1+(A326/Fp2_u)^2)</f>
        <v>0.549609388042625</v>
      </c>
      <c r="V326" s="0" t="n">
        <f aca="false">-ATAN2(Fp2_u,A326)</f>
        <v>-0.988899723460225</v>
      </c>
      <c r="X326" s="0" t="n">
        <f aca="false">20*LOG(C326*J326*O326*Q326*F326*M326*S326*U326)</f>
        <v>4.04933574937671</v>
      </c>
      <c r="Y326" s="0" t="n">
        <f aca="false">(180/Pi)*(D326+H326+N326+P326+R326+T326+V326)</f>
        <v>-236.477368181701</v>
      </c>
      <c r="Z326" s="0" t="n">
        <f aca="false">Y326+180</f>
        <v>-56.477368181701</v>
      </c>
      <c r="AC326" s="0" t="n">
        <v>1</v>
      </c>
      <c r="AD326" s="0" t="n">
        <f aca="false">Rcea1_u*Cc1ea_u*A326*2*Pi</f>
        <v>13.680253689984</v>
      </c>
      <c r="AE326" s="0" t="n">
        <f aca="false">-Rcea1_u*Cc1ea_u*Cc2ea_u*(A326*2*Pi)^2</f>
        <v>-0.00722026778635497</v>
      </c>
      <c r="AF326" s="0" t="n">
        <f aca="false">(Cc2ea_u+Cc1ea_u)*A326*2*Pi</f>
        <v>0.0047500880868</v>
      </c>
      <c r="AG326" s="0" t="n">
        <f aca="false">AC326*AE326/(AE326^2+AF326^2)+AD326*AF326/(AE326^2+AF326^2)</f>
        <v>773.300427326947</v>
      </c>
      <c r="AH326" s="0" t="n">
        <f aca="false">AD326*AE326/(AE326^2+AF326^2)-AC326*AF326/(AE326^2+AF326^2)</f>
        <v>-1385.96085889396</v>
      </c>
      <c r="AJ326" s="0" t="n">
        <f aca="false">_Rfb1</f>
        <v>20000</v>
      </c>
      <c r="AK326" s="0" t="n">
        <f aca="false">_Rfb1*Rcea2_u*Cc3ea_u*A326*2*Pi</f>
        <v>829822.79584512</v>
      </c>
      <c r="AL326" s="0" t="n">
        <v>1</v>
      </c>
      <c r="AM326" s="0" t="n">
        <f aca="false">(_Rfb1+Rcea2_u)*Cc3ea_u*A326*2*Pi</f>
        <v>15523.2597189923</v>
      </c>
      <c r="AN326" s="0" t="n">
        <f aca="false">AJ326*AL326/(AL326^2+AM326^2)+AK326*AM326/(AL326^2+AM326^2)</f>
        <v>53.4568187231567</v>
      </c>
      <c r="AO326" s="0" t="n">
        <f aca="false">AK326*AL326/(AL326^2+AM326^2)-AJ326*AM326/(AL326^2+AM326^2)</f>
        <v>-1.28494552963466</v>
      </c>
      <c r="AQ326" s="0" t="n">
        <f aca="false">Eadcg/(1+(Eadcg*A326/GBP)^2)</f>
        <v>0.0363044276852449</v>
      </c>
      <c r="AR326" s="0" t="n">
        <f aca="false">-(A326*Eadcg*Eadcg/GBP)/(1+(Eadcg*A326/GBP)^2)</f>
        <v>-10.7141626984695</v>
      </c>
      <c r="AT326" s="0" t="n">
        <f aca="false">-AR326*AH326+AG326*AQ326</f>
        <v>-14821.3359064575</v>
      </c>
      <c r="AU326" s="0" t="n">
        <f aca="false">AQ326*AH326+AG326*AR326</f>
        <v>-8335.58310895319</v>
      </c>
      <c r="AV326" s="0" t="n">
        <f aca="false">ATAN2(AT326,AU326)</f>
        <v>-2.6292758909241</v>
      </c>
      <c r="AW326" s="0" t="n">
        <f aca="false">AG326-AH326*AO326/_Rfb2+AG326*AN326/_Rfb2+AN326-AO326*AR326+AQ326*AN326</f>
        <v>832.731633245068</v>
      </c>
      <c r="AX326" s="0" t="n">
        <f aca="false">AH326+AH326*AN326/_Rfb2+AG326*AO326/_Rfb2+AO326+AO326*AQ326+AN326*AR326</f>
        <v>-1993.82472507144</v>
      </c>
      <c r="AY326" s="0" t="n">
        <f aca="false">ATAN2(AW326,AX326)</f>
        <v>-1.17516304465778</v>
      </c>
      <c r="BA326" s="0" t="n">
        <f aca="false">SQRT(AT326^2+AU326^2)/SQRT(AW326^2+AX326^2)</f>
        <v>7.86978560855599</v>
      </c>
      <c r="BB326" s="0" t="n">
        <f aca="false">20*LOG(BA326)</f>
        <v>17.9192580263697</v>
      </c>
      <c r="BC326" s="0" t="n">
        <f aca="false">AV326-AY326</f>
        <v>-1.45411284626631</v>
      </c>
      <c r="BD326" s="0" t="n">
        <f aca="false">BC326*180/Pi-180</f>
        <v>-263.314529122016</v>
      </c>
      <c r="BF326" s="0" t="n">
        <f aca="false">20*LOG(BA326*J326*F326*C326)</f>
        <v>-7.48091207871085</v>
      </c>
      <c r="BG326" s="0" t="n">
        <f aca="false">(180/Pi)*(D326+H326+BC326)</f>
        <v>-260.328300111962</v>
      </c>
      <c r="BH326" s="0" t="n">
        <f aca="false">IF(BG326&gt;180,BG326-180,BG326+180)</f>
        <v>-80.3283001119621</v>
      </c>
      <c r="BI326" s="0" t="n">
        <f aca="false">IF(BH326&gt;180,BH326-360,BH326)</f>
        <v>-80.3283001119621</v>
      </c>
      <c r="BJ326" s="0" t="n">
        <f aca="false">SUM((BF327&lt;0)*(BF326&gt;0))*A326</f>
        <v>0</v>
      </c>
      <c r="BK326" s="0" t="n">
        <f aca="false">IF(BJ326&gt;0,BI326,0)</f>
        <v>0</v>
      </c>
      <c r="BM326" s="0" t="n">
        <f aca="false">20*LOG(J326*F326*C326)</f>
        <v>-25.4001701050806</v>
      </c>
      <c r="BN326" s="0" t="n">
        <f aca="false">(H326+D326)*180/Pi</f>
        <v>-177.013770989946</v>
      </c>
      <c r="BQ326" s="347" t="n">
        <f aca="false">20*LOG(BA326*7)</f>
        <v>34.8212188266549</v>
      </c>
      <c r="BR326" s="353"/>
      <c r="BS326" s="353"/>
      <c r="BT326" s="353" t="n">
        <v>144543.977</v>
      </c>
      <c r="BU326" s="353" t="n">
        <v>9.73129</v>
      </c>
      <c r="BV326" s="353" t="n">
        <v>-134.752</v>
      </c>
      <c r="BY326" s="353"/>
      <c r="BZ326" s="353"/>
      <c r="CA326" s="353"/>
      <c r="CC326" s="353"/>
    </row>
    <row r="327" customFormat="false" ht="12.75" hidden="false" customHeight="false" outlineLevel="0" collapsed="false">
      <c r="A327" s="0" t="n">
        <f aca="false">A326+5000</f>
        <v>565000</v>
      </c>
      <c r="B327" s="0" t="n">
        <f aca="false">A327/1000</f>
        <v>565</v>
      </c>
      <c r="C327" s="0" t="n">
        <f aca="false">SQRT((A327/Fesr)^2+1)</f>
        <v>1.00000630122906</v>
      </c>
      <c r="D327" s="0" t="n">
        <f aca="false">ATAN(A327/Fesr)</f>
        <v>0.00354998478165828</v>
      </c>
      <c r="F327" s="0" t="n">
        <f aca="false">(Ro/(Ro+Rdcr))/SQRT((A327/(Q*Fo))^2+(1-(A327^2/Fo^2))^2)</f>
        <v>0.00586122682973264</v>
      </c>
      <c r="G327" s="0" t="n">
        <f aca="false">-ATAN(A327*Fo/(Q*(Fo^2-A327^2)))</f>
        <v>0.0481664289363508</v>
      </c>
      <c r="H327" s="0" t="n">
        <f aca="false">IF(G327&gt;0,G327-Pi,G327)</f>
        <v>-3.09342622106365</v>
      </c>
      <c r="J327" s="0" t="n">
        <f aca="false">Vin/Vramp</f>
        <v>9</v>
      </c>
      <c r="M327" s="0" t="n">
        <f aca="false">1/(2*Pi*_Rfb1*(Cc1ea_u+Cc2ea_u)*A327)</f>
        <v>0.0104329690772702</v>
      </c>
      <c r="N327" s="0" t="n">
        <f aca="false">-Pi/2</f>
        <v>-1.570796325</v>
      </c>
      <c r="O327" s="0" t="n">
        <f aca="false">SQRT(1+(A327/Fz1_u)^2)</f>
        <v>13.8385769850611</v>
      </c>
      <c r="P327" s="0" t="n">
        <f aca="false">ATAN2(Fz1_u,A327)</f>
        <v>1.49847152445045</v>
      </c>
      <c r="Q327" s="0" t="n">
        <f aca="false">SQRT(1+(A327/Fz2_u)^2)</f>
        <v>15661.8602841222</v>
      </c>
      <c r="R327" s="0" t="n">
        <f aca="false">ATAN2(Fz2_u,A327)</f>
        <v>1.57073247741925</v>
      </c>
      <c r="S327" s="0" t="n">
        <f aca="false">1/SQRT(1+(A327/Fp1_u)^2)</f>
        <v>0.0238814303324369</v>
      </c>
      <c r="T327" s="0" t="n">
        <f aca="false">-ATAN2(Fp1_u,A327)</f>
        <v>-1.54691262585931</v>
      </c>
      <c r="U327" s="0" t="n">
        <f aca="false">1/SQRT(1+(A327/Fp2_u)^2)</f>
        <v>0.546201166567711</v>
      </c>
      <c r="V327" s="0" t="n">
        <f aca="false">-ATAN2(Fp2_u,A327)</f>
        <v>-0.992973916347844</v>
      </c>
      <c r="X327" s="0" t="n">
        <f aca="false">20*LOG(C327*J327*O327*Q327*F327*M327*S327*U327)</f>
        <v>3.83978864888872</v>
      </c>
      <c r="Y327" s="0" t="n">
        <f aca="false">(180/Pi)*(D327+H327+N327+P327+R327+T327+V327)</f>
        <v>-236.709211263116</v>
      </c>
      <c r="Z327" s="0" t="n">
        <f aca="false">Y327+180</f>
        <v>-56.7092112631156</v>
      </c>
      <c r="AC327" s="0" t="n">
        <v>1</v>
      </c>
      <c r="AD327" s="0" t="n">
        <f aca="false">Rcea1_u*Cc1ea_u*A327*2*Pi</f>
        <v>13.802398812216</v>
      </c>
      <c r="AE327" s="0" t="n">
        <f aca="false">-Rcea1_u*Cc1ea_u*Cc2ea_u*(A327*2*Pi)^2</f>
        <v>-0.0073497767350101</v>
      </c>
      <c r="AF327" s="0" t="n">
        <f aca="false">(Cc2ea_u+Cc1ea_u)*A327*2*Pi</f>
        <v>0.004792499587575</v>
      </c>
      <c r="AG327" s="0" t="n">
        <f aca="false">AC327*AE327/(AE327^2+AF327^2)+AD327*AF327/(AE327^2+AF327^2)</f>
        <v>763.739428761418</v>
      </c>
      <c r="AH327" s="0" t="n">
        <f aca="false">AD327*AE327/(AE327^2+AF327^2)-AC327*AF327/(AE327^2+AF327^2)</f>
        <v>-1379.93006869864</v>
      </c>
      <c r="AJ327" s="0" t="n">
        <f aca="false">_Rfb1</f>
        <v>20000</v>
      </c>
      <c r="AK327" s="0" t="n">
        <f aca="false">_Rfb1*Rcea2_u*Cc3ea_u*A327*2*Pi</f>
        <v>837231.92795088</v>
      </c>
      <c r="AL327" s="0" t="n">
        <v>1</v>
      </c>
      <c r="AM327" s="0" t="n">
        <f aca="false">(_Rfb1+Rcea2_u)*Cc3ea_u*A327*2*Pi</f>
        <v>15661.8602521975</v>
      </c>
      <c r="AN327" s="0" t="n">
        <f aca="false">AJ327*AL327/(AL327^2+AM327^2)+AK327*AM327/(AL327^2+AM327^2)</f>
        <v>53.4568172645862</v>
      </c>
      <c r="AO327" s="0" t="n">
        <f aca="false">AK327*AL327/(AL327^2+AM327^2)-AJ327*AM327/(AL327^2+AM327^2)</f>
        <v>-1.27357433035049</v>
      </c>
      <c r="AQ327" s="0" t="n">
        <f aca="false">Eadcg/(1+(Eadcg*A327/GBP)^2)</f>
        <v>0.0356647218276713</v>
      </c>
      <c r="AR327" s="0" t="n">
        <f aca="false">-(A327*Eadcg*Eadcg/GBP)/(1+(Eadcg*A327/GBP)^2)</f>
        <v>-10.6193492477983</v>
      </c>
      <c r="AT327" s="0" t="n">
        <f aca="false">-AR327*AH327+AG327*AQ327</f>
        <v>-14626.7207827735</v>
      </c>
      <c r="AU327" s="0" t="n">
        <f aca="false">AQ327*AH327+AG327*AR327</f>
        <v>-8159.63055037322</v>
      </c>
      <c r="AV327" s="0" t="n">
        <f aca="false">ATAN2(AT327,AU327)</f>
        <v>-2.63273659226134</v>
      </c>
      <c r="AW327" s="0" t="n">
        <f aca="false">AG327-AH327*AO327/_Rfb2+AG327*AN327/_Rfb2+AN327-AO327*AR327+AQ327*AN327</f>
        <v>823.159573942064</v>
      </c>
      <c r="AX327" s="0" t="n">
        <f aca="false">AH327+AH327*AN327/_Rfb2+AG327*AO327/_Rfb2+AO327+AO327*AQ327+AN327*AR327</f>
        <v>-1982.55838371493</v>
      </c>
      <c r="AY327" s="0" t="n">
        <f aca="false">ATAN2(AW327,AX327)</f>
        <v>-1.17725498815037</v>
      </c>
      <c r="BA327" s="0" t="n">
        <f aca="false">SQRT(AT327^2+AU327^2)/SQRT(AW327^2+AX327^2)</f>
        <v>7.80225234249577</v>
      </c>
      <c r="BB327" s="0" t="n">
        <f aca="false">20*LOG(BA327)</f>
        <v>17.8443998453838</v>
      </c>
      <c r="BC327" s="0" t="n">
        <f aca="false">AV327-AY327</f>
        <v>-1.45548160411097</v>
      </c>
      <c r="BD327" s="0" t="n">
        <f aca="false">BC327*180/Pi-180</f>
        <v>-263.39295316978</v>
      </c>
      <c r="BF327" s="0" t="n">
        <f aca="false">20*LOG(BA327*J327*F327*C327)</f>
        <v>-7.7109246557791</v>
      </c>
      <c r="BG327" s="0" t="n">
        <f aca="false">(180/Pi)*(D327+H327+BC327)</f>
        <v>-260.4298209288</v>
      </c>
      <c r="BH327" s="0" t="n">
        <f aca="false">IF(BG327&gt;180,BG327-180,BG327+180)</f>
        <v>-80.4298209287998</v>
      </c>
      <c r="BI327" s="0" t="n">
        <f aca="false">IF(BH327&gt;180,BH327-360,BH327)</f>
        <v>-80.4298209287998</v>
      </c>
      <c r="BJ327" s="0" t="n">
        <f aca="false">SUM((BF328&lt;0)*(BF327&gt;0))*A327</f>
        <v>0</v>
      </c>
      <c r="BK327" s="0" t="n">
        <f aca="false">IF(BJ327&gt;0,BI327,0)</f>
        <v>0</v>
      </c>
      <c r="BM327" s="0" t="n">
        <f aca="false">20*LOG(J327*F327*C327)</f>
        <v>-25.5553245011629</v>
      </c>
      <c r="BN327" s="0" t="n">
        <f aca="false">(H327+D327)*180/Pi</f>
        <v>-177.03686775902</v>
      </c>
      <c r="BQ327" s="347" t="n">
        <f aca="false">20*LOG(BA327*7)</f>
        <v>34.7463606456689</v>
      </c>
      <c r="BR327" s="353"/>
      <c r="BS327" s="353"/>
      <c r="BT327" s="353" t="n">
        <v>147910.839</v>
      </c>
      <c r="BU327" s="353" t="n">
        <v>9.90101</v>
      </c>
      <c r="BV327" s="353" t="n">
        <v>-135.724</v>
      </c>
      <c r="BY327" s="353"/>
      <c r="BZ327" s="353"/>
      <c r="CA327" s="353"/>
      <c r="CC327" s="353"/>
    </row>
    <row r="328" customFormat="false" ht="12.75" hidden="false" customHeight="false" outlineLevel="0" collapsed="false">
      <c r="A328" s="0" t="n">
        <f aca="false">A327+5000</f>
        <v>570000</v>
      </c>
      <c r="B328" s="0" t="n">
        <f aca="false">A328/1000</f>
        <v>570</v>
      </c>
      <c r="C328" s="0" t="n">
        <f aca="false">SQRT((A328/Fesr)^2+1)</f>
        <v>1.00000641324836</v>
      </c>
      <c r="D328" s="0" t="n">
        <f aca="false">ATAN(A328/Fesr)</f>
        <v>0.00358140030873017</v>
      </c>
      <c r="F328" s="0" t="n">
        <f aca="false">(Ro/(Ro+Rdcr))/SQRT((A328/(Q*Fo))^2+(1-(A328^2/Fo^2))^2)</f>
        <v>0.00575837250496034</v>
      </c>
      <c r="G328" s="0" t="n">
        <f aca="false">-ATAN(A328*Fo/(Q*(Fo^2-A328^2)))</f>
        <v>0.0477396378609399</v>
      </c>
      <c r="H328" s="0" t="n">
        <f aca="false">IF(G328&gt;0,G328-Pi,G328)</f>
        <v>-3.09385301213906</v>
      </c>
      <c r="J328" s="0" t="n">
        <f aca="false">Vin/Vramp</f>
        <v>9</v>
      </c>
      <c r="M328" s="0" t="n">
        <f aca="false">1/(2*Pi*_Rfb1*(Cc1ea_u+Cc2ea_u)*A328)</f>
        <v>0.0103414518046625</v>
      </c>
      <c r="N328" s="0" t="n">
        <f aca="false">-Pi/2</f>
        <v>-1.570796325</v>
      </c>
      <c r="O328" s="0" t="n">
        <f aca="false">SQRT(1+(A328/Fz1_u)^2)</f>
        <v>13.9604055737064</v>
      </c>
      <c r="P328" s="0" t="n">
        <f aca="false">ATAN2(Fz1_u,A328)</f>
        <v>1.49910377132017</v>
      </c>
      <c r="Q328" s="0" t="n">
        <f aca="false">SQRT(1+(A328/Fz2_u)^2)</f>
        <v>15800.4608170475</v>
      </c>
      <c r="R328" s="0" t="n">
        <f aca="false">ATAN2(Fz2_u,A328)</f>
        <v>1.57073303750149</v>
      </c>
      <c r="S328" s="0" t="n">
        <f aca="false">1/SQRT(1+(A328/Fp1_u)^2)</f>
        <v>0.0236720620096479</v>
      </c>
      <c r="T328" s="0" t="n">
        <f aca="false">-ATAN2(Fp1_u,A328)</f>
        <v>-1.54712205338907</v>
      </c>
      <c r="U328" s="0" t="n">
        <f aca="false">1/SQRT(1+(A328/Fp2_u)^2)</f>
        <v>0.542826110104858</v>
      </c>
      <c r="V328" s="0" t="n">
        <f aca="false">-ATAN2(Fp2_u,A328)</f>
        <v>-0.996997825282123</v>
      </c>
      <c r="X328" s="0" t="n">
        <f aca="false">20*LOG(C328*J328*O328*Q328*F328*M328*S328*U328)</f>
        <v>3.63182340654836</v>
      </c>
      <c r="Y328" s="0" t="n">
        <f aca="false">(180/Pi)*(D328+H328+N328+P328+R328+T328+V328)</f>
        <v>-236.938159758674</v>
      </c>
      <c r="Z328" s="0" t="n">
        <f aca="false">Y328+180</f>
        <v>-56.9381597586736</v>
      </c>
      <c r="AC328" s="0" t="n">
        <v>1</v>
      </c>
      <c r="AD328" s="0" t="n">
        <f aca="false">Rcea1_u*Cc1ea_u*A328*2*Pi</f>
        <v>13.924543934448</v>
      </c>
      <c r="AE328" s="0" t="n">
        <f aca="false">-Rcea1_u*Cc1ea_u*Cc2ea_u*(A328*2*Pi)^2</f>
        <v>-0.00748043687431993</v>
      </c>
      <c r="AF328" s="0" t="n">
        <f aca="false">(Cc2ea_u+Cc1ea_u)*A328*2*Pi</f>
        <v>0.00483491108835</v>
      </c>
      <c r="AG328" s="0" t="n">
        <f aca="false">AC328*AE328/(AE328^2+AF328^2)+AD328*AF328/(AE328^2+AF328^2)</f>
        <v>754.330075677622</v>
      </c>
      <c r="AH328" s="0" t="n">
        <f aca="false">AD328*AE328/(AE328^2+AF328^2)-AC328*AF328/(AE328^2+AF328^2)</f>
        <v>-1373.90706718753</v>
      </c>
      <c r="AJ328" s="0" t="n">
        <f aca="false">_Rfb1</f>
        <v>20000</v>
      </c>
      <c r="AK328" s="0" t="n">
        <f aca="false">_Rfb1*Rcea2_u*Cc3ea_u*A328*2*Pi</f>
        <v>844641.06005664</v>
      </c>
      <c r="AL328" s="0" t="n">
        <v>1</v>
      </c>
      <c r="AM328" s="0" t="n">
        <f aca="false">(_Rfb1+Rcea2_u)*Cc3ea_u*A328*2*Pi</f>
        <v>15800.4607854028</v>
      </c>
      <c r="AN328" s="0" t="n">
        <f aca="false">AJ328*AL328/(AL328^2+AM328^2)+AK328*AM328/(AL328^2+AM328^2)</f>
        <v>53.4568158442306</v>
      </c>
      <c r="AO328" s="0" t="n">
        <f aca="false">AK328*AL328/(AL328^2+AM328^2)-AJ328*AM328/(AL328^2+AM328^2)</f>
        <v>-1.26240262578818</v>
      </c>
      <c r="AQ328" s="0" t="n">
        <f aca="false">Eadcg/(1+(Eadcg*A328/GBP)^2)</f>
        <v>0.035041776141695</v>
      </c>
      <c r="AR328" s="0" t="n">
        <f aca="false">-(A328*Eadcg*Eadcg/GBP)/(1+(Eadcg*A328/GBP)^2)</f>
        <v>-10.5261991352038</v>
      </c>
      <c r="AT328" s="0" t="n">
        <f aca="false">-AR328*AH328+AG328*AQ328</f>
        <v>-14435.5863168309</v>
      </c>
      <c r="AU328" s="0" t="n">
        <f aca="false">AQ328*AH328+AG328*AR328</f>
        <v>-7988.37273414386</v>
      </c>
      <c r="AV328" s="0" t="n">
        <f aca="false">ATAN2(AT328,AU328)</f>
        <v>-2.6361577142233</v>
      </c>
      <c r="AW328" s="0" t="n">
        <f aca="false">AG328-AH328*AO328/_Rfb2+AG328*AN328/_Rfb2+AN328-AO328*AR328+AQ328*AN328</f>
        <v>813.737158891489</v>
      </c>
      <c r="AX328" s="0" t="n">
        <f aca="false">AH328+AH328*AN328/_Rfb2+AG328*AO328/_Rfb2+AO328+AO328*AQ328+AN328*AR328</f>
        <v>-1971.38942975951</v>
      </c>
      <c r="AY328" s="0" t="n">
        <f aca="false">ATAN2(AW328,AX328)</f>
        <v>-1.17932710830047</v>
      </c>
      <c r="BA328" s="0" t="n">
        <f aca="false">SQRT(AT328^2+AU328^2)/SQRT(AW328^2+AX328^2)</f>
        <v>7.73584998807271</v>
      </c>
      <c r="BB328" s="0" t="n">
        <f aca="false">20*LOG(BA328)</f>
        <v>17.7701607882416</v>
      </c>
      <c r="BC328" s="0" t="n">
        <f aca="false">AV328-AY328</f>
        <v>-1.45683060592283</v>
      </c>
      <c r="BD328" s="0" t="n">
        <f aca="false">BC328*180/Pi-180</f>
        <v>-263.470245280243</v>
      </c>
      <c r="BF328" s="0" t="n">
        <f aca="false">20*LOG(BA328*J328*F328*C328)</f>
        <v>-7.93893820543676</v>
      </c>
      <c r="BG328" s="0" t="n">
        <f aca="false">(180/Pi)*(D328+H328+BC328)</f>
        <v>-260.529766389531</v>
      </c>
      <c r="BH328" s="0" t="n">
        <f aca="false">IF(BG328&gt;180,BG328-180,BG328+180)</f>
        <v>-80.5297663895314</v>
      </c>
      <c r="BI328" s="0" t="n">
        <f aca="false">IF(BH328&gt;180,BH328-360,BH328)</f>
        <v>-80.5297663895314</v>
      </c>
      <c r="BJ328" s="0" t="n">
        <f aca="false">SUM((BF329&lt;0)*(BF328&gt;0))*A328</f>
        <v>0</v>
      </c>
      <c r="BK328" s="0" t="n">
        <f aca="false">IF(BJ328&gt;0,BI328,0)</f>
        <v>0</v>
      </c>
      <c r="BM328" s="0" t="n">
        <f aca="false">20*LOG(J328*F328*C328)</f>
        <v>-25.7090989936784</v>
      </c>
      <c r="BN328" s="0" t="n">
        <f aca="false">(H328+D328)*180/Pi</f>
        <v>-177.059521109288</v>
      </c>
      <c r="BQ328" s="347" t="n">
        <f aca="false">20*LOG(BA328*7)</f>
        <v>34.6721215885267</v>
      </c>
      <c r="BR328" s="353"/>
      <c r="BS328" s="353"/>
      <c r="BT328" s="353" t="n">
        <v>151356.125</v>
      </c>
      <c r="BU328" s="353" t="n">
        <v>10.0764</v>
      </c>
      <c r="BV328" s="353" t="n">
        <v>-136.342</v>
      </c>
      <c r="BY328" s="353"/>
      <c r="BZ328" s="353"/>
      <c r="CA328" s="353"/>
      <c r="CC328" s="353"/>
    </row>
    <row r="329" customFormat="false" ht="12.75" hidden="false" customHeight="false" outlineLevel="0" collapsed="false">
      <c r="A329" s="0" t="n">
        <f aca="false">A328+5000</f>
        <v>575000</v>
      </c>
      <c r="B329" s="0" t="n">
        <f aca="false">A329/1000</f>
        <v>575</v>
      </c>
      <c r="C329" s="0" t="n">
        <f aca="false">SQRT((A329/Fesr)^2+1)</f>
        <v>1.0000065262546</v>
      </c>
      <c r="D329" s="0" t="n">
        <f aca="false">ATAN(A329/Fesr)</f>
        <v>0.00361281582873281</v>
      </c>
      <c r="F329" s="0" t="n">
        <f aca="false">(Ro/(Ro+Rdcr))/SQRT((A329/(Q*Fo))^2+(1-(A329^2/Fo^2))^2)</f>
        <v>0.00565820600477848</v>
      </c>
      <c r="G329" s="0" t="n">
        <f aca="false">-ATAN(A329*Fo/(Q*(Fo^2-A329^2)))</f>
        <v>0.0473203800175475</v>
      </c>
      <c r="H329" s="0" t="n">
        <f aca="false">IF(G329&gt;0,G329-Pi,G329)</f>
        <v>-3.09427226998245</v>
      </c>
      <c r="J329" s="0" t="n">
        <f aca="false">Vin/Vramp</f>
        <v>9</v>
      </c>
      <c r="M329" s="0" t="n">
        <f aca="false">1/(2*Pi*_Rfb1*(Cc1ea_u+Cc2ea_u)*A329)</f>
        <v>0.0102515261367959</v>
      </c>
      <c r="N329" s="0" t="n">
        <f aca="false">-Pi/2</f>
        <v>-1.570796325</v>
      </c>
      <c r="O329" s="0" t="n">
        <f aca="false">SQRT(1+(A329/Fz1_u)^2)</f>
        <v>14.0822396462727</v>
      </c>
      <c r="P329" s="0" t="n">
        <f aca="false">ATAN2(Fz1_u,A329)</f>
        <v>1.49972507852556</v>
      </c>
      <c r="Q329" s="0" t="n">
        <f aca="false">SQRT(1+(A329/Fz2_u)^2)</f>
        <v>15939.0613499776</v>
      </c>
      <c r="R329" s="0" t="n">
        <f aca="false">ATAN2(Fz2_u,A329)</f>
        <v>1.57073358784317</v>
      </c>
      <c r="S329" s="0" t="n">
        <f aca="false">1/SQRT(1+(A329/Fp1_u)^2)</f>
        <v>0.0234663318409175</v>
      </c>
      <c r="T329" s="0" t="n">
        <f aca="false">-ATAN2(Fp1_u,A329)</f>
        <v>-1.54732784072426</v>
      </c>
      <c r="U329" s="0" t="n">
        <f aca="false">1/SQRT(1+(A329/Fp2_u)^2)</f>
        <v>0.539483932538891</v>
      </c>
      <c r="V329" s="0" t="n">
        <f aca="false">-ATAN2(Fp2_u,A329)</f>
        <v>-1.00097224753845</v>
      </c>
      <c r="X329" s="0" t="n">
        <f aca="false">20*LOG(C329*J329*O329*Q329*F329*M329*S329*U329)</f>
        <v>3.42541635331279</v>
      </c>
      <c r="Y329" s="0" t="n">
        <f aca="false">(180/Pi)*(D329+H329+N329+P329+R329+T329+V329)</f>
        <v>-237.164260041347</v>
      </c>
      <c r="Z329" s="0" t="n">
        <f aca="false">Y329+180</f>
        <v>-57.1642600413472</v>
      </c>
      <c r="AC329" s="0" t="n">
        <v>1</v>
      </c>
      <c r="AD329" s="0" t="n">
        <f aca="false">Rcea1_u*Cc1ea_u*A329*2*Pi</f>
        <v>14.04668905668</v>
      </c>
      <c r="AE329" s="0" t="n">
        <f aca="false">-Rcea1_u*Cc1ea_u*Cc2ea_u*(A329*2*Pi)^2</f>
        <v>-0.00761224820428448</v>
      </c>
      <c r="AF329" s="0" t="n">
        <f aca="false">(Cc2ea_u+Cc1ea_u)*A329*2*Pi</f>
        <v>0.004877322589125</v>
      </c>
      <c r="AG329" s="0" t="n">
        <f aca="false">AC329*AE329/(AE329^2+AF329^2)+AD329*AF329/(AE329^2+AF329^2)</f>
        <v>745.069858477125</v>
      </c>
      <c r="AH329" s="0" t="n">
        <f aca="false">AD329*AE329/(AE329^2+AF329^2)-AC329*AF329/(AE329^2+AF329^2)</f>
        <v>-1367.89325912845</v>
      </c>
      <c r="AJ329" s="0" t="n">
        <f aca="false">_Rfb1</f>
        <v>20000</v>
      </c>
      <c r="AK329" s="0" t="n">
        <f aca="false">_Rfb1*Rcea2_u*Cc3ea_u*A329*2*Pi</f>
        <v>852050.1921624</v>
      </c>
      <c r="AL329" s="0" t="n">
        <v>1</v>
      </c>
      <c r="AM329" s="0" t="n">
        <f aca="false">(_Rfb1+Rcea2_u)*Cc3ea_u*A329*2*Pi</f>
        <v>15939.0613186081</v>
      </c>
      <c r="AN329" s="0" t="n">
        <f aca="false">AJ329*AL329/(AL329^2+AM329^2)+AK329*AM329/(AL329^2+AM329^2)</f>
        <v>53.4568144607663</v>
      </c>
      <c r="AO329" s="0" t="n">
        <f aca="false">AK329*AL329/(AL329^2+AM329^2)-AJ329*AM329/(AL329^2+AM329^2)</f>
        <v>-1.25142521173769</v>
      </c>
      <c r="AQ329" s="0" t="n">
        <f aca="false">Eadcg/(1+(Eadcg*A329/GBP)^2)</f>
        <v>0.0344350102175506</v>
      </c>
      <c r="AR329" s="0" t="n">
        <f aca="false">-(A329*Eadcg*Eadcg/GBP)/(1+(Eadcg*A329/GBP)^2)</f>
        <v>-10.4346689711733</v>
      </c>
      <c r="AT329" s="0" t="n">
        <f aca="false">-AR329*AH329+AG329*AQ329</f>
        <v>-14247.8568587152</v>
      </c>
      <c r="AU329" s="0" t="n">
        <f aca="false">AQ329*AH329+AG329*AR329</f>
        <v>-7821.66075196233</v>
      </c>
      <c r="AV329" s="0" t="n">
        <f aca="false">ATAN2(AT329,AU329)</f>
        <v>-2.63953977683122</v>
      </c>
      <c r="AW329" s="0" t="n">
        <f aca="false">AG329-AH329*AO329/_Rfb2+AG329*AN329/_Rfb2+AN329-AO329*AR329+AQ329*AN329</f>
        <v>804.462011346449</v>
      </c>
      <c r="AX329" s="0" t="n">
        <f aca="false">AH329+AH329*AN329/_Rfb2+AG329*AO329/_Rfb2+AO329+AO329*AQ329+AN329*AR329</f>
        <v>-1960.31696724401</v>
      </c>
      <c r="AY329" s="0" t="n">
        <f aca="false">ATAN2(AW329,AX329)</f>
        <v>-1.18137944161006</v>
      </c>
      <c r="BA329" s="0" t="n">
        <f aca="false">SQRT(AT329^2+AU329^2)/SQRT(AW329^2+AX329^2)</f>
        <v>7.67055080041588</v>
      </c>
      <c r="BB329" s="0" t="n">
        <f aca="false">20*LOG(BA329)</f>
        <v>17.6965310103813</v>
      </c>
      <c r="BC329" s="0" t="n">
        <f aca="false">AV329-AY329</f>
        <v>-1.45816033522116</v>
      </c>
      <c r="BD329" s="0" t="n">
        <f aca="false">BC329*180/Pi-180</f>
        <v>-263.54643315702</v>
      </c>
      <c r="BF329" s="0" t="n">
        <f aca="false">20*LOG(BA329*J329*F329*C329)</f>
        <v>-8.16498700939365</v>
      </c>
      <c r="BG329" s="0" t="n">
        <f aca="false">(180/Pi)*(D329+H329+BC329)</f>
        <v>-260.62817599458</v>
      </c>
      <c r="BH329" s="0" t="n">
        <f aca="false">IF(BG329&gt;180,BG329-180,BG329+180)</f>
        <v>-80.6281759945799</v>
      </c>
      <c r="BI329" s="0" t="n">
        <f aca="false">IF(BH329&gt;180,BH329-360,BH329)</f>
        <v>-80.6281759945799</v>
      </c>
      <c r="BJ329" s="0" t="n">
        <f aca="false">SUM((BF330&lt;0)*(BF329&gt;0))*A329</f>
        <v>0</v>
      </c>
      <c r="BK329" s="0" t="n">
        <f aca="false">IF(BJ329&gt;0,BI329,0)</f>
        <v>0</v>
      </c>
      <c r="BM329" s="0" t="n">
        <f aca="false">20*LOG(J329*F329*C329)</f>
        <v>-25.861518019775</v>
      </c>
      <c r="BN329" s="0" t="n">
        <f aca="false">(H329+D329)*180/Pi</f>
        <v>-177.08174283756</v>
      </c>
      <c r="BQ329" s="347" t="n">
        <f aca="false">20*LOG(BA329*7)</f>
        <v>34.5984918106665</v>
      </c>
      <c r="BR329" s="353"/>
      <c r="BS329" s="353"/>
      <c r="BT329" s="353" t="n">
        <v>154881.662</v>
      </c>
      <c r="BU329" s="353" t="n">
        <v>10.266</v>
      </c>
      <c r="BV329" s="353" t="n">
        <v>-136.816</v>
      </c>
      <c r="BY329" s="353"/>
      <c r="BZ329" s="353"/>
      <c r="CA329" s="353"/>
      <c r="CC329" s="353"/>
    </row>
    <row r="330" customFormat="false" ht="12.75" hidden="false" customHeight="false" outlineLevel="0" collapsed="false">
      <c r="A330" s="0" t="n">
        <f aca="false">A329+5000</f>
        <v>580000</v>
      </c>
      <c r="B330" s="0" t="n">
        <f aca="false">A330/1000</f>
        <v>580</v>
      </c>
      <c r="C330" s="0" t="n">
        <f aca="false">SQRT((A330/Fesr)^2+1)</f>
        <v>1.00000664024778</v>
      </c>
      <c r="D330" s="0" t="n">
        <f aca="false">ATAN(A330/Fesr)</f>
        <v>0.00364423134160419</v>
      </c>
      <c r="F330" s="0" t="n">
        <f aca="false">(Ro/(Ro+Rdcr))/SQRT((A330/(Q*Fo))^2+(1-(A330^2/Fo^2))^2)</f>
        <v>0.00556063435081855</v>
      </c>
      <c r="G330" s="0" t="n">
        <f aca="false">-ATAN(A330*Fo/(Q*(Fo^2-A330^2)))</f>
        <v>0.0469084567845585</v>
      </c>
      <c r="H330" s="0" t="n">
        <f aca="false">IF(G330&gt;0,G330-Pi,G330)</f>
        <v>-3.09468419321544</v>
      </c>
      <c r="J330" s="0" t="n">
        <f aca="false">Vin/Vramp</f>
        <v>9</v>
      </c>
      <c r="M330" s="0" t="n">
        <f aca="false">1/(2*Pi*_Rfb1*(Cc1ea_u+Cc2ea_u)*A330)</f>
        <v>0.0101631509114787</v>
      </c>
      <c r="N330" s="0" t="n">
        <f aca="false">-Pi/2</f>
        <v>-1.570796325</v>
      </c>
      <c r="O330" s="0" t="n">
        <f aca="false">SQRT(1+(A330/Fz1_u)^2)</f>
        <v>14.2040790616465</v>
      </c>
      <c r="P330" s="0" t="n">
        <f aca="false">ATAN2(Fz1_u,A330)</f>
        <v>1.50033572709464</v>
      </c>
      <c r="Q330" s="0" t="n">
        <f aca="false">SQRT(1+(A330/Fz2_u)^2)</f>
        <v>16077.6618829125</v>
      </c>
      <c r="R330" s="0" t="n">
        <f aca="false">ATAN2(Fz2_u,A330)</f>
        <v>1.5707341286962</v>
      </c>
      <c r="S330" s="0" t="n">
        <f aca="false">1/SQRT(1+(A330/Fp1_u)^2)</f>
        <v>0.0232641458392601</v>
      </c>
      <c r="T330" s="0" t="n">
        <f aca="false">-ATAN2(Fp1_u,A330)</f>
        <v>-1.54753008193901</v>
      </c>
      <c r="U330" s="0" t="n">
        <f aca="false">1/SQRT(1+(A330/Fp2_u)^2)</f>
        <v>0.536174344164456</v>
      </c>
      <c r="V330" s="0" t="n">
        <f aca="false">-ATAN2(Fp2_u,A330)</f>
        <v>-1.0048979671573</v>
      </c>
      <c r="X330" s="0" t="n">
        <f aca="false">20*LOG(C330*J330*O330*Q330*F330*M330*S330*U330)</f>
        <v>3.2205443784869</v>
      </c>
      <c r="Y330" s="0" t="n">
        <f aca="false">(180/Pi)*(D330+H330+N330+P330+R330+T330+V330)</f>
        <v>-237.387557687428</v>
      </c>
      <c r="Z330" s="0" t="n">
        <f aca="false">Y330+180</f>
        <v>-57.3875576874283</v>
      </c>
      <c r="AC330" s="0" t="n">
        <v>1</v>
      </c>
      <c r="AD330" s="0" t="n">
        <f aca="false">Rcea1_u*Cc1ea_u*A330*2*Pi</f>
        <v>14.168834178912</v>
      </c>
      <c r="AE330" s="0" t="n">
        <f aca="false">-Rcea1_u*Cc1ea_u*Cc2ea_u*(A330*2*Pi)^2</f>
        <v>-0.00774521072490374</v>
      </c>
      <c r="AF330" s="0" t="n">
        <f aca="false">(Cc2ea_u+Cc1ea_u)*A330*2*Pi</f>
        <v>0.0049197340899</v>
      </c>
      <c r="AG330" s="0" t="n">
        <f aca="false">AC330*AE330/(AE330^2+AF330^2)+AD330*AF330/(AE330^2+AF330^2)</f>
        <v>735.956293990873</v>
      </c>
      <c r="AH330" s="0" t="n">
        <f aca="false">AD330*AE330/(AE330^2+AF330^2)-AC330*AF330/(AE330^2+AF330^2)</f>
        <v>-1361.88998406105</v>
      </c>
      <c r="AJ330" s="0" t="n">
        <f aca="false">_Rfb1</f>
        <v>20000</v>
      </c>
      <c r="AK330" s="0" t="n">
        <f aca="false">_Rfb1*Rcea2_u*Cc3ea_u*A330*2*Pi</f>
        <v>859459.32426816</v>
      </c>
      <c r="AL330" s="0" t="n">
        <v>1</v>
      </c>
      <c r="AM330" s="0" t="n">
        <f aca="false">(_Rfb1+Rcea2_u)*Cc3ea_u*A330*2*Pi</f>
        <v>16077.6618518134</v>
      </c>
      <c r="AN330" s="0" t="n">
        <f aca="false">AJ330*AL330/(AL330^2+AM330^2)+AK330*AM330/(AL330^2+AM330^2)</f>
        <v>53.4568131129269</v>
      </c>
      <c r="AO330" s="0" t="n">
        <f aca="false">AK330*AL330/(AL330^2+AM330^2)-AJ330*AM330/(AL330^2+AM330^2)</f>
        <v>-1.24063706344448</v>
      </c>
      <c r="AQ330" s="0" t="n">
        <f aca="false">Eadcg/(1+(Eadcg*A330/GBP)^2)</f>
        <v>0.0338438685542848</v>
      </c>
      <c r="AR330" s="0" t="n">
        <f aca="false">-(A330*Eadcg*Eadcg/GBP)/(1+(Eadcg*A330/GBP)^2)</f>
        <v>-10.3447168623027</v>
      </c>
      <c r="AT330" s="0" t="n">
        <f aca="false">-AR330*AH330+AG330*AQ330</f>
        <v>-14063.458674642</v>
      </c>
      <c r="AU330" s="0" t="n">
        <f aca="false">AQ330*AH330+AG330*AR330</f>
        <v>-7659.35110997115</v>
      </c>
      <c r="AV330" s="0" t="n">
        <f aca="false">ATAN2(AT330,AU330)</f>
        <v>-2.64288329634755</v>
      </c>
      <c r="AW330" s="0" t="n">
        <f aca="false">AG330-AH330*AO330/_Rfb2+AG330*AN330/_Rfb2+AN330-AO330*AR330+AQ330*AN330</f>
        <v>795.33177340438</v>
      </c>
      <c r="AX330" s="0" t="n">
        <f aca="false">AH330+AH330*AN330/_Rfb2+AG330*AO330/_Rfb2+AO330+AO330*AQ330+AN330*AR330</f>
        <v>-1949.34011395263</v>
      </c>
      <c r="AY330" s="0" t="n">
        <f aca="false">ATAN2(AW330,AX330)</f>
        <v>-1.18341203620107</v>
      </c>
      <c r="BA330" s="0" t="n">
        <f aca="false">SQRT(AT330^2+AU330^2)/SQRT(AW330^2+AX330^2)</f>
        <v>7.60632792063189</v>
      </c>
      <c r="BB330" s="0" t="n">
        <f aca="false">20*LOG(BA330)</f>
        <v>17.6235008918006</v>
      </c>
      <c r="BC330" s="0" t="n">
        <f aca="false">AV330-AY330</f>
        <v>-1.45947126014648</v>
      </c>
      <c r="BD330" s="0" t="n">
        <f aca="false">BC330*180/Pi-180</f>
        <v>-263.621543622585</v>
      </c>
      <c r="BF330" s="0" t="n">
        <f aca="false">20*LOG(BA330*J330*F330*C330)</f>
        <v>-8.38910447860668</v>
      </c>
      <c r="BG330" s="0" t="n">
        <f aca="false">(180/Pi)*(D330+H330+BC330)</f>
        <v>-260.725087946605</v>
      </c>
      <c r="BH330" s="0" t="n">
        <f aca="false">IF(BG330&gt;180,BG330-180,BG330+180)</f>
        <v>-80.7250879466047</v>
      </c>
      <c r="BI330" s="0" t="n">
        <f aca="false">IF(BH330&gt;180,BH330-360,BH330)</f>
        <v>-80.7250879466047</v>
      </c>
      <c r="BJ330" s="0" t="n">
        <f aca="false">SUM((BF331&lt;0)*(BF330&gt;0))*A330</f>
        <v>0</v>
      </c>
      <c r="BK330" s="0" t="n">
        <f aca="false">IF(BJ330&gt;0,BI330,0)</f>
        <v>0</v>
      </c>
      <c r="BM330" s="0" t="n">
        <f aca="false">20*LOG(J330*F330*C330)</f>
        <v>-26.0126053704073</v>
      </c>
      <c r="BN330" s="0" t="n">
        <f aca="false">(H330+D330)*180/Pi</f>
        <v>-177.10354432402</v>
      </c>
      <c r="BQ330" s="347" t="n">
        <f aca="false">20*LOG(BA330*7)</f>
        <v>34.5254616920858</v>
      </c>
      <c r="BR330" s="353"/>
      <c r="BS330" s="353"/>
      <c r="BT330" s="353" t="n">
        <v>158489.319</v>
      </c>
      <c r="BU330" s="353" t="n">
        <v>10.4788</v>
      </c>
      <c r="BV330" s="353" t="n">
        <v>-137.47</v>
      </c>
      <c r="BY330" s="353"/>
      <c r="BZ330" s="353"/>
      <c r="CA330" s="353"/>
      <c r="CC330" s="353"/>
    </row>
    <row r="331" customFormat="false" ht="12.75" hidden="false" customHeight="false" outlineLevel="0" collapsed="false">
      <c r="A331" s="0" t="n">
        <f aca="false">A330+5000</f>
        <v>585000</v>
      </c>
      <c r="B331" s="0" t="n">
        <f aca="false">A331/1000</f>
        <v>585</v>
      </c>
      <c r="C331" s="0" t="n">
        <f aca="false">SQRT((A331/Fesr)^2+1)</f>
        <v>1.0000067552279</v>
      </c>
      <c r="D331" s="0" t="n">
        <f aca="false">ATAN(A331/Fesr)</f>
        <v>0.0036756468472823</v>
      </c>
      <c r="F331" s="0" t="n">
        <f aca="false">(Ro/(Ro+Rdcr))/SQRT((A331/(Q*Fo))^2+(1-(A331^2/Fo^2))^2)</f>
        <v>0.00546556855630601</v>
      </c>
      <c r="G331" s="0" t="n">
        <f aca="false">-ATAN(A331*Fo/(Q*(Fo^2-A331^2)))</f>
        <v>0.0465036764923185</v>
      </c>
      <c r="H331" s="0" t="n">
        <f aca="false">IF(G331&gt;0,G331-Pi,G331)</f>
        <v>-3.09508897350768</v>
      </c>
      <c r="J331" s="0" t="n">
        <f aca="false">Vin/Vramp</f>
        <v>9</v>
      </c>
      <c r="M331" s="0" t="n">
        <f aca="false">1/(2*Pi*_Rfb1*(Cc1ea_u+Cc2ea_u)*A331)</f>
        <v>0.0100762863737737</v>
      </c>
      <c r="N331" s="0" t="n">
        <f aca="false">-Pi/2</f>
        <v>-1.570796325</v>
      </c>
      <c r="O331" s="0" t="n">
        <f aca="false">SQRT(1+(A331/Fz1_u)^2)</f>
        <v>14.3259236835091</v>
      </c>
      <c r="P331" s="0" t="n">
        <f aca="false">ATAN2(Fz1_u,A331)</f>
        <v>1.5009359885271</v>
      </c>
      <c r="Q331" s="0" t="n">
        <f aca="false">SQRT(1+(A331/Fz2_u)^2)</f>
        <v>16216.2624158519</v>
      </c>
      <c r="R331" s="0" t="n">
        <f aca="false">ATAN2(Fz2_u,A331)</f>
        <v>1.57073466030388</v>
      </c>
      <c r="S331" s="0" t="n">
        <f aca="false">1/SQRT(1+(A331/Fp1_u)^2)</f>
        <v>0.0230654132265699</v>
      </c>
      <c r="T331" s="0" t="n">
        <f aca="false">-ATAN2(Fp1_u,A331)</f>
        <v>-1.54772886789416</v>
      </c>
      <c r="U331" s="0" t="n">
        <f aca="false">1/SQRT(1+(A331/Fp2_u)^2)</f>
        <v>0.532897052123326</v>
      </c>
      <c r="V331" s="0" t="n">
        <f aca="false">-ATAN2(Fp2_u,A331)</f>
        <v>-1.00877575508713</v>
      </c>
      <c r="X331" s="0" t="n">
        <f aca="false">20*LOG(C331*J331*O331*Q331*F331*M331*S331*U331)</f>
        <v>3.01718491062185</v>
      </c>
      <c r="Y331" s="0" t="n">
        <f aca="false">(180/Pi)*(D331+H331+N331+P331+R331+T331+V331)</f>
        <v>-237.608097487091</v>
      </c>
      <c r="Z331" s="0" t="n">
        <f aca="false">Y331+180</f>
        <v>-57.608097487091</v>
      </c>
      <c r="AC331" s="0" t="n">
        <v>1</v>
      </c>
      <c r="AD331" s="0" t="n">
        <f aca="false">Rcea1_u*Cc1ea_u*A331*2*Pi</f>
        <v>14.290979301144</v>
      </c>
      <c r="AE331" s="0" t="n">
        <f aca="false">-Rcea1_u*Cc1ea_u*Cc2ea_u*(A331*2*Pi)^2</f>
        <v>-0.00787932443617771</v>
      </c>
      <c r="AF331" s="0" t="n">
        <f aca="false">(Cc2ea_u+Cc1ea_u)*A331*2*Pi</f>
        <v>0.004962145590675</v>
      </c>
      <c r="AG331" s="0" t="n">
        <f aca="false">AC331*AE331/(AE331^2+AF331^2)+AD331*AF331/(AE331^2+AF331^2)</f>
        <v>726.986926494031</v>
      </c>
      <c r="AH331" s="0" t="n">
        <f aca="false">AD331*AE331/(AE331^2+AF331^2)-AC331*AF331/(AE331^2+AF331^2)</f>
        <v>-1355.89851844531</v>
      </c>
      <c r="AJ331" s="0" t="n">
        <f aca="false">_Rfb1</f>
        <v>20000</v>
      </c>
      <c r="AK331" s="0" t="n">
        <f aca="false">_Rfb1*Rcea2_u*Cc3ea_u*A331*2*Pi</f>
        <v>866868.45637392</v>
      </c>
      <c r="AL331" s="0" t="n">
        <v>1</v>
      </c>
      <c r="AM331" s="0" t="n">
        <f aca="false">(_Rfb1+Rcea2_u)*Cc3ea_u*A331*2*Pi</f>
        <v>16216.2623850187</v>
      </c>
      <c r="AN331" s="0" t="n">
        <f aca="false">AJ331*AL331/(AL331^2+AM331^2)+AK331*AM331/(AL331^2+AM331^2)</f>
        <v>53.4568117994995</v>
      </c>
      <c r="AO331" s="0" t="n">
        <f aca="false">AK331*AL331/(AL331^2+AM331^2)-AJ331*AM331/(AL331^2+AM331^2)</f>
        <v>-1.23003332794048</v>
      </c>
      <c r="AQ331" s="0" t="n">
        <f aca="false">Eadcg/(1+(Eadcg*A331/GBP)^2)</f>
        <v>0.0332678192879042</v>
      </c>
      <c r="AR331" s="0" t="n">
        <f aca="false">-(A331*Eadcg*Eadcg/GBP)/(1+(Eadcg*A331/GBP)^2)</f>
        <v>-10.2563023473644</v>
      </c>
      <c r="AT331" s="0" t="n">
        <f aca="false">-AR331*AH331+AG331*AQ331</f>
        <v>-13882.3198878233</v>
      </c>
      <c r="AU331" s="0" t="n">
        <f aca="false">AQ331*AH331+AG331*AR331</f>
        <v>-7501.30550758835</v>
      </c>
      <c r="AV331" s="0" t="n">
        <f aca="false">ATAN2(AT331,AU331)</f>
        <v>-2.64618878501808</v>
      </c>
      <c r="AW331" s="0" t="n">
        <f aca="false">AG331-AH331*AO331/_Rfb2+AG331*AN331/_Rfb2+AN331-AO331*AR331+AQ331*AN331</f>
        <v>786.344107463975</v>
      </c>
      <c r="AX331" s="0" t="n">
        <f aca="false">AH331+AH331*AN331/_Rfb2+AG331*AO331/_Rfb2+AO331+AO331*AQ331+AN331*AR331</f>
        <v>-1938.45800017229</v>
      </c>
      <c r="AY331" s="0" t="n">
        <f aca="false">ATAN2(AW331,AX331)</f>
        <v>-1.18542495096264</v>
      </c>
      <c r="BA331" s="0" t="n">
        <f aca="false">SQRT(AT331^2+AU331^2)/SQRT(AW331^2+AX331^2)</f>
        <v>7.54315534130025</v>
      </c>
      <c r="BB331" s="0" t="n">
        <f aca="false">20*LOG(BA331)</f>
        <v>17.5510610305613</v>
      </c>
      <c r="BC331" s="0" t="n">
        <f aca="false">AV331-AY331</f>
        <v>-1.46076383405545</v>
      </c>
      <c r="BD331" s="0" t="n">
        <f aca="false">BC331*180/Pi-180</f>
        <v>-263.695602652362</v>
      </c>
      <c r="BF331" s="0" t="n">
        <f aca="false">20*LOG(BA331*J331*F331*C331)</f>
        <v>-8.61132318244977</v>
      </c>
      <c r="BG331" s="0" t="n">
        <f aca="false">(180/Pi)*(D331+H331+BC331)</f>
        <v>-260.820539202895</v>
      </c>
      <c r="BH331" s="0" t="n">
        <f aca="false">IF(BG331&gt;180,BG331-180,BG331+180)</f>
        <v>-80.8205392028953</v>
      </c>
      <c r="BI331" s="0" t="n">
        <f aca="false">IF(BH331&gt;180,BH331-360,BH331)</f>
        <v>-80.8205392028953</v>
      </c>
      <c r="BJ331" s="0" t="n">
        <f aca="false">SUM((BF332&lt;0)*(BF331&gt;0))*A331</f>
        <v>0</v>
      </c>
      <c r="BK331" s="0" t="n">
        <f aca="false">IF(BJ331&gt;0,BI331,0)</f>
        <v>0</v>
      </c>
      <c r="BM331" s="0" t="n">
        <f aca="false">20*LOG(J331*F331*C331)</f>
        <v>-26.1623842130111</v>
      </c>
      <c r="BN331" s="0" t="n">
        <f aca="false">(H331+D331)*180/Pi</f>
        <v>-177.124936550533</v>
      </c>
      <c r="BQ331" s="347" t="n">
        <f aca="false">20*LOG(BA331*7)</f>
        <v>34.4530218308465</v>
      </c>
      <c r="BR331" s="353"/>
      <c r="BS331" s="353"/>
      <c r="BT331" s="353" t="n">
        <v>162181.01</v>
      </c>
      <c r="BU331" s="353" t="n">
        <v>10.7419</v>
      </c>
      <c r="BV331" s="353" t="n">
        <v>-137.469</v>
      </c>
      <c r="BY331" s="353"/>
      <c r="BZ331" s="353"/>
      <c r="CA331" s="353"/>
      <c r="CC331" s="353"/>
    </row>
    <row r="332" customFormat="false" ht="12.75" hidden="false" customHeight="false" outlineLevel="0" collapsed="false">
      <c r="A332" s="0" t="n">
        <f aca="false">A331+5000</f>
        <v>590000</v>
      </c>
      <c r="B332" s="0" t="n">
        <f aca="false">A332/1000</f>
        <v>590</v>
      </c>
      <c r="C332" s="0" t="n">
        <f aca="false">SQRT((A332/Fesr)^2+1)</f>
        <v>1.00000687119496</v>
      </c>
      <c r="D332" s="0" t="n">
        <f aca="false">ATAN(A332/Fesr)</f>
        <v>0.00370706234570515</v>
      </c>
      <c r="F332" s="0" t="n">
        <f aca="false">(Ro/(Ro+Rdcr))/SQRT((A332/(Q*Fo))^2+(1-(A332^2/Fo^2))^2)</f>
        <v>0.00537292342189876</v>
      </c>
      <c r="G332" s="0" t="n">
        <f aca="false">-ATAN(A332*Fo/(Q*(Fo^2-A332^2)))</f>
        <v>0.0461058541203766</v>
      </c>
      <c r="H332" s="0" t="n">
        <f aca="false">IF(G332&gt;0,G332-Pi,G332)</f>
        <v>-3.09548679587962</v>
      </c>
      <c r="J332" s="0" t="n">
        <f aca="false">Vin/Vramp</f>
        <v>9</v>
      </c>
      <c r="M332" s="0" t="n">
        <f aca="false">1/(2*Pi*_Rfb1*(Cc1ea_u+Cc2ea_u)*A332)</f>
        <v>0.00999089411636889</v>
      </c>
      <c r="N332" s="0" t="n">
        <f aca="false">-Pi/2</f>
        <v>-1.570796325</v>
      </c>
      <c r="O332" s="0" t="n">
        <f aca="false">SQRT(1+(A332/Fz1_u)^2)</f>
        <v>14.4477733801343</v>
      </c>
      <c r="P332" s="0" t="n">
        <f aca="false">ATAN2(Fz1_u,A332)</f>
        <v>1.50152612519402</v>
      </c>
      <c r="Q332" s="0" t="n">
        <f aca="false">SQRT(1+(A332/Fz2_u)^2)</f>
        <v>16354.8629487959</v>
      </c>
      <c r="R332" s="0" t="n">
        <f aca="false">ATAN2(Fz2_u,A332)</f>
        <v>1.57073518290126</v>
      </c>
      <c r="S332" s="0" t="n">
        <f aca="false">1/SQRT(1+(A332/Fp1_u)^2)</f>
        <v>0.0228700462978694</v>
      </c>
      <c r="T332" s="0" t="n">
        <f aca="false">-ATAN2(Fp1_u,A332)</f>
        <v>-1.54792428637321</v>
      </c>
      <c r="U332" s="0" t="n">
        <f aca="false">1/SQRT(1+(A332/Fp2_u)^2)</f>
        <v>0.529651760817126</v>
      </c>
      <c r="V332" s="0" t="n">
        <f aca="false">-ATAN2(Fp2_u,A332)</f>
        <v>-1.01260636933227</v>
      </c>
      <c r="X332" s="0" t="n">
        <f aca="false">20*LOG(C332*J332*O332*Q332*F332*M332*S332*U332)</f>
        <v>2.81531589929</v>
      </c>
      <c r="Y332" s="0" t="n">
        <f aca="false">(180/Pi)*(D332+H332+N332+P332+R332+T332+V332)</f>
        <v>-237.82592345508</v>
      </c>
      <c r="Z332" s="0" t="n">
        <f aca="false">Y332+180</f>
        <v>-57.8259234550799</v>
      </c>
      <c r="AC332" s="0" t="n">
        <v>1</v>
      </c>
      <c r="AD332" s="0" t="n">
        <f aca="false">Rcea1_u*Cc1ea_u*A332*2*Pi</f>
        <v>14.413124423376</v>
      </c>
      <c r="AE332" s="0" t="n">
        <f aca="false">-Rcea1_u*Cc1ea_u*Cc2ea_u*(A332*2*Pi)^2</f>
        <v>-0.00801458933810639</v>
      </c>
      <c r="AF332" s="0" t="n">
        <f aca="false">(Cc2ea_u+Cc1ea_u)*A332*2*Pi</f>
        <v>0.00500455709145</v>
      </c>
      <c r="AG332" s="0" t="n">
        <f aca="false">AC332*AE332/(AE332^2+AF332^2)+AD332*AF332/(AE332^2+AF332^2)</f>
        <v>718.159328605906</v>
      </c>
      <c r="AH332" s="0" t="n">
        <f aca="false">AD332*AE332/(AE332^2+AF332^2)-AC332*AF332/(AE332^2+AF332^2)</f>
        <v>-1349.92007777239</v>
      </c>
      <c r="AJ332" s="0" t="n">
        <f aca="false">_Rfb1</f>
        <v>20000</v>
      </c>
      <c r="AK332" s="0" t="n">
        <f aca="false">_Rfb1*Rcea2_u*Cc3ea_u*A332*2*Pi</f>
        <v>874277.58847968</v>
      </c>
      <c r="AL332" s="0" t="n">
        <v>1</v>
      </c>
      <c r="AM332" s="0" t="n">
        <f aca="false">(_Rfb1+Rcea2_u)*Cc3ea_u*A332*2*Pi</f>
        <v>16354.862918224</v>
      </c>
      <c r="AN332" s="0" t="n">
        <f aca="false">AJ332*AL332/(AL332^2+AM332^2)+AK332*AM332/(AL332^2+AM332^2)</f>
        <v>53.4568105193227</v>
      </c>
      <c r="AO332" s="0" t="n">
        <f aca="false">AK332*AL332/(AL332^2+AM332^2)-AJ332*AM332/(AL332^2+AM332^2)</f>
        <v>-1.21960931676502</v>
      </c>
      <c r="AQ332" s="0" t="n">
        <f aca="false">Eadcg/(1+(Eadcg*A332/GBP)^2)</f>
        <v>0.0327063529946471</v>
      </c>
      <c r="AR332" s="0" t="n">
        <f aca="false">-(A332*Eadcg*Eadcg/GBP)/(1+(Eadcg*A332/GBP)^2)</f>
        <v>-10.1693863366256</v>
      </c>
      <c r="AT332" s="0" t="n">
        <f aca="false">-AR332*AH332+AG332*AQ332</f>
        <v>-13704.3704219273</v>
      </c>
      <c r="AU332" s="0" t="n">
        <f aca="false">AQ332*AH332+AG332*AR332</f>
        <v>-7347.39062642332</v>
      </c>
      <c r="AV332" s="0" t="n">
        <f aca="false">ATAN2(AT332,AU332)</f>
        <v>-2.64945675083925</v>
      </c>
      <c r="AW332" s="0" t="n">
        <f aca="false">AG332-AH332*AO332/_Rfb2+AG332*AN332/_Rfb2+AN332-AO332*AR332+AQ332*AN332</f>
        <v>777.496697539814</v>
      </c>
      <c r="AX332" s="0" t="n">
        <f aca="false">AH332+AH332*AN332/_Rfb2+AG332*AO332/_Rfb2+AO332+AO332*AQ332+AN332*AR332</f>
        <v>-1927.66976758658</v>
      </c>
      <c r="AY332" s="0" t="n">
        <f aca="false">ATAN2(AW332,AX332)</f>
        <v>-1.18741825475023</v>
      </c>
      <c r="BA332" s="0" t="n">
        <f aca="false">SQRT(AT332^2+AU332^2)/SQRT(AW332^2+AX332^2)</f>
        <v>7.48100787354054</v>
      </c>
      <c r="BB332" s="0" t="n">
        <f aca="false">20*LOG(BA332)</f>
        <v>17.479202236515</v>
      </c>
      <c r="BC332" s="0" t="n">
        <f aca="false">AV332-AY332</f>
        <v>-1.46203849608902</v>
      </c>
      <c r="BD332" s="0" t="n">
        <f aca="false">BC332*180/Pi-180</f>
        <v>-263.768635407275</v>
      </c>
      <c r="BF332" s="0" t="n">
        <f aca="false">20*LOG(BA332*J332*F332*C332)</f>
        <v>-8.83167487667316</v>
      </c>
      <c r="BG332" s="0" t="n">
        <f aca="false">(180/Pi)*(D332+H332+BC332)</f>
        <v>-260.914565525269</v>
      </c>
      <c r="BH332" s="0" t="n">
        <f aca="false">IF(BG332&gt;180,BG332-180,BG332+180)</f>
        <v>-80.9145655252693</v>
      </c>
      <c r="BI332" s="0" t="n">
        <f aca="false">IF(BH332&gt;180,BH332-360,BH332)</f>
        <v>-80.9145655252693</v>
      </c>
      <c r="BJ332" s="0" t="n">
        <f aca="false">SUM((BF333&lt;0)*(BF332&gt;0))*A332</f>
        <v>0</v>
      </c>
      <c r="BK332" s="0" t="n">
        <f aca="false">IF(BJ332&gt;0,BI332,0)</f>
        <v>0</v>
      </c>
      <c r="BM332" s="0" t="n">
        <f aca="false">20*LOG(J332*F332*C332)</f>
        <v>-26.3108771131882</v>
      </c>
      <c r="BN332" s="0" t="n">
        <f aca="false">(H332+D332)*180/Pi</f>
        <v>-177.145930117995</v>
      </c>
      <c r="BQ332" s="347" t="n">
        <f aca="false">20*LOG(BA332*7)</f>
        <v>34.3811630368001</v>
      </c>
      <c r="BR332" s="353"/>
      <c r="BS332" s="353"/>
      <c r="BT332" s="353" t="n">
        <v>165958.691</v>
      </c>
      <c r="BU332" s="353" t="n">
        <v>11.0235</v>
      </c>
      <c r="BV332" s="353" t="n">
        <v>-138.312</v>
      </c>
      <c r="BY332" s="353"/>
      <c r="BZ332" s="353"/>
      <c r="CA332" s="353"/>
      <c r="CC332" s="353"/>
    </row>
    <row r="333" customFormat="false" ht="12.75" hidden="false" customHeight="false" outlineLevel="0" collapsed="false">
      <c r="A333" s="0" t="n">
        <f aca="false">A332+5000</f>
        <v>595000</v>
      </c>
      <c r="B333" s="0" t="n">
        <f aca="false">A333/1000</f>
        <v>595</v>
      </c>
      <c r="C333" s="0" t="n">
        <f aca="false">SQRT((A333/Fesr)^2+1)</f>
        <v>1.00000698814896</v>
      </c>
      <c r="D333" s="0" t="n">
        <f aca="false">ATAN(A333/Fesr)</f>
        <v>0.00373847783681071</v>
      </c>
      <c r="F333" s="0" t="n">
        <f aca="false">(Ro/(Ro+Rdcr))/SQRT((A333/(Q*Fo))^2+(1-(A333^2/Fo^2))^2)</f>
        <v>0.00528261734362153</v>
      </c>
      <c r="G333" s="0" t="n">
        <f aca="false">-ATAN(A333*Fo/(Q*(Fo^2-A333^2)))</f>
        <v>0.0457148110104738</v>
      </c>
      <c r="H333" s="0" t="n">
        <f aca="false">IF(G333&gt;0,G333-Pi,G333)</f>
        <v>-3.09587783898953</v>
      </c>
      <c r="J333" s="0" t="n">
        <f aca="false">Vin/Vramp</f>
        <v>9</v>
      </c>
      <c r="M333" s="0" t="n">
        <f aca="false">1/(2*Pi*_Rfb1*(Cc1ea_u+Cc2ea_u)*A333)</f>
        <v>0.00990693702295402</v>
      </c>
      <c r="N333" s="0" t="n">
        <f aca="false">-Pi/2</f>
        <v>-1.570796325</v>
      </c>
      <c r="O333" s="0" t="n">
        <f aca="false">SQRT(1+(A333/Fz1_u)^2)</f>
        <v>14.5696280241974</v>
      </c>
      <c r="P333" s="0" t="n">
        <f aca="false">ATAN2(Fz1_u,A333)</f>
        <v>1.50210639071782</v>
      </c>
      <c r="Q333" s="0" t="n">
        <f aca="false">SQRT(1+(A333/Fz2_u)^2)</f>
        <v>16493.4634817443</v>
      </c>
      <c r="R333" s="0" t="n">
        <f aca="false">ATAN2(Fz2_u,A333)</f>
        <v>1.57073569671549</v>
      </c>
      <c r="S333" s="0" t="n">
        <f aca="false">1/SQRT(1+(A333/Fp1_u)^2)</f>
        <v>0.0226779602923903</v>
      </c>
      <c r="T333" s="0" t="n">
        <f aca="false">-ATAN2(Fp1_u,A333)</f>
        <v>-1.54811642221158</v>
      </c>
      <c r="U333" s="0" t="n">
        <f aca="false">1/SQRT(1+(A333/Fp2_u)^2)</f>
        <v>0.526438172296601</v>
      </c>
      <c r="V333" s="0" t="n">
        <f aca="false">-ATAN2(Fp2_u,A333)</f>
        <v>-1.01639055510534</v>
      </c>
      <c r="X333" s="0" t="n">
        <f aca="false">20*LOG(C333*J333*O333*Q333*F333*M333*S333*U333)</f>
        <v>2.61491579768676</v>
      </c>
      <c r="Y333" s="0" t="n">
        <f aca="false">(180/Pi)*(D333+H333+N333+P333+R333+T333+V333)</f>
        <v>-238.041078841504</v>
      </c>
      <c r="Z333" s="0" t="n">
        <f aca="false">Y333+180</f>
        <v>-58.0410788415041</v>
      </c>
      <c r="AC333" s="0" t="n">
        <v>1</v>
      </c>
      <c r="AD333" s="0" t="n">
        <f aca="false">Rcea1_u*Cc1ea_u*A333*2*Pi</f>
        <v>14.535269545608</v>
      </c>
      <c r="AE333" s="0" t="n">
        <f aca="false">-Rcea1_u*Cc1ea_u*Cc2ea_u*(A333*2*Pi)^2</f>
        <v>-0.00815100543068979</v>
      </c>
      <c r="AF333" s="0" t="n">
        <f aca="false">(Cc2ea_u+Cc1ea_u)*A333*2*Pi</f>
        <v>0.005046968592225</v>
      </c>
      <c r="AG333" s="0" t="n">
        <f aca="false">AC333*AE333/(AE333^2+AF333^2)+AD333*AF333/(AE333^2+AF333^2)</f>
        <v>709.471102082523</v>
      </c>
      <c r="AH333" s="0" t="n">
        <f aca="false">AD333*AE333/(AE333^2+AF333^2)-AC333*AF333/(AE333^2+AF333^2)</f>
        <v>-1343.95581863564</v>
      </c>
      <c r="AJ333" s="0" t="n">
        <f aca="false">_Rfb1</f>
        <v>20000</v>
      </c>
      <c r="AK333" s="0" t="n">
        <f aca="false">_Rfb1*Rcea2_u*Cc3ea_u*A333*2*Pi</f>
        <v>881686.72058544</v>
      </c>
      <c r="AL333" s="0" t="n">
        <v>1</v>
      </c>
      <c r="AM333" s="0" t="n">
        <f aca="false">(_Rfb1+Rcea2_u)*Cc3ea_u*A333*2*Pi</f>
        <v>16493.4634514293</v>
      </c>
      <c r="AN333" s="0" t="n">
        <f aca="false">AJ333*AL333/(AL333^2+AM333^2)+AK333*AM333/(AL333^2+AM333^2)</f>
        <v>53.4568092712835</v>
      </c>
      <c r="AO333" s="0" t="n">
        <f aca="false">AK333*AL333/(AL333^2+AM333^2)-AJ333*AM333/(AL333^2+AM333^2)</f>
        <v>-1.20936049905275</v>
      </c>
      <c r="AQ333" s="0" t="n">
        <f aca="false">Eadcg/(1+(Eadcg*A333/GBP)^2)</f>
        <v>0.0321589815643525</v>
      </c>
      <c r="AR333" s="0" t="n">
        <f aca="false">-(A333*Eadcg*Eadcg/GBP)/(1+(Eadcg*A333/GBP)^2)</f>
        <v>-10.0839310542262</v>
      </c>
      <c r="AT333" s="0" t="n">
        <f aca="false">-AR333*AH333+AG333*AQ333</f>
        <v>-13529.5419469556</v>
      </c>
      <c r="AU333" s="0" t="n">
        <f aca="false">AQ333*AH333+AG333*AR333</f>
        <v>-7197.47792876084</v>
      </c>
      <c r="AV333" s="0" t="n">
        <f aca="false">ATAN2(AT333,AU333)</f>
        <v>-2.65268769734895</v>
      </c>
      <c r="AW333" s="0" t="n">
        <f aca="false">AG333-AH333*AO333/_Rfb2+AG333*AN333/_Rfb2+AN333-AO333*AR333+AQ333*AN333</f>
        <v>768.78725044409</v>
      </c>
      <c r="AX333" s="0" t="n">
        <f aca="false">AH333+AH333*AN333/_Rfb2+AG333*AO333/_Rfb2+AO333+AO333*AQ333+AN333*AR333</f>
        <v>-1916.97456829359</v>
      </c>
      <c r="AY333" s="0" t="n">
        <f aca="false">ATAN2(AW333,AX333)</f>
        <v>-1.18939202563383</v>
      </c>
      <c r="BA333" s="0" t="n">
        <f aca="false">SQRT(AT333^2+AU333^2)/SQRT(AW333^2+AX333^2)</f>
        <v>7.41986111557015</v>
      </c>
      <c r="BB333" s="0" t="n">
        <f aca="false">20*LOG(BA333)</f>
        <v>17.4079155252409</v>
      </c>
      <c r="BC333" s="0" t="n">
        <f aca="false">AV333-AY333</f>
        <v>-1.46329567171512</v>
      </c>
      <c r="BD333" s="0" t="n">
        <f aca="false">BC333*180/Pi-180</f>
        <v>-263.840666264839</v>
      </c>
      <c r="BF333" s="0" t="n">
        <f aca="false">20*LOG(BA333*J333*F333*C333)</f>
        <v>-9.05019053021228</v>
      </c>
      <c r="BG333" s="0" t="n">
        <f aca="false">(180/Pi)*(D333+H333+BC333)</f>
        <v>-261.007201527611</v>
      </c>
      <c r="BH333" s="0" t="n">
        <f aca="false">IF(BG333&gt;180,BG333-180,BG333+180)</f>
        <v>-81.0072015276109</v>
      </c>
      <c r="BI333" s="0" t="n">
        <f aca="false">IF(BH333&gt;180,BH333-360,BH333)</f>
        <v>-81.0072015276109</v>
      </c>
      <c r="BJ333" s="0" t="n">
        <f aca="false">SUM((BF334&lt;0)*(BF333&gt;0))*A333</f>
        <v>0</v>
      </c>
      <c r="BK333" s="0" t="n">
        <f aca="false">IF(BJ333&gt;0,BI333,0)</f>
        <v>0</v>
      </c>
      <c r="BM333" s="0" t="n">
        <f aca="false">20*LOG(J333*F333*C333)</f>
        <v>-26.4581060554532</v>
      </c>
      <c r="BN333" s="0" t="n">
        <f aca="false">(H333+D333)*180/Pi</f>
        <v>-177.166535262772</v>
      </c>
      <c r="BQ333" s="347" t="n">
        <f aca="false">20*LOG(BA333*7)</f>
        <v>34.309876325526</v>
      </c>
      <c r="BR333" s="353"/>
      <c r="BS333" s="353"/>
      <c r="BT333" s="353" t="n">
        <v>169824.365</v>
      </c>
      <c r="BU333" s="353" t="n">
        <v>11.2343</v>
      </c>
      <c r="BV333" s="353" t="n">
        <v>-140.114</v>
      </c>
      <c r="BY333" s="353"/>
      <c r="BZ333" s="353"/>
      <c r="CA333" s="353"/>
      <c r="CC333" s="353"/>
    </row>
    <row r="334" customFormat="false" ht="12.75" hidden="false" customHeight="false" outlineLevel="0" collapsed="false">
      <c r="A334" s="0" t="n">
        <f aca="false">A333+5000</f>
        <v>600000</v>
      </c>
      <c r="B334" s="0" t="n">
        <f aca="false">A334/1000</f>
        <v>600</v>
      </c>
      <c r="C334" s="0" t="n">
        <f aca="false">SQRT((A334/Fesr)^2+1)</f>
        <v>1.0000071060899</v>
      </c>
      <c r="D334" s="0" t="n">
        <f aca="false">ATAN(A334/Fesr)</f>
        <v>0.00376989332053699</v>
      </c>
      <c r="F334" s="0" t="n">
        <f aca="false">(Ro/(Ro+Rdcr))/SQRT((A334/(Q*Fo))^2+(1-(A334^2/Fo^2))^2)</f>
        <v>0.00519457213208296</v>
      </c>
      <c r="G334" s="0" t="n">
        <f aca="false">-ATAN(A334*Fo/(Q*(Fo^2-A334^2)))</f>
        <v>0.0453303745943264</v>
      </c>
      <c r="H334" s="0" t="n">
        <f aca="false">IF(G334&gt;0,G334-Pi,G334)</f>
        <v>-3.09626227540567</v>
      </c>
      <c r="J334" s="0" t="n">
        <f aca="false">Vin/Vramp</f>
        <v>9</v>
      </c>
      <c r="M334" s="0" t="n">
        <f aca="false">1/(2*Pi*_Rfb1*(Cc1ea_u+Cc2ea_u)*A334)</f>
        <v>0.00982437921442941</v>
      </c>
      <c r="N334" s="0" t="n">
        <f aca="false">-Pi/2</f>
        <v>-1.570796325</v>
      </c>
      <c r="O334" s="0" t="n">
        <f aca="false">SQRT(1+(A334/Fz1_u)^2)</f>
        <v>14.6914874925928</v>
      </c>
      <c r="P334" s="0" t="n">
        <f aca="false">ATAN2(Fz1_u,A334)</f>
        <v>1.50267703033323</v>
      </c>
      <c r="Q334" s="0" t="n">
        <f aca="false">SQRT(1+(A334/Fz2_u)^2)</f>
        <v>16632.064014697</v>
      </c>
      <c r="R334" s="0" t="n">
        <f aca="false">ATAN2(Fz2_u,A334)</f>
        <v>1.57073620196615</v>
      </c>
      <c r="S334" s="0" t="n">
        <f aca="false">1/SQRT(1+(A334/Fp1_u)^2)</f>
        <v>0.0224890732710886</v>
      </c>
      <c r="T334" s="0" t="n">
        <f aca="false">-ATAN2(Fp1_u,A334)</f>
        <v>-1.54830535741922</v>
      </c>
      <c r="U334" s="0" t="n">
        <f aca="false">1/SQRT(1+(A334/Fp2_u)^2)</f>
        <v>0.523255986628513</v>
      </c>
      <c r="V334" s="0" t="n">
        <f aca="false">-ATAN2(Fp2_u,A334)</f>
        <v>-1.02012904498362</v>
      </c>
      <c r="X334" s="0" t="n">
        <f aca="false">20*LOG(C334*J334*O334*Q334*F334*M334*S334*U334)</f>
        <v>2.41596354601281</v>
      </c>
      <c r="Y334" s="0" t="n">
        <f aca="false">(180/Pi)*(D334+H334+N334+P334+R334+T334+V334)</f>
        <v>-238.253606142715</v>
      </c>
      <c r="Z334" s="0" t="n">
        <f aca="false">Y334+180</f>
        <v>-58.2536061427154</v>
      </c>
      <c r="AC334" s="0" t="n">
        <v>1</v>
      </c>
      <c r="AD334" s="0" t="n">
        <f aca="false">Rcea1_u*Cc1ea_u*A334*2*Pi</f>
        <v>14.65741466784</v>
      </c>
      <c r="AE334" s="0" t="n">
        <f aca="false">-Rcea1_u*Cc1ea_u*Cc2ea_u*(A334*2*Pi)^2</f>
        <v>-0.0082885727139279</v>
      </c>
      <c r="AF334" s="0" t="n">
        <f aca="false">(Cc2ea_u+Cc1ea_u)*A334*2*Pi</f>
        <v>0.005089380093</v>
      </c>
      <c r="AG334" s="0" t="n">
        <f aca="false">AC334*AE334/(AE334^2+AF334^2)+AD334*AF334/(AE334^2+AF334^2)</f>
        <v>700.919878509002</v>
      </c>
      <c r="AH334" s="0" t="n">
        <f aca="false">AD334*AE334/(AE334^2+AF334^2)-AC334*AF334/(AE334^2+AF334^2)</f>
        <v>-1338.00684075953</v>
      </c>
      <c r="AJ334" s="0" t="n">
        <f aca="false">_Rfb1</f>
        <v>20000</v>
      </c>
      <c r="AK334" s="0" t="n">
        <f aca="false">_Rfb1*Rcea2_u*Cc3ea_u*A334*2*Pi</f>
        <v>889095.8526912</v>
      </c>
      <c r="AL334" s="0" t="n">
        <v>1</v>
      </c>
      <c r="AM334" s="0" t="n">
        <f aca="false">(_Rfb1+Rcea2_u)*Cc3ea_u*A334*2*Pi</f>
        <v>16632.0639846346</v>
      </c>
      <c r="AN334" s="0" t="n">
        <f aca="false">AJ334*AL334/(AL334^2+AM334^2)+AK334*AM334/(AL334^2+AM334^2)</f>
        <v>53.456808054315</v>
      </c>
      <c r="AO334" s="0" t="n">
        <f aca="false">AK334*AL334/(AL334^2+AM334^2)-AJ334*AM334/(AL334^2+AM334^2)</f>
        <v>-1.19928249496714</v>
      </c>
      <c r="AQ334" s="0" t="n">
        <f aca="false">Eadcg/(1+(Eadcg*A334/GBP)^2)</f>
        <v>0.0316252371392703</v>
      </c>
      <c r="AR334" s="0" t="n">
        <f aca="false">-(A334*Eadcg*Eadcg/GBP)/(1+(Eadcg*A334/GBP)^2)</f>
        <v>-9.99989998343726</v>
      </c>
      <c r="AT334" s="0" t="n">
        <f aca="false">-AR334*AH334+AG334*AQ334</f>
        <v>-13357.7678273767</v>
      </c>
      <c r="AU334" s="0" t="n">
        <f aca="false">AQ334*AH334+AG334*AR334</f>
        <v>-7051.443465126</v>
      </c>
      <c r="AV334" s="0" t="n">
        <f aca="false">ATAN2(AT334,AU334)</f>
        <v>-2.65588212343911</v>
      </c>
      <c r="AW334" s="0" t="n">
        <f aca="false">AG334-AH334*AO334/_Rfb2+AG334*AN334/_Rfb2+AN334-AO334*AR334+AQ334*AN334</f>
        <v>760.213496844273</v>
      </c>
      <c r="AX334" s="0" t="n">
        <f aca="false">AH334+AH334*AN334/_Rfb2+AG334*AO334/_Rfb2+AO334+AO334*AQ334+AN334*AR334</f>
        <v>-1906.37156393588</v>
      </c>
      <c r="AY334" s="0" t="n">
        <f aca="false">ATAN2(AW334,AX334)</f>
        <v>-1.19134635019195</v>
      </c>
      <c r="BA334" s="0" t="n">
        <f aca="false">SQRT(AT334^2+AU334^2)/SQRT(AW334^2+AX334^2)</f>
        <v>7.35969142267592</v>
      </c>
      <c r="BB334" s="0" t="n">
        <f aca="false">20*LOG(BA334)</f>
        <v>17.3371921121888</v>
      </c>
      <c r="BC334" s="0" t="n">
        <f aca="false">AV334-AY334</f>
        <v>-1.46453577324716</v>
      </c>
      <c r="BD334" s="0" t="n">
        <f aca="false">BC334*180/Pi-180</f>
        <v>-263.911718848874</v>
      </c>
      <c r="BF334" s="0" t="n">
        <f aca="false">20*LOG(BA334*J334*F334*C334)</f>
        <v>-9.26690035090227</v>
      </c>
      <c r="BG334" s="0" t="n">
        <f aca="false">(180/Pi)*(D334+H334+BC334)</f>
        <v>-261.098480721176</v>
      </c>
      <c r="BH334" s="0" t="n">
        <f aca="false">IF(BG334&gt;180,BG334-180,BG334+180)</f>
        <v>-81.0984807211758</v>
      </c>
      <c r="BI334" s="0" t="n">
        <f aca="false">IF(BH334&gt;180,BH334-360,BH334)</f>
        <v>-81.0984807211758</v>
      </c>
      <c r="BJ334" s="0" t="n">
        <f aca="false">SUM((BF335&lt;0)*(BF334&gt;0))*A334</f>
        <v>0</v>
      </c>
      <c r="BK334" s="0" t="n">
        <f aca="false">IF(BJ334&gt;0,BI334,0)</f>
        <v>0</v>
      </c>
      <c r="BM334" s="0" t="n">
        <f aca="false">20*LOG(J334*F334*C334)</f>
        <v>-26.6040924630911</v>
      </c>
      <c r="BN334" s="0" t="n">
        <f aca="false">(H334+D334)*180/Pi</f>
        <v>-177.186761872302</v>
      </c>
      <c r="BQ334" s="347" t="n">
        <f aca="false">20*LOG(BA334*7)</f>
        <v>34.239152912474</v>
      </c>
      <c r="BR334" s="353"/>
      <c r="BS334" s="353"/>
      <c r="BT334" s="353" t="n">
        <v>173780.083</v>
      </c>
      <c r="BU334" s="353" t="n">
        <v>11.3918</v>
      </c>
      <c r="BV334" s="353" t="n">
        <v>-141.173</v>
      </c>
      <c r="BY334" s="353"/>
      <c r="BZ334" s="353"/>
      <c r="CA334" s="353"/>
      <c r="CC334" s="353"/>
    </row>
    <row r="335" customFormat="false" ht="12.75" hidden="false" customHeight="false" outlineLevel="0" collapsed="false">
      <c r="A335" s="0" t="n">
        <f aca="false">A334+5000</f>
        <v>605000</v>
      </c>
      <c r="B335" s="0" t="n">
        <f aca="false">A335/1000</f>
        <v>605</v>
      </c>
      <c r="C335" s="0" t="n">
        <f aca="false">SQRT((A335/Fesr)^2+1)</f>
        <v>1.00000722501779</v>
      </c>
      <c r="D335" s="0" t="n">
        <f aca="false">ATAN(A335/Fesr)</f>
        <v>0.00380130879682197</v>
      </c>
      <c r="F335" s="0" t="n">
        <f aca="false">(Ro/(Ro+Rdcr))/SQRT((A335/(Q*Fo))^2+(1-(A335^2/Fo^2))^2)</f>
        <v>0.00510871284222318</v>
      </c>
      <c r="G335" s="0" t="n">
        <f aca="false">-ATAN(A335*Fo/(Q*(Fo^2-A335^2)))</f>
        <v>0.0449523781353189</v>
      </c>
      <c r="H335" s="0" t="n">
        <f aca="false">IF(G335&gt;0,G335-Pi,G335)</f>
        <v>-3.09664027186468</v>
      </c>
      <c r="J335" s="0" t="n">
        <f aca="false">Vin/Vramp</f>
        <v>9</v>
      </c>
      <c r="M335" s="0" t="n">
        <f aca="false">1/(2*Pi*_Rfb1*(Cc1ea_u+Cc2ea_u)*A335)</f>
        <v>0.00974318599778123</v>
      </c>
      <c r="N335" s="0" t="n">
        <f aca="false">-Pi/2</f>
        <v>-1.570796325</v>
      </c>
      <c r="O335" s="0" t="n">
        <f aca="false">SQRT(1+(A335/Fz1_u)^2)</f>
        <v>14.8133516662609</v>
      </c>
      <c r="P335" s="0" t="n">
        <f aca="false">ATAN2(Fz1_u,A335)</f>
        <v>1.50323828123073</v>
      </c>
      <c r="Q335" s="0" t="n">
        <f aca="false">SQRT(1+(A335/Fz2_u)^2)</f>
        <v>16770.6645476538</v>
      </c>
      <c r="R335" s="0" t="n">
        <f aca="false">ATAN2(Fz2_u,A335)</f>
        <v>1.57073669886556</v>
      </c>
      <c r="S335" s="0" t="n">
        <f aca="false">1/SQRT(1+(A335/Fp1_u)^2)</f>
        <v>0.0223033060002216</v>
      </c>
      <c r="T335" s="0" t="n">
        <f aca="false">-ATAN2(Fp1_u,A335)</f>
        <v>-1.54849117129733</v>
      </c>
      <c r="U335" s="0" t="n">
        <f aca="false">1/SQRT(1+(A335/Fp2_u)^2)</f>
        <v>0.520104902241221</v>
      </c>
      <c r="V335" s="0" t="n">
        <f aca="false">-ATAN2(Fp2_u,A335)</f>
        <v>-1.0238225590688</v>
      </c>
      <c r="X335" s="0" t="n">
        <f aca="false">20*LOG(C335*J335*O335*Q335*F335*M335*S335*U335)</f>
        <v>2.21843855559345</v>
      </c>
      <c r="Y335" s="0" t="n">
        <f aca="false">(180/Pi)*(D335+H335+N335+P335+R335+T335+V335)</f>
        <v>-238.463547112254</v>
      </c>
      <c r="Z335" s="0" t="n">
        <f aca="false">Y335+180</f>
        <v>-58.4635471122541</v>
      </c>
      <c r="AC335" s="0" t="n">
        <v>1</v>
      </c>
      <c r="AD335" s="0" t="n">
        <f aca="false">Rcea1_u*Cc1ea_u*A335*2*Pi</f>
        <v>14.779559790072</v>
      </c>
      <c r="AE335" s="0" t="n">
        <f aca="false">-Rcea1_u*Cc1ea_u*Cc2ea_u*(A335*2*Pi)^2</f>
        <v>-0.00842729118782072</v>
      </c>
      <c r="AF335" s="0" t="n">
        <f aca="false">(Cc2ea_u+Cc1ea_u)*A335*2*Pi</f>
        <v>0.005131791593775</v>
      </c>
      <c r="AG335" s="0" t="n">
        <f aca="false">AC335*AE335/(AE335^2+AF335^2)+AD335*AF335/(AE335^2+AF335^2)</f>
        <v>692.503319898497</v>
      </c>
      <c r="AH335" s="0" t="n">
        <f aca="false">AD335*AE335/(AE335^2+AF335^2)-AC335*AF335/(AE335^2+AF335^2)</f>
        <v>-1332.07418898487</v>
      </c>
      <c r="AJ335" s="0" t="n">
        <f aca="false">_Rfb1</f>
        <v>20000</v>
      </c>
      <c r="AK335" s="0" t="n">
        <f aca="false">_Rfb1*Rcea2_u*Cc3ea_u*A335*2*Pi</f>
        <v>896504.98479696</v>
      </c>
      <c r="AL335" s="0" t="n">
        <v>1</v>
      </c>
      <c r="AM335" s="0" t="n">
        <f aca="false">(_Rfb1+Rcea2_u)*Cc3ea_u*A335*2*Pi</f>
        <v>16770.6645178398</v>
      </c>
      <c r="AN335" s="0" t="n">
        <f aca="false">AJ335*AL335/(AL335^2+AM335^2)+AK335*AM335/(AL335^2+AM335^2)</f>
        <v>53.4568068673944</v>
      </c>
      <c r="AO335" s="0" t="n">
        <f aca="false">AK335*AL335/(AL335^2+AM335^2)-AJ335*AM335/(AL335^2+AM335^2)</f>
        <v>-1.18937106945968</v>
      </c>
      <c r="AQ335" s="0" t="n">
        <f aca="false">Eadcg/(1+(Eadcg*A335/GBP)^2)</f>
        <v>0.0311046711140062</v>
      </c>
      <c r="AR335" s="0" t="n">
        <f aca="false">-(A335*Eadcg*Eadcg/GBP)/(1+(Eadcg*A335/GBP)^2)</f>
        <v>-9.91725781463417</v>
      </c>
      <c r="AT335" s="0" t="n">
        <f aca="false">-AR335*AH335+AG335*AQ335</f>
        <v>-13188.9830723719</v>
      </c>
      <c r="AU335" s="0" t="n">
        <f aca="false">AQ335*AH335+AG335*AR335</f>
        <v>-6909.16769047131</v>
      </c>
      <c r="AV335" s="0" t="n">
        <f aca="false">ATAN2(AT335,AU335)</f>
        <v>-2.65904052318856</v>
      </c>
      <c r="AW335" s="0" t="n">
        <f aca="false">AG335-AH335*AO335/_Rfb2+AG335*AN335/_Rfb2+AN335-AO335*AR335+AQ335*AN335</f>
        <v>751.773192205049</v>
      </c>
      <c r="AX335" s="0" t="n">
        <f aca="false">AH335+AH335*AN335/_Rfb2+AG335*AO335/_Rfb2+AO335+AO335*AQ335+AN335*AR335</f>
        <v>-1895.85992493184</v>
      </c>
      <c r="AY335" s="0" t="n">
        <f aca="false">ATAN2(AW335,AX335)</f>
        <v>-1.19328132284898</v>
      </c>
      <c r="BA335" s="0" t="n">
        <f aca="false">SQRT(AT335^2+AU335^2)/SQRT(AW335^2+AX335^2)</f>
        <v>7.30047587852743</v>
      </c>
      <c r="BB335" s="0" t="n">
        <f aca="false">20*LOG(BA335)</f>
        <v>17.2670234070186</v>
      </c>
      <c r="BC335" s="0" t="n">
        <f aca="false">AV335-AY335</f>
        <v>-1.46575920033958</v>
      </c>
      <c r="BD335" s="0" t="n">
        <f aca="false">BC335*180/Pi-180</f>
        <v>-263.981816057892</v>
      </c>
      <c r="BF335" s="0" t="n">
        <f aca="false">20*LOG(BA335*J335*F335*C335)</f>
        <v>-9.48183381015162</v>
      </c>
      <c r="BG335" s="0" t="n">
        <f aca="false">(180/Pi)*(D335+H335+BC335)</f>
        <v>-261.188435557786</v>
      </c>
      <c r="BH335" s="0" t="n">
        <f aca="false">IF(BG335&gt;180,BG335-180,BG335+180)</f>
        <v>-81.1884355577859</v>
      </c>
      <c r="BI335" s="0" t="n">
        <f aca="false">IF(BH335&gt;180,BH335-360,BH335)</f>
        <v>-81.1884355577859</v>
      </c>
      <c r="BJ335" s="0" t="n">
        <f aca="false">SUM((BF336&lt;0)*(BF335&gt;0))*A335</f>
        <v>0</v>
      </c>
      <c r="BK335" s="0" t="n">
        <f aca="false">IF(BJ335&gt;0,BI335,0)</f>
        <v>0</v>
      </c>
      <c r="BM335" s="0" t="n">
        <f aca="false">20*LOG(J335*F335*C335)</f>
        <v>-26.7488572171703</v>
      </c>
      <c r="BN335" s="0" t="n">
        <f aca="false">(H335+D335)*180/Pi</f>
        <v>-177.206619499894</v>
      </c>
      <c r="BQ335" s="347" t="n">
        <f aca="false">20*LOG(BA335*7)</f>
        <v>34.1689842073038</v>
      </c>
      <c r="BR335" s="353"/>
      <c r="BS335" s="353"/>
      <c r="BT335" s="353" t="n">
        <v>177827.941</v>
      </c>
      <c r="BU335" s="353" t="n">
        <v>11.6125</v>
      </c>
      <c r="BV335" s="353" t="n">
        <v>-141.862</v>
      </c>
      <c r="BY335" s="353"/>
      <c r="BZ335" s="353"/>
      <c r="CA335" s="353"/>
      <c r="CC335" s="353"/>
    </row>
    <row r="336" customFormat="false" ht="12.75" hidden="false" customHeight="false" outlineLevel="0" collapsed="false">
      <c r="A336" s="0" t="n">
        <f aca="false">A335+5000</f>
        <v>610000</v>
      </c>
      <c r="B336" s="0" t="n">
        <f aca="false">A336/1000</f>
        <v>610</v>
      </c>
      <c r="C336" s="0" t="n">
        <f aca="false">SQRT((A336/Fesr)^2+1)</f>
        <v>1.0000073449326</v>
      </c>
      <c r="D336" s="0" t="n">
        <f aca="false">ATAN(A336/Fesr)</f>
        <v>0.00383272426560365</v>
      </c>
      <c r="F336" s="0" t="n">
        <f aca="false">(Ro/(Ro+Rdcr))/SQRT((A336/(Q*Fo))^2+(1-(A336^2/Fo^2))^2)</f>
        <v>0.005024967612896</v>
      </c>
      <c r="G336" s="0" t="n">
        <f aca="false">-ATAN(A336*Fo/(Q*(Fo^2-A336^2)))</f>
        <v>0.044580660483281</v>
      </c>
      <c r="H336" s="0" t="n">
        <f aca="false">IF(G336&gt;0,G336-Pi,G336)</f>
        <v>-3.09701198951672</v>
      </c>
      <c r="J336" s="0" t="n">
        <f aca="false">Vin/Vramp</f>
        <v>9</v>
      </c>
      <c r="M336" s="0" t="n">
        <f aca="false">1/(2*Pi*_Rfb1*(Cc1ea_u+Cc2ea_u)*A336)</f>
        <v>0.00966332381747155</v>
      </c>
      <c r="N336" s="0" t="n">
        <f aca="false">-Pi/2</f>
        <v>-1.570796325</v>
      </c>
      <c r="O336" s="0" t="n">
        <f aca="false">SQRT(1+(A336/Fz1_u)^2)</f>
        <v>14.9352204300233</v>
      </c>
      <c r="P336" s="0" t="n">
        <f aca="false">ATAN2(Fz1_u,A336)</f>
        <v>1.50379037288317</v>
      </c>
      <c r="Q336" s="0" t="n">
        <f aca="false">SQRT(1+(A336/Fz2_u)^2)</f>
        <v>16909.2650806147</v>
      </c>
      <c r="R336" s="0" t="n">
        <f aca="false">ATAN2(Fz2_u,A336)</f>
        <v>1.57073718761908</v>
      </c>
      <c r="S336" s="0" t="n">
        <f aca="false">1/SQRT(1+(A336/Fp1_u)^2)</f>
        <v>0.0221205818406421</v>
      </c>
      <c r="T336" s="0" t="n">
        <f aca="false">-ATAN2(Fp1_u,A336)</f>
        <v>-1.5486739405492</v>
      </c>
      <c r="U336" s="0" t="n">
        <f aca="false">1/SQRT(1+(A336/Fp2_u)^2)</f>
        <v>0.516984616249941</v>
      </c>
      <c r="V336" s="0" t="n">
        <f aca="false">-ATAN2(Fp2_u,A336)</f>
        <v>-1.02747180514966</v>
      </c>
      <c r="X336" s="0" t="n">
        <f aca="false">20*LOG(C336*J336*O336*Q336*F336*M336*S336*U336)</f>
        <v>2.02232069369429</v>
      </c>
      <c r="Y336" s="0" t="n">
        <f aca="false">(180/Pi)*(D336+H336+N336+P336+R336+T336+V336)</f>
        <v>-238.670942771842</v>
      </c>
      <c r="Z336" s="0" t="n">
        <f aca="false">Y336+180</f>
        <v>-58.6709427718425</v>
      </c>
      <c r="AC336" s="0" t="n">
        <v>1</v>
      </c>
      <c r="AD336" s="0" t="n">
        <f aca="false">Rcea1_u*Cc1ea_u*A336*2*Pi</f>
        <v>14.901704912304</v>
      </c>
      <c r="AE336" s="0" t="n">
        <f aca="false">-Rcea1_u*Cc1ea_u*Cc2ea_u*(A336*2*Pi)^2</f>
        <v>-0.00856716085236826</v>
      </c>
      <c r="AF336" s="0" t="n">
        <f aca="false">(Cc2ea_u+Cc1ea_u)*A336*2*Pi</f>
        <v>0.00517420309455</v>
      </c>
      <c r="AG336" s="0" t="n">
        <f aca="false">AC336*AE336/(AE336^2+AF336^2)+AD336*AF336/(AE336^2+AF336^2)</f>
        <v>684.219119204094</v>
      </c>
      <c r="AH336" s="0" t="n">
        <f aca="false">AD336*AE336/(AE336^2+AF336^2)-AC336*AF336/(AE336^2+AF336^2)</f>
        <v>-1326.15885520898</v>
      </c>
      <c r="AJ336" s="0" t="n">
        <f aca="false">_Rfb1</f>
        <v>20000</v>
      </c>
      <c r="AK336" s="0" t="n">
        <f aca="false">_Rfb1*Rcea2_u*Cc3ea_u*A336*2*Pi</f>
        <v>903914.11690272</v>
      </c>
      <c r="AL336" s="0" t="n">
        <v>1</v>
      </c>
      <c r="AM336" s="0" t="n">
        <f aca="false">(_Rfb1+Rcea2_u)*Cc3ea_u*A336*2*Pi</f>
        <v>16909.2650510451</v>
      </c>
      <c r="AN336" s="0" t="n">
        <f aca="false">AJ336*AL336/(AL336^2+AM336^2)+AK336*AM336/(AL336^2+AM336^2)</f>
        <v>53.4568057095407</v>
      </c>
      <c r="AO336" s="0" t="n">
        <f aca="false">AK336*AL336/(AL336^2+AM336^2)-AJ336*AM336/(AL336^2+AM336^2)</f>
        <v>-1.17962212633586</v>
      </c>
      <c r="AQ336" s="0" t="n">
        <f aca="false">Eadcg/(1+(Eadcg*A336/GBP)^2)</f>
        <v>0.0305968531926088</v>
      </c>
      <c r="AR336" s="0" t="n">
        <f aca="false">-(A336*Eadcg*Eadcg/GBP)/(1+(Eadcg*A336/GBP)^2)</f>
        <v>-9.83597039582794</v>
      </c>
      <c r="AT336" s="0" t="n">
        <f aca="false">-AR336*AH336+AG336*AQ336</f>
        <v>-13023.1242880588</v>
      </c>
      <c r="AU336" s="0" t="n">
        <f aca="false">AQ336*AH336+AG336*AR336</f>
        <v>-6770.53528855384</v>
      </c>
      <c r="AV336" s="0" t="n">
        <f aca="false">ATAN2(AT336,AU336)</f>
        <v>-2.6621633857147</v>
      </c>
      <c r="AW336" s="0" t="n">
        <f aca="false">AG336-AH336*AO336/_Rfb2+AG336*AN336/_Rfb2+AN336-AO336*AR336+AQ336*AN336</f>
        <v>743.464117622405</v>
      </c>
      <c r="AX336" s="0" t="n">
        <f aca="false">AH336+AH336*AN336/_Rfb2+AG336*AO336/_Rfb2+AO336+AO336*AQ336+AN336*AR336</f>
        <v>-1885.43882979873</v>
      </c>
      <c r="AY336" s="0" t="n">
        <f aca="false">ATAN2(AW336,AX336)</f>
        <v>-1.19519704525301</v>
      </c>
      <c r="BA336" s="0" t="n">
        <f aca="false">SQRT(AT336^2+AU336^2)/SQRT(AW336^2+AX336^2)</f>
        <v>7.24219226776367</v>
      </c>
      <c r="BB336" s="0" t="n">
        <f aca="false">20*LOG(BA336)</f>
        <v>17.1974010081297</v>
      </c>
      <c r="BC336" s="0" t="n">
        <f aca="false">AV336-AY336</f>
        <v>-1.46696634046169</v>
      </c>
      <c r="BD336" s="0" t="n">
        <f aca="false">BC336*180/Pi-180</f>
        <v>-264.050980092249</v>
      </c>
      <c r="BF336" s="0" t="n">
        <f aca="false">20*LOG(BA336*J336*F336*C336)</f>
        <v>-9.69501966662497</v>
      </c>
      <c r="BG336" s="0" t="n">
        <f aca="false">(180/Pi)*(D336+H336+BC336)</f>
        <v>-261.277097471025</v>
      </c>
      <c r="BH336" s="0" t="n">
        <f aca="false">IF(BG336&gt;180,BG336-180,BG336+180)</f>
        <v>-81.2770974710248</v>
      </c>
      <c r="BI336" s="0" t="n">
        <f aca="false">IF(BH336&gt;180,BH336-360,BH336)</f>
        <v>-81.2770974710248</v>
      </c>
      <c r="BJ336" s="0" t="n">
        <f aca="false">SUM((BF337&lt;0)*(BF336&gt;0))*A336</f>
        <v>0</v>
      </c>
      <c r="BK336" s="0" t="n">
        <f aca="false">IF(BJ336&gt;0,BI336,0)</f>
        <v>0</v>
      </c>
      <c r="BM336" s="0" t="n">
        <f aca="false">20*LOG(J336*F336*C336)</f>
        <v>-26.8924206747546</v>
      </c>
      <c r="BN336" s="0" t="n">
        <f aca="false">(H336+D336)*180/Pi</f>
        <v>-177.226117378776</v>
      </c>
      <c r="BQ336" s="347" t="n">
        <f aca="false">20*LOG(BA336*7)</f>
        <v>34.0993618084148</v>
      </c>
      <c r="BR336" s="353"/>
      <c r="BS336" s="353"/>
      <c r="BT336" s="353" t="n">
        <v>181970.086</v>
      </c>
      <c r="BU336" s="353" t="n">
        <v>11.8933</v>
      </c>
      <c r="BV336" s="353" t="n">
        <v>-143.414</v>
      </c>
      <c r="BY336" s="353"/>
      <c r="BZ336" s="353"/>
      <c r="CA336" s="353"/>
      <c r="CC336" s="353"/>
    </row>
    <row r="337" customFormat="false" ht="12.75" hidden="false" customHeight="false" outlineLevel="0" collapsed="false">
      <c r="A337" s="0" t="n">
        <f aca="false">A336+5000</f>
        <v>615000</v>
      </c>
      <c r="B337" s="0" t="n">
        <f aca="false">A337/1000</f>
        <v>615</v>
      </c>
      <c r="C337" s="0" t="n">
        <f aca="false">SQRT((A337/Fesr)^2+1)</f>
        <v>1.00000746583436</v>
      </c>
      <c r="D337" s="0" t="n">
        <f aca="false">ATAN(A337/Fesr)</f>
        <v>0.00386413972682002</v>
      </c>
      <c r="F337" s="0" t="n">
        <f aca="false">(Ro/(Ro+Rdcr))/SQRT((A337/(Q*Fo))^2+(1-(A337^2/Fo^2))^2)</f>
        <v>0.00494326751564068</v>
      </c>
      <c r="G337" s="0" t="n">
        <f aca="false">-ATAN(A337*Fo/(Q*(Fo^2-A337^2)))</f>
        <v>0.0442150658415808</v>
      </c>
      <c r="H337" s="0" t="n">
        <f aca="false">IF(G337&gt;0,G337-Pi,G337)</f>
        <v>-3.09737758415842</v>
      </c>
      <c r="J337" s="0" t="n">
        <f aca="false">Vin/Vramp</f>
        <v>9</v>
      </c>
      <c r="M337" s="0" t="n">
        <f aca="false">1/(2*Pi*_Rfb1*(Cc1ea_u+Cc2ea_u)*A337)</f>
        <v>0.00958476020919942</v>
      </c>
      <c r="N337" s="0" t="n">
        <f aca="false">-Pi/2</f>
        <v>-1.570796325</v>
      </c>
      <c r="O337" s="0" t="n">
        <f aca="false">SQRT(1+(A337/Fz1_u)^2)</f>
        <v>15.0570936724265</v>
      </c>
      <c r="P337" s="0" t="n">
        <f aca="false">ATAN2(Fz1_u,A337)</f>
        <v>1.50433352735669</v>
      </c>
      <c r="Q337" s="0" t="n">
        <f aca="false">SQRT(1+(A337/Fz2_u)^2)</f>
        <v>17047.8656135796</v>
      </c>
      <c r="R337" s="0" t="n">
        <f aca="false">ATAN2(Fz2_u,A337)</f>
        <v>1.57073766842538</v>
      </c>
      <c r="S337" s="0" t="n">
        <f aca="false">1/SQRT(1+(A337/Fp1_u)^2)</f>
        <v>0.0219408266424818</v>
      </c>
      <c r="T337" s="0" t="n">
        <f aca="false">-ATAN2(Fp1_u,A337)</f>
        <v>-1.54885373938576</v>
      </c>
      <c r="U337" s="0" t="n">
        <f aca="false">1/SQRT(1+(A337/Fp2_u)^2)</f>
        <v>0.513894824762667</v>
      </c>
      <c r="V337" s="0" t="n">
        <f aca="false">-ATAN2(Fp2_u,A337)</f>
        <v>-1.03107747886732</v>
      </c>
      <c r="X337" s="0" t="n">
        <f aca="false">20*LOG(C337*J337*O337*Q337*F337*M337*S337*U337)</f>
        <v>1.82759026899556</v>
      </c>
      <c r="Y337" s="0" t="n">
        <f aca="false">(180/Pi)*(D337+H337+N337+P337+R337+T337+V337)</f>
        <v>-238.87583342241</v>
      </c>
      <c r="Z337" s="0" t="n">
        <f aca="false">Y337+180</f>
        <v>-58.8758334224103</v>
      </c>
      <c r="AC337" s="0" t="n">
        <v>1</v>
      </c>
      <c r="AD337" s="0" t="n">
        <f aca="false">Rcea1_u*Cc1ea_u*A337*2*Pi</f>
        <v>15.023850034536</v>
      </c>
      <c r="AE337" s="0" t="n">
        <f aca="false">-Rcea1_u*Cc1ea_u*Cc2ea_u*(A337*2*Pi)^2</f>
        <v>-0.0087081817075705</v>
      </c>
      <c r="AF337" s="0" t="n">
        <f aca="false">(Cc2ea_u+Cc1ea_u)*A337*2*Pi</f>
        <v>0.005216614595325</v>
      </c>
      <c r="AG337" s="0" t="n">
        <f aca="false">AC337*AE337/(AE337^2+AF337^2)+AD337*AF337/(AE337^2+AF337^2)</f>
        <v>676.065000749701</v>
      </c>
      <c r="AH337" s="0" t="n">
        <f aca="false">AD337*AE337/(AE337^2+AF337^2)-AC337*AF337/(AE337^2+AF337^2)</f>
        <v>-1320.26178027976</v>
      </c>
      <c r="AJ337" s="0" t="n">
        <f aca="false">_Rfb1</f>
        <v>20000</v>
      </c>
      <c r="AK337" s="0" t="n">
        <f aca="false">_Rfb1*Rcea2_u*Cc3ea_u*A337*2*Pi</f>
        <v>911323.24900848</v>
      </c>
      <c r="AL337" s="0" t="n">
        <v>1</v>
      </c>
      <c r="AM337" s="0" t="n">
        <f aca="false">(_Rfb1+Rcea2_u)*Cc3ea_u*A337*2*Pi</f>
        <v>17047.8655842504</v>
      </c>
      <c r="AN337" s="0" t="n">
        <f aca="false">AJ337*AL337/(AL337^2+AM337^2)+AK337*AM337/(AL337^2+AM337^2)</f>
        <v>53.4568045798123</v>
      </c>
      <c r="AO337" s="0" t="n">
        <f aca="false">AK337*AL337/(AL337^2+AM337^2)-AJ337*AM337/(AL337^2+AM337^2)</f>
        <v>-1.17003170261078</v>
      </c>
      <c r="AQ337" s="0" t="n">
        <f aca="false">Eadcg/(1+(Eadcg*A337/GBP)^2)</f>
        <v>0.0301013704990963</v>
      </c>
      <c r="AR337" s="0" t="n">
        <f aca="false">-(A337*Eadcg*Eadcg/GBP)/(1+(Eadcg*A337/GBP)^2)</f>
        <v>-9.7560046856096</v>
      </c>
      <c r="AT337" s="0" t="n">
        <f aca="false">-AR337*AH337+AG337*AQ337</f>
        <v>-12860.1296315716</v>
      </c>
      <c r="AU337" s="0" t="n">
        <f aca="false">AQ337*AH337+AG337*AR337</f>
        <v>-6635.43500409474</v>
      </c>
      <c r="AV337" s="0" t="n">
        <f aca="false">ATAN2(AT337,AU337)</f>
        <v>-2.66525119504274</v>
      </c>
      <c r="AW337" s="0" t="n">
        <f aca="false">AG337-AH337*AO337/_Rfb2+AG337*AN337/_Rfb2+AN337-AO337*AR337+AQ337*AN337</f>
        <v>735.28408055723</v>
      </c>
      <c r="AX337" s="0" t="n">
        <f aca="false">AH337+AH337*AN337/_Rfb2+AG337*AO337/_Rfb2+AO337+AO337*AQ337+AN337*AR337</f>
        <v>-1875.10746455845</v>
      </c>
      <c r="AY337" s="0" t="n">
        <f aca="false">ATAN2(AW337,AX337)</f>
        <v>-1.19709362569205</v>
      </c>
      <c r="BA337" s="0" t="n">
        <f aca="false">SQRT(AT337^2+AU337^2)/SQRT(AW337^2+AX337^2)</f>
        <v>7.18481904978893</v>
      </c>
      <c r="BB337" s="0" t="n">
        <f aca="false">20*LOG(BA337)</f>
        <v>17.1283166973722</v>
      </c>
      <c r="BC337" s="0" t="n">
        <f aca="false">AV337-AY337</f>
        <v>-1.46815756935069</v>
      </c>
      <c r="BD337" s="0" t="n">
        <f aca="false">BC337*180/Pi-180</f>
        <v>-264.1192324801</v>
      </c>
      <c r="BF337" s="0" t="n">
        <f aca="false">20*LOG(BA337*J337*F337*C337)</f>
        <v>-9.90648598898262</v>
      </c>
      <c r="BG337" s="0" t="n">
        <f aca="false">(180/Pi)*(D337+H337+BC337)</f>
        <v>-261.364496915541</v>
      </c>
      <c r="BH337" s="0" t="n">
        <f aca="false">IF(BG337&gt;180,BG337-180,BG337+180)</f>
        <v>-81.3644969155414</v>
      </c>
      <c r="BI337" s="0" t="n">
        <f aca="false">IF(BH337&gt;180,BH337-360,BH337)</f>
        <v>-81.3644969155414</v>
      </c>
      <c r="BJ337" s="0" t="n">
        <f aca="false">SUM((BF338&lt;0)*(BF337&gt;0))*A337</f>
        <v>0</v>
      </c>
      <c r="BK337" s="0" t="n">
        <f aca="false">IF(BJ337&gt;0,BI337,0)</f>
        <v>0</v>
      </c>
      <c r="BM337" s="0" t="n">
        <f aca="false">20*LOG(J337*F337*C337)</f>
        <v>-27.0348026863548</v>
      </c>
      <c r="BN337" s="0" t="n">
        <f aca="false">(H337+D337)*180/Pi</f>
        <v>-177.245264435441</v>
      </c>
      <c r="BQ337" s="347" t="n">
        <f aca="false">20*LOG(BA337*7)</f>
        <v>34.0302774976573</v>
      </c>
      <c r="BR337" s="353"/>
      <c r="BS337" s="353"/>
      <c r="BT337" s="353" t="n">
        <v>186208.714</v>
      </c>
      <c r="BU337" s="353" t="n">
        <v>12.0278</v>
      </c>
      <c r="BV337" s="353" t="n">
        <v>-144.279</v>
      </c>
      <c r="BY337" s="353"/>
      <c r="BZ337" s="353"/>
      <c r="CA337" s="353"/>
      <c r="CC337" s="353"/>
    </row>
    <row r="338" customFormat="false" ht="12.75" hidden="false" customHeight="false" outlineLevel="0" collapsed="false">
      <c r="A338" s="0" t="n">
        <f aca="false">A337+5000</f>
        <v>620000</v>
      </c>
      <c r="B338" s="0" t="n">
        <f aca="false">A338/1000</f>
        <v>620</v>
      </c>
      <c r="C338" s="0" t="n">
        <f aca="false">SQRT((A338/Fesr)^2+1)</f>
        <v>1.00000758772306</v>
      </c>
      <c r="D338" s="0" t="n">
        <f aca="false">ATAN(A338/Fesr)</f>
        <v>0.00389555518040907</v>
      </c>
      <c r="F338" s="0" t="n">
        <f aca="false">(Ro/(Ro+Rdcr))/SQRT((A338/(Q*Fo))^2+(1-(A338^2/Fo^2))^2)</f>
        <v>0.00486354641204615</v>
      </c>
      <c r="G338" s="0" t="n">
        <f aca="false">-ATAN(A338*Fo/(Q*(Fo^2-A338^2)))</f>
        <v>0.0438554435458138</v>
      </c>
      <c r="H338" s="0" t="n">
        <f aca="false">IF(G338&gt;0,G338-Pi,G338)</f>
        <v>-3.09773720645419</v>
      </c>
      <c r="J338" s="0" t="n">
        <f aca="false">Vin/Vramp</f>
        <v>9</v>
      </c>
      <c r="M338" s="0" t="n">
        <f aca="false">1/(2*Pi*_Rfb1*(Cc1ea_u+Cc2ea_u)*A338)</f>
        <v>0.00950746375589942</v>
      </c>
      <c r="N338" s="0" t="n">
        <f aca="false">-Pi/2</f>
        <v>-1.570796325</v>
      </c>
      <c r="O338" s="0" t="n">
        <f aca="false">SQRT(1+(A338/Fz1_u)^2)</f>
        <v>15.1789712855924</v>
      </c>
      <c r="P338" s="0" t="n">
        <f aca="false">ATAN2(Fz1_u,A338)</f>
        <v>1.50486795960669</v>
      </c>
      <c r="Q338" s="0" t="n">
        <f aca="false">SQRT(1+(A338/Fz2_u)^2)</f>
        <v>17186.4661465484</v>
      </c>
      <c r="R338" s="0" t="n">
        <f aca="false">ATAN2(Fz2_u,A338)</f>
        <v>1.57073814147675</v>
      </c>
      <c r="S338" s="0" t="n">
        <f aca="false">1/SQRT(1+(A338/Fp1_u)^2)</f>
        <v>0.0217639686449237</v>
      </c>
      <c r="T338" s="0" t="n">
        <f aca="false">-ATAN2(Fp1_u,A338)</f>
        <v>-1.54903063962594</v>
      </c>
      <c r="U338" s="0" t="n">
        <f aca="false">1/SQRT(1+(A338/Fp2_u)^2)</f>
        <v>0.510835223167668</v>
      </c>
      <c r="V338" s="0" t="n">
        <f aca="false">-ATAN2(Fp2_u,A338)</f>
        <v>-1.03464026388249</v>
      </c>
      <c r="X338" s="0" t="n">
        <f aca="false">20*LOG(C338*J338*O338*Q338*F338*M338*S338*U338)</f>
        <v>1.63422801768923</v>
      </c>
      <c r="Y338" s="0" t="n">
        <f aca="false">(180/Pi)*(D338+H338+N338+P338+R338+T338+V338)</f>
        <v>-239.078258655137</v>
      </c>
      <c r="Z338" s="0" t="n">
        <f aca="false">Y338+180</f>
        <v>-59.0782586551373</v>
      </c>
      <c r="AC338" s="0" t="n">
        <v>1</v>
      </c>
      <c r="AD338" s="0" t="n">
        <f aca="false">Rcea1_u*Cc1ea_u*A338*2*Pi</f>
        <v>15.145995156768</v>
      </c>
      <c r="AE338" s="0" t="n">
        <f aca="false">-Rcea1_u*Cc1ea_u*Cc2ea_u*(A338*2*Pi)^2</f>
        <v>-0.00885035375342746</v>
      </c>
      <c r="AF338" s="0" t="n">
        <f aca="false">(Cc2ea_u+Cc1ea_u)*A338*2*Pi</f>
        <v>0.0052590260961</v>
      </c>
      <c r="AG338" s="0" t="n">
        <f aca="false">AC338*AE338/(AE338^2+AF338^2)+AD338*AF338/(AE338^2+AF338^2)</f>
        <v>668.03872058563</v>
      </c>
      <c r="AH338" s="0" t="n">
        <f aca="false">AD338*AE338/(AE338^2+AF338^2)-AC338*AF338/(AE338^2+AF338^2)</f>
        <v>-1314.38385584282</v>
      </c>
      <c r="AJ338" s="0" t="n">
        <f aca="false">_Rfb1</f>
        <v>20000</v>
      </c>
      <c r="AK338" s="0" t="n">
        <f aca="false">_Rfb1*Rcea2_u*Cc3ea_u*A338*2*Pi</f>
        <v>918732.38111424</v>
      </c>
      <c r="AL338" s="0" t="n">
        <v>1</v>
      </c>
      <c r="AM338" s="0" t="n">
        <f aca="false">(_Rfb1+Rcea2_u)*Cc3ea_u*A338*2*Pi</f>
        <v>17186.4661174557</v>
      </c>
      <c r="AN338" s="0" t="n">
        <f aca="false">AJ338*AL338/(AL338^2+AM338^2)+AK338*AM338/(AL338^2+AM338^2)</f>
        <v>53.4568034773057</v>
      </c>
      <c r="AO338" s="0" t="n">
        <f aca="false">AK338*AL338/(AL338^2+AM338^2)-AJ338*AM338/(AL338^2+AM338^2)</f>
        <v>-1.16059596313774</v>
      </c>
      <c r="AQ338" s="0" t="n">
        <f aca="false">Eadcg/(1+(Eadcg*A338/GBP)^2)</f>
        <v>0.0296178267379916</v>
      </c>
      <c r="AR338" s="0" t="n">
        <f aca="false">-(A338*Eadcg*Eadcg/GBP)/(1+(Eadcg*A338/GBP)^2)</f>
        <v>-9.67732870837137</v>
      </c>
      <c r="AT338" s="0" t="n">
        <f aca="false">-AR338*AH338+AG338*AQ338</f>
        <v>-12699.938766887</v>
      </c>
      <c r="AU338" s="0" t="n">
        <f aca="false">AQ338*AH338+AG338*AR338</f>
        <v>-6503.75948233656</v>
      </c>
      <c r="AV338" s="0" t="n">
        <f aca="false">ATAN2(AT338,AU338)</f>
        <v>-2.66830442999108</v>
      </c>
      <c r="AW338" s="0" t="n">
        <f aca="false">AG338-AH338*AO338/_Rfb2+AG338*AN338/_Rfb2+AN338-AO338*AR338+AQ338*AN338</f>
        <v>727.230915475413</v>
      </c>
      <c r="AX338" s="0" t="n">
        <f aca="false">AH338+AH338*AN338/_Rfb2+AG338*AO338/_Rfb2+AO338+AO338*AQ338+AN338*AR338</f>
        <v>-1864.86502221784</v>
      </c>
      <c r="AY338" s="0" t="n">
        <f aca="false">ATAN2(AW338,AX338)</f>
        <v>-1.19897117854602</v>
      </c>
      <c r="BA338" s="0" t="n">
        <f aca="false">SQRT(AT338^2+AU338^2)/SQRT(AW338^2+AX338^2)</f>
        <v>7.12833533371711</v>
      </c>
      <c r="BB338" s="0" t="n">
        <f aca="false">20*LOG(BA338)</f>
        <v>17.059762434935</v>
      </c>
      <c r="BC338" s="0" t="n">
        <f aca="false">AV338-AY338</f>
        <v>-1.46933325144506</v>
      </c>
      <c r="BD338" s="0" t="n">
        <f aca="false">BC338*180/Pi-180</f>
        <v>-264.186594102234</v>
      </c>
      <c r="BF338" s="0" t="n">
        <f aca="false">20*LOG(BA338*J338*F338*C338)</f>
        <v>-10.1162601777213</v>
      </c>
      <c r="BG338" s="0" t="n">
        <f aca="false">(180/Pi)*(D338+H338+BC338)</f>
        <v>-261.45066340456</v>
      </c>
      <c r="BH338" s="0" t="n">
        <f aca="false">IF(BG338&gt;180,BG338-180,BG338+180)</f>
        <v>-81.4506634045604</v>
      </c>
      <c r="BI338" s="0" t="n">
        <f aca="false">IF(BH338&gt;180,BH338-360,BH338)</f>
        <v>-81.4506634045604</v>
      </c>
      <c r="BJ338" s="0" t="n">
        <f aca="false">SUM((BF339&lt;0)*(BF338&gt;0))*A338</f>
        <v>0</v>
      </c>
      <c r="BK338" s="0" t="n">
        <f aca="false">IF(BJ338&gt;0,BI338,0)</f>
        <v>0</v>
      </c>
      <c r="BM338" s="0" t="n">
        <f aca="false">20*LOG(J338*F338*C338)</f>
        <v>-27.1760226126562</v>
      </c>
      <c r="BN338" s="0" t="n">
        <f aca="false">(H338+D338)*180/Pi</f>
        <v>-177.264069302327</v>
      </c>
      <c r="BQ338" s="347" t="n">
        <f aca="false">20*LOG(BA338*7)</f>
        <v>33.9617232352201</v>
      </c>
      <c r="BR338" s="353"/>
      <c r="BS338" s="353"/>
      <c r="BT338" s="353" t="n">
        <v>190546.072</v>
      </c>
      <c r="BU338" s="353" t="n">
        <v>12.1826</v>
      </c>
      <c r="BV338" s="353" t="n">
        <v>-145.408</v>
      </c>
      <c r="BY338" s="353"/>
      <c r="BZ338" s="353"/>
      <c r="CA338" s="353"/>
      <c r="CC338" s="353"/>
    </row>
    <row r="339" customFormat="false" ht="12.75" hidden="false" customHeight="false" outlineLevel="0" collapsed="false">
      <c r="A339" s="0" t="n">
        <f aca="false">A338+5000</f>
        <v>625000</v>
      </c>
      <c r="B339" s="0" t="n">
        <f aca="false">A339/1000</f>
        <v>625</v>
      </c>
      <c r="C339" s="0" t="n">
        <f aca="false">SQRT((A339/Fesr)^2+1)</f>
        <v>1.00000771059869</v>
      </c>
      <c r="D339" s="0" t="n">
        <f aca="false">ATAN(A339/Fesr)</f>
        <v>0.0039269706263088</v>
      </c>
      <c r="F339" s="0" t="n">
        <f aca="false">(Ro/(Ro+Rdcr))/SQRT((A339/(Q*Fo))^2+(1-(A339^2/Fo^2))^2)</f>
        <v>0.00478574081915324</v>
      </c>
      <c r="G339" s="0" t="n">
        <f aca="false">-ATAN(A339*Fo/(Q*(Fo^2-A339^2)))</f>
        <v>0.0435016478534205</v>
      </c>
      <c r="H339" s="0" t="n">
        <f aca="false">IF(G339&gt;0,G339-Pi,G339)</f>
        <v>-3.09809100214658</v>
      </c>
      <c r="J339" s="0" t="n">
        <f aca="false">Vin/Vramp</f>
        <v>9</v>
      </c>
      <c r="M339" s="0" t="n">
        <f aca="false">1/(2*Pi*_Rfb1*(Cc1ea_u+Cc2ea_u)*A339)</f>
        <v>0.00943140404585223</v>
      </c>
      <c r="N339" s="0" t="n">
        <f aca="false">-Pi/2</f>
        <v>-1.570796325</v>
      </c>
      <c r="O339" s="0" t="n">
        <f aca="false">SQRT(1+(A339/Fz1_u)^2)</f>
        <v>15.3008531650762</v>
      </c>
      <c r="P339" s="0" t="n">
        <f aca="false">ATAN2(Fz1_u,A339)</f>
        <v>1.5053938777598</v>
      </c>
      <c r="Q339" s="0" t="n">
        <f aca="false">SQRT(1+(A339/Fz2_u)^2)</f>
        <v>17325.0666795209</v>
      </c>
      <c r="R339" s="0" t="n">
        <f aca="false">ATAN2(Fz2_u,A339)</f>
        <v>1.57073860695929</v>
      </c>
      <c r="S339" s="0" t="n">
        <f aca="false">1/SQRT(1+(A339/Fp1_u)^2)</f>
        <v>0.0215899383807757</v>
      </c>
      <c r="T339" s="0" t="n">
        <f aca="false">-ATAN2(Fp1_u,A339)</f>
        <v>-1.54920471079229</v>
      </c>
      <c r="U339" s="0" t="n">
        <f aca="false">1/SQRT(1+(A339/Fp2_u)^2)</f>
        <v>0.507805506403476</v>
      </c>
      <c r="V339" s="0" t="n">
        <f aca="false">-ATAN2(Fp2_u,A339)</f>
        <v>-1.03816083204447</v>
      </c>
      <c r="X339" s="0" t="n">
        <f aca="false">20*LOG(C339*J339*O339*Q339*F339*M339*S339*U339)</f>
        <v>1.44221509016569</v>
      </c>
      <c r="Y339" s="0" t="n">
        <f aca="false">(180/Pi)*(D339+H339+N339+P339+R339+T339+V339)</f>
        <v>-239.278257362497</v>
      </c>
      <c r="Z339" s="0" t="n">
        <f aca="false">Y339+180</f>
        <v>-59.2782573624967</v>
      </c>
      <c r="AC339" s="0" t="n">
        <v>1</v>
      </c>
      <c r="AD339" s="0" t="n">
        <f aca="false">Rcea1_u*Cc1ea_u*A339*2*Pi</f>
        <v>15.268140279</v>
      </c>
      <c r="AE339" s="0" t="n">
        <f aca="false">-Rcea1_u*Cc1ea_u*Cc2ea_u*(A339*2*Pi)^2</f>
        <v>-0.00899367698993913</v>
      </c>
      <c r="AF339" s="0" t="n">
        <f aca="false">(Cc2ea_u+Cc1ea_u)*A339*2*Pi</f>
        <v>0.005301437596875</v>
      </c>
      <c r="AG339" s="0" t="n">
        <f aca="false">AC339*AE339/(AE339^2+AF339^2)+AD339*AF339/(AE339^2+AF339^2)</f>
        <v>660.13806677425</v>
      </c>
      <c r="AH339" s="0" t="n">
        <f aca="false">AD339*AE339/(AE339^2+AF339^2)-AC339*AF339/(AE339^2+AF339^2)</f>
        <v>-1308.52592614117</v>
      </c>
      <c r="AJ339" s="0" t="n">
        <f aca="false">_Rfb1</f>
        <v>20000</v>
      </c>
      <c r="AK339" s="0" t="n">
        <f aca="false">_Rfb1*Rcea2_u*Cc3ea_u*A339*2*Pi</f>
        <v>926141.51322</v>
      </c>
      <c r="AL339" s="0" t="n">
        <v>1</v>
      </c>
      <c r="AM339" s="0" t="n">
        <f aca="false">(_Rfb1+Rcea2_u)*Cc3ea_u*A339*2*Pi</f>
        <v>17325.066650661</v>
      </c>
      <c r="AN339" s="0" t="n">
        <f aca="false">AJ339*AL339/(AL339^2+AM339^2)+AK339*AM339/(AL339^2+AM339^2)</f>
        <v>53.4568024011533</v>
      </c>
      <c r="AO339" s="0" t="n">
        <f aca="false">AK339*AL339/(AL339^2+AM339^2)-AJ339*AM339/(AL339^2+AM339^2)</f>
        <v>-1.15131119549476</v>
      </c>
      <c r="AQ339" s="0" t="n">
        <f aca="false">Eadcg/(1+(Eadcg*A339/GBP)^2)</f>
        <v>0.0291458414016758</v>
      </c>
      <c r="AR339" s="0" t="n">
        <f aca="false">-(A339*Eadcg*Eadcg/GBP)/(1+(Eadcg*A339/GBP)^2)</f>
        <v>-9.59991151167696</v>
      </c>
      <c r="AT339" s="0" t="n">
        <f aca="false">-AR339*AH339+AG339*AQ339</f>
        <v>-12542.4928222929</v>
      </c>
      <c r="AU339" s="0" t="n">
        <f aca="false">AQ339*AH339+AG339*AR339</f>
        <v>-6375.40511563558</v>
      </c>
      <c r="AV339" s="0" t="n">
        <f aca="false">ATAN2(AT339,AU339)</f>
        <v>-2.67132356407187</v>
      </c>
      <c r="AW339" s="0" t="n">
        <f aca="false">AG339-AH339*AO339/_Rfb2+AG339*AN339/_Rfb2+AN339-AO339*AR339+AQ339*AN339</f>
        <v>719.302484400976</v>
      </c>
      <c r="AX339" s="0" t="n">
        <f aca="false">AH339+AH339*AN339/_Rfb2+AG339*AO339/_Rfb2+AO339+AO339*AQ339+AN339*AR339</f>
        <v>-1854.71070231626</v>
      </c>
      <c r="AY339" s="0" t="n">
        <f aca="false">ATAN2(AW339,AX339)</f>
        <v>-1.20082982377266</v>
      </c>
      <c r="BA339" s="0" t="n">
        <f aca="false">SQRT(AT339^2+AU339^2)/SQRT(AW339^2+AX339^2)</f>
        <v>7.0727208544072</v>
      </c>
      <c r="BB339" s="0" t="n">
        <f aca="false">20*LOG(BA339)</f>
        <v>16.9917303544018</v>
      </c>
      <c r="BC339" s="0" t="n">
        <f aca="false">AV339-AY339</f>
        <v>-1.47049374029922</v>
      </c>
      <c r="BD339" s="0" t="n">
        <f aca="false">BC339*180/Pi-180</f>
        <v>-264.253085215825</v>
      </c>
      <c r="BF339" s="0" t="n">
        <f aca="false">20*LOG(BA339*J339*F339*C339)</f>
        <v>-10.3243689861585</v>
      </c>
      <c r="BG339" s="0" t="n">
        <f aca="false">(180/Pi)*(D339+H339+BC339)</f>
        <v>-261.535625545695</v>
      </c>
      <c r="BH339" s="0" t="n">
        <f aca="false">IF(BG339&gt;180,BG339-180,BG339+180)</f>
        <v>-81.535625545695</v>
      </c>
      <c r="BI339" s="0" t="n">
        <f aca="false">IF(BH339&gt;180,BH339-360,BH339)</f>
        <v>-81.535625545695</v>
      </c>
      <c r="BJ339" s="0" t="n">
        <f aca="false">SUM((BF340&lt;0)*(BF339&gt;0))*A339</f>
        <v>0</v>
      </c>
      <c r="BK339" s="0" t="n">
        <f aca="false">IF(BJ339&gt;0,BI339,0)</f>
        <v>0</v>
      </c>
      <c r="BM339" s="0" t="n">
        <f aca="false">20*LOG(J339*F339*C339)</f>
        <v>-27.3160993405603</v>
      </c>
      <c r="BN339" s="0" t="n">
        <f aca="false">(H339+D339)*180/Pi</f>
        <v>-177.28254032987</v>
      </c>
      <c r="BQ339" s="347" t="n">
        <f aca="false">20*LOG(BA339*7)</f>
        <v>33.8936911546869</v>
      </c>
      <c r="BR339" s="353"/>
      <c r="BS339" s="353"/>
      <c r="BT339" s="353" t="n">
        <v>194984.46</v>
      </c>
      <c r="BU339" s="353" t="n">
        <v>12.4584</v>
      </c>
      <c r="BV339" s="353" t="n">
        <v>-146.886</v>
      </c>
      <c r="BY339" s="353"/>
      <c r="BZ339" s="353"/>
      <c r="CA339" s="353"/>
      <c r="CC339" s="353"/>
    </row>
    <row r="340" customFormat="false" ht="12.75" hidden="false" customHeight="false" outlineLevel="0" collapsed="false">
      <c r="A340" s="0" t="n">
        <f aca="false">A339+5000</f>
        <v>630000</v>
      </c>
      <c r="B340" s="0" t="n">
        <f aca="false">A340/1000</f>
        <v>630</v>
      </c>
      <c r="C340" s="0" t="n">
        <f aca="false">SQRT((A340/Fesr)^2+1)</f>
        <v>1.00000783446127</v>
      </c>
      <c r="D340" s="0" t="n">
        <f aca="false">ATAN(A340/Fesr)</f>
        <v>0.0039583860644572</v>
      </c>
      <c r="F340" s="0" t="n">
        <f aca="false">(Ro/(Ro+Rdcr))/SQRT((A340/(Q*Fo))^2+(1-(A340^2/Fo^2))^2)</f>
        <v>0.00470978978238102</v>
      </c>
      <c r="G340" s="0" t="n">
        <f aca="false">-ATAN(A340*Fo/(Q*(Fo^2-A340^2)))</f>
        <v>0.0431535377436026</v>
      </c>
      <c r="H340" s="0" t="n">
        <f aca="false">IF(G340&gt;0,G340-Pi,G340)</f>
        <v>-3.0984391122564</v>
      </c>
      <c r="J340" s="0" t="n">
        <f aca="false">Vin/Vramp</f>
        <v>9</v>
      </c>
      <c r="M340" s="0" t="n">
        <f aca="false">1/(2*Pi*_Rfb1*(Cc1ea_u+Cc2ea_u)*A340)</f>
        <v>0.00935655163278991</v>
      </c>
      <c r="N340" s="0" t="n">
        <f aca="false">-Pi/2</f>
        <v>-1.570796325</v>
      </c>
      <c r="O340" s="0" t="n">
        <f aca="false">SQRT(1+(A340/Fz1_u)^2)</f>
        <v>15.422739209731</v>
      </c>
      <c r="P340" s="0" t="n">
        <f aca="false">ATAN2(Fz1_u,A340)</f>
        <v>1.50591148338255</v>
      </c>
      <c r="Q340" s="0" t="n">
        <f aca="false">SQRT(1+(A340/Fz2_u)^2)</f>
        <v>17463.6672124972</v>
      </c>
      <c r="R340" s="0" t="n">
        <f aca="false">ATAN2(Fz2_u,A340)</f>
        <v>1.57073906505323</v>
      </c>
      <c r="S340" s="0" t="n">
        <f aca="false">1/SQRT(1+(A340/Fp1_u)^2)</f>
        <v>0.0214186685855825</v>
      </c>
      <c r="T340" s="0" t="n">
        <f aca="false">-ATAN2(Fp1_u,A340)</f>
        <v>-1.54937602020201</v>
      </c>
      <c r="U340" s="0" t="n">
        <f aca="false">1/SQRT(1+(A340/Fp2_u)^2)</f>
        <v>0.504805369212192</v>
      </c>
      <c r="V340" s="0" t="n">
        <f aca="false">-ATAN2(Fp2_u,A340)</f>
        <v>-1.04163984356147</v>
      </c>
      <c r="X340" s="0" t="n">
        <f aca="false">20*LOG(C340*J340*O340*Q340*F340*M340*S340*U340)</f>
        <v>1.25153303825887</v>
      </c>
      <c r="Y340" s="0" t="n">
        <f aca="false">(180/Pi)*(D340+H340+N340+P340+R340+T340+V340)</f>
        <v>-239.475867749288</v>
      </c>
      <c r="Z340" s="0" t="n">
        <f aca="false">Y340+180</f>
        <v>-59.4758677492878</v>
      </c>
      <c r="AC340" s="0" t="n">
        <v>1</v>
      </c>
      <c r="AD340" s="0" t="n">
        <f aca="false">Rcea1_u*Cc1ea_u*A340*2*Pi</f>
        <v>15.390285401232</v>
      </c>
      <c r="AE340" s="0" t="n">
        <f aca="false">-Rcea1_u*Cc1ea_u*Cc2ea_u*(A340*2*Pi)^2</f>
        <v>-0.00913815141710551</v>
      </c>
      <c r="AF340" s="0" t="n">
        <f aca="false">(Cc2ea_u+Cc1ea_u)*A340*2*Pi</f>
        <v>0.00534384909765</v>
      </c>
      <c r="AG340" s="0" t="n">
        <f aca="false">AC340*AE340/(AE340^2+AF340^2)+AD340*AF340/(AE340^2+AF340^2)</f>
        <v>652.360859610771</v>
      </c>
      <c r="AH340" s="0" t="n">
        <f aca="false">AD340*AE340/(AE340^2+AF340^2)-AC340*AF340/(AE340^2+AF340^2)</f>
        <v>-1302.68878976722</v>
      </c>
      <c r="AJ340" s="0" t="n">
        <f aca="false">_Rfb1</f>
        <v>20000</v>
      </c>
      <c r="AK340" s="0" t="n">
        <f aca="false">_Rfb1*Rcea2_u*Cc3ea_u*A340*2*Pi</f>
        <v>933550.64532576</v>
      </c>
      <c r="AL340" s="0" t="n">
        <v>1</v>
      </c>
      <c r="AM340" s="0" t="n">
        <f aca="false">(_Rfb1+Rcea2_u)*Cc3ea_u*A340*2*Pi</f>
        <v>17463.6671838663</v>
      </c>
      <c r="AN340" s="0" t="n">
        <f aca="false">AJ340*AL340/(AL340^2+AM340^2)+AK340*AM340/(AL340^2+AM340^2)</f>
        <v>53.4568013505217</v>
      </c>
      <c r="AO340" s="0" t="n">
        <f aca="false">AK340*AL340/(AL340^2+AM340^2)-AJ340*AM340/(AL340^2+AM340^2)</f>
        <v>-1.14217380511448</v>
      </c>
      <c r="AQ340" s="0" t="n">
        <f aca="false">Eadcg/(1+(Eadcg*A340/GBP)^2)</f>
        <v>0.0286850490216012</v>
      </c>
      <c r="AR340" s="0" t="n">
        <f aca="false">-(A340*Eadcg*Eadcg/GBP)/(1+(Eadcg*A340/GBP)^2)</f>
        <v>-9.52372312566181</v>
      </c>
      <c r="AT340" s="0" t="n">
        <f aca="false">-AR340*AH340+AG340*AQ340</f>
        <v>-12387.7343494088</v>
      </c>
      <c r="AU340" s="0" t="n">
        <f aca="false">AQ340*AH340+AG340*AR340</f>
        <v>-6250.27189674609</v>
      </c>
      <c r="AV340" s="0" t="n">
        <f aca="false">ATAN2(AT340,AU340)</f>
        <v>-2.67430906540554</v>
      </c>
      <c r="AW340" s="0" t="n">
        <f aca="false">AG340-AH340*AO340/_Rfb2+AG340*AN340/_Rfb2+AN340-AO340*AR340+AQ340*AN340</f>
        <v>711.496677388408</v>
      </c>
      <c r="AX340" s="0" t="n">
        <f aca="false">AH340+AH340*AN340/_Rfb2+AG340*AO340/_Rfb2+AO340+AO340*AQ340+AN340*AR340</f>
        <v>-1844.64371053346</v>
      </c>
      <c r="AY340" s="0" t="n">
        <f aca="false">ATAN2(AW340,AX340)</f>
        <v>-1.20266968642516</v>
      </c>
      <c r="BA340" s="0" t="n">
        <f aca="false">SQRT(AT340^2+AU340^2)/SQRT(AW340^2+AX340^2)</f>
        <v>7.01795594953574</v>
      </c>
      <c r="BB340" s="0" t="n">
        <f aca="false">20*LOG(BA340)</f>
        <v>16.9242127579708</v>
      </c>
      <c r="BC340" s="0" t="n">
        <f aca="false">AV340-AY340</f>
        <v>-1.47163937898038</v>
      </c>
      <c r="BD340" s="0" t="n">
        <f aca="false">BC340*180/Pi-180</f>
        <v>-264.318725477178</v>
      </c>
      <c r="BF340" s="0" t="n">
        <f aca="false">20*LOG(BA340*J340*F340*C340)</f>
        <v>-10.5308385406011</v>
      </c>
      <c r="BG340" s="0" t="n">
        <f aca="false">(180/Pi)*(D340+H340+BC340)</f>
        <v>-261.61941107515</v>
      </c>
      <c r="BH340" s="0" t="n">
        <f aca="false">IF(BG340&gt;180,BG340-180,BG340+180)</f>
        <v>-81.6194110751495</v>
      </c>
      <c r="BI340" s="0" t="n">
        <f aca="false">IF(BH340&gt;180,BH340-360,BH340)</f>
        <v>-81.6194110751495</v>
      </c>
      <c r="BJ340" s="0" t="n">
        <f aca="false">SUM((BF341&lt;0)*(BF340&gt;0))*A340</f>
        <v>0</v>
      </c>
      <c r="BK340" s="0" t="n">
        <f aca="false">IF(BJ340&gt;0,BI340,0)</f>
        <v>0</v>
      </c>
      <c r="BM340" s="0" t="n">
        <f aca="false">20*LOG(J340*F340*C340)</f>
        <v>-27.4550512985719</v>
      </c>
      <c r="BN340" s="0" t="n">
        <f aca="false">(H340+D340)*180/Pi</f>
        <v>-177.300685597972</v>
      </c>
      <c r="BQ340" s="347" t="n">
        <f aca="false">20*LOG(BA340*7)</f>
        <v>33.8261735582559</v>
      </c>
      <c r="BR340" s="353"/>
      <c r="BS340" s="353"/>
      <c r="BT340" s="353" t="n">
        <v>199526.231</v>
      </c>
      <c r="BU340" s="353" t="n">
        <v>12.6511</v>
      </c>
      <c r="BV340" s="353" t="n">
        <v>-147.237</v>
      </c>
      <c r="BY340" s="353"/>
      <c r="BZ340" s="353"/>
      <c r="CA340" s="353"/>
      <c r="CC340" s="353"/>
    </row>
    <row r="341" customFormat="false" ht="12.75" hidden="false" customHeight="false" outlineLevel="0" collapsed="false">
      <c r="A341" s="0" t="n">
        <f aca="false">A340+5000</f>
        <v>635000</v>
      </c>
      <c r="B341" s="0" t="n">
        <f aca="false">A341/1000</f>
        <v>635</v>
      </c>
      <c r="C341" s="0" t="n">
        <f aca="false">SQRT((A341/Fesr)^2+1)</f>
        <v>1.00000795931078</v>
      </c>
      <c r="D341" s="0" t="n">
        <f aca="false">ATAN(A341/Fesr)</f>
        <v>0.00398980149479226</v>
      </c>
      <c r="F341" s="0" t="n">
        <f aca="false">(Ro/(Ro+Rdcr))/SQRT((A341/(Q*Fo))^2+(1-(A341^2/Fo^2))^2)</f>
        <v>0.00463563475549973</v>
      </c>
      <c r="G341" s="0" t="n">
        <f aca="false">-ATAN(A341*Fo/(Q*(Fo^2-A341^2)))</f>
        <v>0.0428109767269561</v>
      </c>
      <c r="H341" s="0" t="n">
        <f aca="false">IF(G341&gt;0,G341-Pi,G341)</f>
        <v>-3.09878167327304</v>
      </c>
      <c r="J341" s="0" t="n">
        <f aca="false">Vin/Vramp</f>
        <v>9</v>
      </c>
      <c r="M341" s="0" t="n">
        <f aca="false">1/(2*Pi*_Rfb1*(Cc1ea_u+Cc2ea_u)*A341)</f>
        <v>0.00928287799788605</v>
      </c>
      <c r="N341" s="0" t="n">
        <f aca="false">-Pi/2</f>
        <v>-1.570796325</v>
      </c>
      <c r="O341" s="0" t="n">
        <f aca="false">SQRT(1+(A341/Fz1_u)^2)</f>
        <v>15.5446293215791</v>
      </c>
      <c r="P341" s="0" t="n">
        <f aca="false">ATAN2(Fz1_u,A341)</f>
        <v>1.50642097173742</v>
      </c>
      <c r="Q341" s="0" t="n">
        <f aca="false">SQRT(1+(A341/Fz2_u)^2)</f>
        <v>17602.267745477</v>
      </c>
      <c r="R341" s="0" t="n">
        <f aca="false">ATAN2(Fz2_u,A341)</f>
        <v>1.57073951593308</v>
      </c>
      <c r="S341" s="0" t="n">
        <f aca="false">1/SQRT(1+(A341/Fp1_u)^2)</f>
        <v>0.0212500941110228</v>
      </c>
      <c r="T341" s="0" t="n">
        <f aca="false">-ATAN2(Fp1_u,A341)</f>
        <v>-1.5495446330537</v>
      </c>
      <c r="U341" s="0" t="n">
        <f aca="false">1/SQRT(1+(A341/Fp2_u)^2)</f>
        <v>0.501834506376954</v>
      </c>
      <c r="V341" s="0" t="n">
        <f aca="false">-ATAN2(Fp2_u,A341)</f>
        <v>-1.04507794717192</v>
      </c>
      <c r="X341" s="0" t="n">
        <f aca="false">20*LOG(C341*J341*O341*Q341*F341*M341*S341*U341)</f>
        <v>1.06216380302021</v>
      </c>
      <c r="Y341" s="0" t="n">
        <f aca="false">(180/Pi)*(D341+H341+N341+P341+R341+T341+V341)</f>
        <v>-239.671127343644</v>
      </c>
      <c r="Z341" s="0" t="n">
        <f aca="false">Y341+180</f>
        <v>-59.6711273436438</v>
      </c>
      <c r="AC341" s="0" t="n">
        <v>1</v>
      </c>
      <c r="AD341" s="0" t="n">
        <f aca="false">Rcea1_u*Cc1ea_u*A341*2*Pi</f>
        <v>15.512430523464</v>
      </c>
      <c r="AE341" s="0" t="n">
        <f aca="false">-Rcea1_u*Cc1ea_u*Cc2ea_u*(A341*2*Pi)^2</f>
        <v>-0.0092837770349266</v>
      </c>
      <c r="AF341" s="0" t="n">
        <f aca="false">(Cc2ea_u+Cc1ea_u)*A341*2*Pi</f>
        <v>0.005386260598425</v>
      </c>
      <c r="AG341" s="0" t="n">
        <f aca="false">AC341*AE341/(AE341^2+AF341^2)+AD341*AF341/(AE341^2+AF341^2)</f>
        <v>644.704951783939</v>
      </c>
      <c r="AH341" s="0" t="n">
        <f aca="false">AD341*AE341/(AE341^2+AF341^2)-AC341*AF341/(AE341^2+AF341^2)</f>
        <v>-1296.87320136678</v>
      </c>
      <c r="AJ341" s="0" t="n">
        <f aca="false">_Rfb1</f>
        <v>20000</v>
      </c>
      <c r="AK341" s="0" t="n">
        <f aca="false">_Rfb1*Rcea2_u*Cc3ea_u*A341*2*Pi</f>
        <v>940959.77743152</v>
      </c>
      <c r="AL341" s="0" t="n">
        <v>1</v>
      </c>
      <c r="AM341" s="0" t="n">
        <f aca="false">(_Rfb1+Rcea2_u)*Cc3ea_u*A341*2*Pi</f>
        <v>17602.2677170716</v>
      </c>
      <c r="AN341" s="0" t="n">
        <f aca="false">AJ341*AL341/(AL341^2+AM341^2)+AK341*AM341/(AL341^2+AM341^2)</f>
        <v>53.4568003246104</v>
      </c>
      <c r="AO341" s="0" t="n">
        <f aca="false">AK341*AL341/(AL341^2+AM341^2)-AJ341*AM341/(AL341^2+AM341^2)</f>
        <v>-1.13318031064431</v>
      </c>
      <c r="AQ341" s="0" t="n">
        <f aca="false">Eadcg/(1+(Eadcg*A341/GBP)^2)</f>
        <v>0.0282350984606114</v>
      </c>
      <c r="AR341" s="0" t="n">
        <f aca="false">-(A341*Eadcg*Eadcg/GBP)/(1+(Eadcg*A341/GBP)^2)</f>
        <v>-9.4487345243513</v>
      </c>
      <c r="AT341" s="0" t="n">
        <f aca="false">-AR341*AH341+AG341*AQ341</f>
        <v>-12235.6072836686</v>
      </c>
      <c r="AU341" s="0" t="n">
        <f aca="false">AQ341*AH341+AG341*AR341</f>
        <v>-6128.26327847266</v>
      </c>
      <c r="AV341" s="0" t="n">
        <f aca="false">ATAN2(AT341,AU341)</f>
        <v>-2.67726139664823</v>
      </c>
      <c r="AW341" s="0" t="n">
        <f aca="false">AG341-AH341*AO341/_Rfb2+AG341*AN341/_Rfb2+AN341-AO341*AR341+AQ341*AN341</f>
        <v>703.811412919978</v>
      </c>
      <c r="AX341" s="0" t="n">
        <f aca="false">AH341+AH341*AN341/_Rfb2+AG341*AO341/_Rfb2+AO341+AO341*AQ341+AN341*AR341</f>
        <v>-1834.66325835177</v>
      </c>
      <c r="AY341" s="0" t="n">
        <f aca="false">ATAN2(AW341,AX341)</f>
        <v>-1.20449089619971</v>
      </c>
      <c r="BA341" s="0" t="n">
        <f aca="false">SQRT(AT341^2+AU341^2)/SQRT(AW341^2+AX341^2)</f>
        <v>6.96402153765517</v>
      </c>
      <c r="BB341" s="0" t="n">
        <f aca="false">20*LOG(BA341)</f>
        <v>16.8572021118304</v>
      </c>
      <c r="BC341" s="0" t="n">
        <f aca="false">AV341-AY341</f>
        <v>-1.47277050044852</v>
      </c>
      <c r="BD341" s="0" t="n">
        <f aca="false">BC341*180/Pi-180</f>
        <v>-264.383533963492</v>
      </c>
      <c r="BF341" s="0" t="n">
        <f aca="false">20*LOG(BA341*J341*F341*C341)</f>
        <v>-10.7356943597346</v>
      </c>
      <c r="BG341" s="0" t="n">
        <f aca="false">(180/Pi)*(D341+H341+BC341)</f>
        <v>-261.702046890394</v>
      </c>
      <c r="BH341" s="0" t="n">
        <f aca="false">IF(BG341&gt;180,BG341-180,BG341+180)</f>
        <v>-81.7020468903943</v>
      </c>
      <c r="BI341" s="0" t="n">
        <f aca="false">IF(BH341&gt;180,BH341-360,BH341)</f>
        <v>-81.7020468903943</v>
      </c>
      <c r="BJ341" s="0" t="n">
        <f aca="false">SUM((BF342&lt;0)*(BF341&gt;0))*A341</f>
        <v>0</v>
      </c>
      <c r="BK341" s="0" t="n">
        <f aca="false">IF(BJ341&gt;0,BI341,0)</f>
        <v>0</v>
      </c>
      <c r="BM341" s="0" t="n">
        <f aca="false">20*LOG(J341*F341*C341)</f>
        <v>-27.592896471565</v>
      </c>
      <c r="BN341" s="0" t="n">
        <f aca="false">(H341+D341)*180/Pi</f>
        <v>-177.318512926902</v>
      </c>
      <c r="BQ341" s="347" t="n">
        <f aca="false">20*LOG(BA341*7)</f>
        <v>33.7591629121156</v>
      </c>
      <c r="BR341" s="353"/>
      <c r="BS341" s="353"/>
      <c r="BT341" s="353" t="n">
        <v>204173.794</v>
      </c>
      <c r="BU341" s="353" t="n">
        <v>12.9036</v>
      </c>
      <c r="BV341" s="353" t="n">
        <v>-148.923</v>
      </c>
      <c r="BY341" s="353"/>
      <c r="BZ341" s="353"/>
      <c r="CA341" s="353"/>
      <c r="CC341" s="353"/>
    </row>
    <row r="342" customFormat="false" ht="12.75" hidden="false" customHeight="false" outlineLevel="0" collapsed="false">
      <c r="A342" s="0" t="n">
        <f aca="false">A341+5000</f>
        <v>640000</v>
      </c>
      <c r="B342" s="0" t="n">
        <f aca="false">A342/1000</f>
        <v>640</v>
      </c>
      <c r="C342" s="0" t="n">
        <f aca="false">SQRT((A342/Fesr)^2+1)</f>
        <v>1.00000808514722</v>
      </c>
      <c r="D342" s="0" t="n">
        <f aca="false">ATAN(A342/Fesr)</f>
        <v>0.00402121691725198</v>
      </c>
      <c r="F342" s="0" t="n">
        <f aca="false">(Ro/(Ro+Rdcr))/SQRT((A342/(Q*Fo))^2+(1-(A342^2/Fo^2))^2)</f>
        <v>0.00456321948720667</v>
      </c>
      <c r="G342" s="0" t="n">
        <f aca="false">-ATAN(A342*Fo/(Q*(Fo^2-A342^2)))</f>
        <v>0.0424738326642699</v>
      </c>
      <c r="H342" s="0" t="n">
        <f aca="false">IF(G342&gt;0,G342-Pi,G342)</f>
        <v>-3.09911881733573</v>
      </c>
      <c r="J342" s="0" t="n">
        <f aca="false">Vin/Vramp</f>
        <v>9</v>
      </c>
      <c r="M342" s="0" t="n">
        <f aca="false">1/(2*Pi*_Rfb1*(Cc1ea_u+Cc2ea_u)*A342)</f>
        <v>0.00921035551352757</v>
      </c>
      <c r="N342" s="0" t="n">
        <f aca="false">-Pi/2</f>
        <v>-1.570796325</v>
      </c>
      <c r="O342" s="0" t="n">
        <f aca="false">SQRT(1+(A342/Fz1_u)^2)</f>
        <v>15.6665234056887</v>
      </c>
      <c r="P342" s="0" t="n">
        <f aca="false">ATAN2(Fz1_u,A342)</f>
        <v>1.50692253202707</v>
      </c>
      <c r="Q342" s="0" t="n">
        <f aca="false">SQRT(1+(A342/Fz2_u)^2)</f>
        <v>17740.8682784604</v>
      </c>
      <c r="R342" s="0" t="n">
        <f aca="false">ATAN2(Fz2_u,A342)</f>
        <v>1.57073995976794</v>
      </c>
      <c r="S342" s="0" t="n">
        <f aca="false">1/SQRT(1+(A342/Fp1_u)^2)</f>
        <v>0.0210841518423609</v>
      </c>
      <c r="T342" s="0" t="n">
        <f aca="false">-ATAN2(Fp1_u,A342)</f>
        <v>-1.54971061251002</v>
      </c>
      <c r="U342" s="0" t="n">
        <f aca="false">1/SQRT(1+(A342/Fp2_u)^2)</f>
        <v>0.498892612944345</v>
      </c>
      <c r="V342" s="0" t="n">
        <f aca="false">-ATAN2(Fp2_u,A342)</f>
        <v>-1.04847578031655</v>
      </c>
      <c r="X342" s="0" t="n">
        <f aca="false">20*LOG(C342*J342*O342*Q342*F342*M342*S342*U342)</f>
        <v>0.874089702994287</v>
      </c>
      <c r="Y342" s="0" t="n">
        <f aca="false">(180/Pi)*(D342+H342+N342+P342+R342+T342+V342)</f>
        <v>-239.864073008004</v>
      </c>
      <c r="Z342" s="0" t="n">
        <f aca="false">Y342+180</f>
        <v>-59.8640730080036</v>
      </c>
      <c r="AC342" s="0" t="n">
        <v>1</v>
      </c>
      <c r="AD342" s="0" t="n">
        <f aca="false">Rcea1_u*Cc1ea_u*A342*2*Pi</f>
        <v>15.634575645696</v>
      </c>
      <c r="AE342" s="0" t="n">
        <f aca="false">-Rcea1_u*Cc1ea_u*Cc2ea_u*(A342*2*Pi)^2</f>
        <v>-0.00943055384340241</v>
      </c>
      <c r="AF342" s="0" t="n">
        <f aca="false">(Cc2ea_u+Cc1ea_u)*A342*2*Pi</f>
        <v>0.0054286720992</v>
      </c>
      <c r="AG342" s="0" t="n">
        <f aca="false">AC342*AE342/(AE342^2+AF342^2)+AD342*AF342/(AE342^2+AF342^2)</f>
        <v>637.168228481117</v>
      </c>
      <c r="AH342" s="0" t="n">
        <f aca="false">AD342*AE342/(AE342^2+AF342^2)-AC342*AF342/(AE342^2+AF342^2)</f>
        <v>-1291.07987329523</v>
      </c>
      <c r="AJ342" s="0" t="n">
        <f aca="false">_Rfb1</f>
        <v>20000</v>
      </c>
      <c r="AK342" s="0" t="n">
        <f aca="false">_Rfb1*Rcea2_u*Cc3ea_u*A342*2*Pi</f>
        <v>948368.90953728</v>
      </c>
      <c r="AL342" s="0" t="n">
        <v>1</v>
      </c>
      <c r="AM342" s="0" t="n">
        <f aca="false">(_Rfb1+Rcea2_u)*Cc3ea_u*A342*2*Pi</f>
        <v>17740.8682502769</v>
      </c>
      <c r="AN342" s="0" t="n">
        <f aca="false">AJ342*AL342/(AL342^2+AM342^2)+AK342*AM342/(AL342^2+AM342^2)</f>
        <v>53.4567993226498</v>
      </c>
      <c r="AO342" s="0" t="n">
        <f aca="false">AK342*AL342/(AL342^2+AM342^2)-AJ342*AM342/(AL342^2+AM342^2)</f>
        <v>-1.12432733952387</v>
      </c>
      <c r="AQ342" s="0" t="n">
        <f aca="false">Eadcg/(1+(Eadcg*A342/GBP)^2)</f>
        <v>0.0277956522438092</v>
      </c>
      <c r="AR342" s="0" t="n">
        <f aca="false">-(A342*Eadcg*Eadcg/GBP)/(1+(Eadcg*A342/GBP)^2)</f>
        <v>-9.37491758879197</v>
      </c>
      <c r="AT342" s="0" t="n">
        <f aca="false">-AR342*AH342+AG342*AQ342</f>
        <v>-12086.0569061911</v>
      </c>
      <c r="AU342" s="0" t="n">
        <f aca="false">AQ342*AH342+AG342*AR342</f>
        <v>-6009.28603938415</v>
      </c>
      <c r="AV342" s="0" t="n">
        <f aca="false">ATAN2(AT342,AU342)</f>
        <v>-2.6801810149313</v>
      </c>
      <c r="AW342" s="0" t="n">
        <f aca="false">AG342-AH342*AO342/_Rfb2+AG342*AN342/_Rfb2+AN342-AO342*AR342+AQ342*AN342</f>
        <v>696.244638233477</v>
      </c>
      <c r="AX342" s="0" t="n">
        <f aca="false">AH342+AH342*AN342/_Rfb2+AG342*AO342/_Rfb2+AO342+AO342*AQ342+AN342*AR342</f>
        <v>-1824.76856276686</v>
      </c>
      <c r="AY342" s="0" t="n">
        <f aca="false">ATAN2(AW342,AX342)</f>
        <v>-1.20629358701119</v>
      </c>
      <c r="BA342" s="0" t="n">
        <f aca="false">SQRT(AT342^2+AU342^2)/SQRT(AW342^2+AX342^2)</f>
        <v>6.91089909718979</v>
      </c>
      <c r="BB342" s="0" t="n">
        <f aca="false">20*LOG(BA342)</f>
        <v>16.790691041687</v>
      </c>
      <c r="BC342" s="0" t="n">
        <f aca="false">AV342-AY342</f>
        <v>-1.47388742792011</v>
      </c>
      <c r="BD342" s="0" t="n">
        <f aca="false">BC342*180/Pi-180</f>
        <v>-264.44752919371</v>
      </c>
      <c r="BF342" s="0" t="n">
        <f aca="false">20*LOG(BA342*J342*F342*C342)</f>
        <v>-10.9389613732701</v>
      </c>
      <c r="BG342" s="0" t="n">
        <f aca="false">(180/Pi)*(D342+H342+BC342)</f>
        <v>-261.783559081393</v>
      </c>
      <c r="BH342" s="0" t="n">
        <f aca="false">IF(BG342&gt;180,BG342-180,BG342+180)</f>
        <v>-81.783559081393</v>
      </c>
      <c r="BI342" s="0" t="n">
        <f aca="false">IF(BH342&gt;180,BH342-360,BH342)</f>
        <v>-81.783559081393</v>
      </c>
      <c r="BJ342" s="0" t="n">
        <f aca="false">SUM((BF343&lt;0)*(BF342&gt;0))*A342</f>
        <v>0</v>
      </c>
      <c r="BK342" s="0" t="n">
        <f aca="false">IF(BJ342&gt;0,BI342,0)</f>
        <v>0</v>
      </c>
      <c r="BM342" s="0" t="n">
        <f aca="false">20*LOG(J342*F342*C342)</f>
        <v>-27.7296524149571</v>
      </c>
      <c r="BN342" s="0" t="n">
        <f aca="false">(H342+D342)*180/Pi</f>
        <v>-177.336029887683</v>
      </c>
      <c r="BQ342" s="347" t="n">
        <f aca="false">20*LOG(BA342*7)</f>
        <v>33.6926518419722</v>
      </c>
      <c r="BR342" s="353"/>
      <c r="BS342" s="353"/>
      <c r="BT342" s="353" t="n">
        <v>208929.613</v>
      </c>
      <c r="BU342" s="353" t="n">
        <v>13.1541</v>
      </c>
      <c r="BV342" s="353" t="n">
        <v>-149.921</v>
      </c>
      <c r="BY342" s="353"/>
      <c r="BZ342" s="353"/>
      <c r="CA342" s="353"/>
      <c r="CC342" s="353"/>
    </row>
    <row r="343" customFormat="false" ht="12.75" hidden="false" customHeight="false" outlineLevel="0" collapsed="false">
      <c r="A343" s="0" t="n">
        <f aca="false">A342+5000</f>
        <v>645000</v>
      </c>
      <c r="B343" s="0" t="n">
        <f aca="false">A343/1000</f>
        <v>645</v>
      </c>
      <c r="C343" s="0" t="n">
        <f aca="false">SQRT((A343/Fesr)^2+1)</f>
        <v>1.0000082119706</v>
      </c>
      <c r="D343" s="0" t="n">
        <f aca="false">ATAN(A343/Fesr)</f>
        <v>0.00405263233177435</v>
      </c>
      <c r="F343" s="0" t="n">
        <f aca="false">(Ro/(Ro+Rdcr))/SQRT((A343/(Q*Fo))^2+(1-(A343^2/Fo^2))^2)</f>
        <v>0.00449248991389277</v>
      </c>
      <c r="G343" s="0" t="n">
        <f aca="false">-ATAN(A343*Fo/(Q*(Fo^2-A343^2)))</f>
        <v>0.0421419775939813</v>
      </c>
      <c r="H343" s="0" t="n">
        <f aca="false">IF(G343&gt;0,G343-Pi,G343)</f>
        <v>-3.09945067240602</v>
      </c>
      <c r="J343" s="0" t="n">
        <f aca="false">Vin/Vramp</f>
        <v>9</v>
      </c>
      <c r="M343" s="0" t="n">
        <f aca="false">1/(2*Pi*_Rfb1*(Cc1ea_u+Cc2ea_u)*A343)</f>
        <v>0.00913895740877154</v>
      </c>
      <c r="N343" s="0" t="n">
        <f aca="false">-Pi/2</f>
        <v>-1.570796325</v>
      </c>
      <c r="O343" s="0" t="n">
        <f aca="false">SQRT(1+(A343/Fz1_u)^2)</f>
        <v>15.7884213700564</v>
      </c>
      <c r="P343" s="0" t="n">
        <f aca="false">ATAN2(Fz1_u,A343)</f>
        <v>1.50741634762726</v>
      </c>
      <c r="Q343" s="0" t="n">
        <f aca="false">SQRT(1+(A343/Fz2_u)^2)</f>
        <v>17879.4688114472</v>
      </c>
      <c r="R343" s="0" t="n">
        <f aca="false">ATAN2(Fz2_u,A343)</f>
        <v>1.57074039672163</v>
      </c>
      <c r="S343" s="0" t="n">
        <f aca="false">1/SQRT(1+(A343/Fp1_u)^2)</f>
        <v>0.0209207806197312</v>
      </c>
      <c r="T343" s="0" t="n">
        <f aca="false">-ATAN2(Fp1_u,A343)</f>
        <v>-1.54987401977657</v>
      </c>
      <c r="U343" s="0" t="n">
        <f aca="false">1/SQRT(1+(A343/Fp2_u)^2)</f>
        <v>0.495979384432494</v>
      </c>
      <c r="V343" s="0" t="n">
        <f aca="false">-ATAN2(Fp2_u,A343)</f>
        <v>-1.05183396931079</v>
      </c>
      <c r="X343" s="0" t="n">
        <f aca="false">20*LOG(C343*J343*O343*Q343*F343*M343*S343*U343)</f>
        <v>0.687293422970061</v>
      </c>
      <c r="Y343" s="0" t="n">
        <f aca="false">(180/Pi)*(D343+H343+N343+P343+R343+T343+V343)</f>
        <v>-240.054740950037</v>
      </c>
      <c r="Z343" s="0" t="n">
        <f aca="false">Y343+180</f>
        <v>-60.0547409500367</v>
      </c>
      <c r="AC343" s="0" t="n">
        <v>1</v>
      </c>
      <c r="AD343" s="0" t="n">
        <f aca="false">Rcea1_u*Cc1ea_u*A343*2*Pi</f>
        <v>15.756720767928</v>
      </c>
      <c r="AE343" s="0" t="n">
        <f aca="false">-Rcea1_u*Cc1ea_u*Cc2ea_u*(A343*2*Pi)^2</f>
        <v>-0.00957848184253293</v>
      </c>
      <c r="AF343" s="0" t="n">
        <f aca="false">(Cc2ea_u+Cc1ea_u)*A343*2*Pi</f>
        <v>0.005471083599975</v>
      </c>
      <c r="AG343" s="0" t="n">
        <f aca="false">AC343*AE343/(AE343^2+AF343^2)+AD343*AF343/(AE343^2+AF343^2)</f>
        <v>629.748607442012</v>
      </c>
      <c r="AH343" s="0" t="n">
        <f aca="false">AD343*AE343/(AE343^2+AF343^2)-AC343*AF343/(AE343^2+AF343^2)</f>
        <v>-1285.30947722602</v>
      </c>
      <c r="AJ343" s="0" t="n">
        <f aca="false">_Rfb1</f>
        <v>20000</v>
      </c>
      <c r="AK343" s="0" t="n">
        <f aca="false">_Rfb1*Rcea2_u*Cc3ea_u*A343*2*Pi</f>
        <v>955778.04164304</v>
      </c>
      <c r="AL343" s="0" t="n">
        <v>1</v>
      </c>
      <c r="AM343" s="0" t="n">
        <f aca="false">(_Rfb1+Rcea2_u)*Cc3ea_u*A343*2*Pi</f>
        <v>17879.4687834822</v>
      </c>
      <c r="AN343" s="0" t="n">
        <f aca="false">AJ343*AL343/(AL343^2+AM343^2)+AK343*AM343/(AL343^2+AM343^2)</f>
        <v>53.4567983439002</v>
      </c>
      <c r="AO343" s="0" t="n">
        <f aca="false">AK343*AL343/(AL343^2+AM343^2)-AJ343*AM343/(AL343^2+AM343^2)</f>
        <v>-1.11561162376835</v>
      </c>
      <c r="AQ343" s="0" t="n">
        <f aca="false">Eadcg/(1+(Eadcg*A343/GBP)^2)</f>
        <v>0.027366385925592</v>
      </c>
      <c r="AR343" s="0" t="n">
        <f aca="false">-(A343*Eadcg*Eadcg/GBP)/(1+(Eadcg*A343/GBP)^2)</f>
        <v>-9.3022450718976</v>
      </c>
      <c r="AT343" s="0" t="n">
        <f aca="false">-AR343*AH343+AG343*AQ343</f>
        <v>-11939.0298069617</v>
      </c>
      <c r="AU343" s="0" t="n">
        <f aca="false">AQ343*AH343+AG343*AR343</f>
        <v>-5893.25015529943</v>
      </c>
      <c r="AV343" s="0" t="n">
        <f aca="false">ATAN2(AT343,AU343)</f>
        <v>-2.68306837181197</v>
      </c>
      <c r="AW343" s="0" t="n">
        <f aca="false">AG343-AH343*AO343/_Rfb2+AG343*AN343/_Rfb2+AN343-AO343*AR343+AQ343*AN343</f>
        <v>688.794329585488</v>
      </c>
      <c r="AX343" s="0" t="n">
        <f aca="false">AH343+AH343*AN343/_Rfb2+AG343*AO343/_Rfb2+AO343+AO343*AQ343+AN343*AR343</f>
        <v>-1814.95884604204</v>
      </c>
      <c r="AY343" s="0" t="n">
        <f aca="false">ATAN2(AW343,AX343)</f>
        <v>-1.2080778965953</v>
      </c>
      <c r="BA343" s="0" t="n">
        <f aca="false">SQRT(AT343^2+AU343^2)/SQRT(AW343^2+AX343^2)</f>
        <v>6.85857064632353</v>
      </c>
      <c r="BB343" s="0" t="n">
        <f aca="false">20*LOG(BA343)</f>
        <v>16.7246723284372</v>
      </c>
      <c r="BC343" s="0" t="n">
        <f aca="false">AV343-AY343</f>
        <v>-1.47499047521667</v>
      </c>
      <c r="BD343" s="0" t="n">
        <f aca="false">BC343*180/Pi-180</f>
        <v>-264.510729148479</v>
      </c>
      <c r="BF343" s="0" t="n">
        <f aca="false">20*LOG(BA343*J343*F343*C343)</f>
        <v>-11.1406639398826</v>
      </c>
      <c r="BG343" s="0" t="n">
        <f aca="false">(180/Pi)*(D343+H343+BC343)</f>
        <v>-261.863972960455</v>
      </c>
      <c r="BH343" s="0" t="n">
        <f aca="false">IF(BG343&gt;180,BG343-180,BG343+180)</f>
        <v>-81.8639729604553</v>
      </c>
      <c r="BI343" s="0" t="n">
        <f aca="false">IF(BH343&gt;180,BH343-360,BH343)</f>
        <v>-81.8639729604553</v>
      </c>
      <c r="BJ343" s="0" t="n">
        <f aca="false">SUM((BF344&lt;0)*(BF343&gt;0))*A343</f>
        <v>0</v>
      </c>
      <c r="BK343" s="0" t="n">
        <f aca="false">IF(BJ343&gt;0,BI343,0)</f>
        <v>0</v>
      </c>
      <c r="BM343" s="0" t="n">
        <f aca="false">20*LOG(J343*F343*C343)</f>
        <v>-27.8653362683197</v>
      </c>
      <c r="BN343" s="0" t="n">
        <f aca="false">(H343+D343)*180/Pi</f>
        <v>-177.353243811977</v>
      </c>
      <c r="BQ343" s="347" t="n">
        <f aca="false">20*LOG(BA343*7)</f>
        <v>33.6266331287223</v>
      </c>
      <c r="BR343" s="353"/>
      <c r="BS343" s="353"/>
      <c r="BT343" s="353" t="n">
        <v>213796.209</v>
      </c>
      <c r="BU343" s="353" t="n">
        <v>13.3684</v>
      </c>
      <c r="BV343" s="353" t="n">
        <v>-151.101</v>
      </c>
      <c r="BY343" s="353"/>
      <c r="BZ343" s="353"/>
      <c r="CA343" s="353"/>
      <c r="CC343" s="353"/>
    </row>
    <row r="344" customFormat="false" ht="12.75" hidden="false" customHeight="false" outlineLevel="0" collapsed="false">
      <c r="A344" s="0" t="n">
        <f aca="false">A343+5000</f>
        <v>650000</v>
      </c>
      <c r="B344" s="0" t="n">
        <f aca="false">A344/1000</f>
        <v>650</v>
      </c>
      <c r="C344" s="0" t="n">
        <f aca="false">SQRT((A344/Fesr)^2+1)</f>
        <v>1.00000833978092</v>
      </c>
      <c r="D344" s="0" t="n">
        <f aca="false">ATAN(A344/Fesr)</f>
        <v>0.00408404773829737</v>
      </c>
      <c r="F344" s="0" t="n">
        <f aca="false">(Ro/(Ro+Rdcr))/SQRT((A344/(Q*Fo))^2+(1-(A344^2/Fo^2))^2)</f>
        <v>0.00442339405821629</v>
      </c>
      <c r="G344" s="0" t="n">
        <f aca="false">-ATAN(A344*Fo/(Q*(Fo^2-A344^2)))</f>
        <v>0.041815287567804</v>
      </c>
      <c r="H344" s="0" t="n">
        <f aca="false">IF(G344&gt;0,G344-Pi,G344)</f>
        <v>-3.0997773624322</v>
      </c>
      <c r="J344" s="0" t="n">
        <f aca="false">Vin/Vramp</f>
        <v>9</v>
      </c>
      <c r="M344" s="0" t="n">
        <f aca="false">1/(2*Pi*_Rfb1*(Cc1ea_u+Cc2ea_u)*A344)</f>
        <v>0.00906865773639637</v>
      </c>
      <c r="N344" s="0" t="n">
        <f aca="false">-Pi/2</f>
        <v>-1.570796325</v>
      </c>
      <c r="O344" s="0" t="n">
        <f aca="false">SQRT(1+(A344/Fz1_u)^2)</f>
        <v>15.9103231254958</v>
      </c>
      <c r="P344" s="0" t="n">
        <f aca="false">ATAN2(Fz1_u,A344)</f>
        <v>1.50790259630919</v>
      </c>
      <c r="Q344" s="0" t="n">
        <f aca="false">SQRT(1+(A344/Fz2_u)^2)</f>
        <v>18018.0693444374</v>
      </c>
      <c r="R344" s="0" t="n">
        <f aca="false">ATAN2(Fz2_u,A344)</f>
        <v>1.57074082695297</v>
      </c>
      <c r="S344" s="0" t="n">
        <f aca="false">1/SQRT(1+(A344/Fp1_u)^2)</f>
        <v>0.0207599211630497</v>
      </c>
      <c r="T344" s="0" t="n">
        <f aca="false">-ATAN2(Fp1_u,A344)</f>
        <v>-1.55003491417707</v>
      </c>
      <c r="U344" s="0" t="n">
        <f aca="false">1/SQRT(1+(A344/Fp2_u)^2)</f>
        <v>0.493094517025584</v>
      </c>
      <c r="V344" s="0" t="n">
        <f aca="false">-ATAN2(Fp2_u,A344)</f>
        <v>-1.05515312951744</v>
      </c>
      <c r="X344" s="0" t="n">
        <f aca="false">20*LOG(C344*J344*O344*Q344*F344*M344*S344*U344)</f>
        <v>0.501758003183548</v>
      </c>
      <c r="Y344" s="0" t="n">
        <f aca="false">(180/Pi)*(D344+H344+N344+P344+R344+T344+V344)</f>
        <v>-240.243166733512</v>
      </c>
      <c r="Z344" s="0" t="n">
        <f aca="false">Y344+180</f>
        <v>-60.2431667335116</v>
      </c>
      <c r="AC344" s="0" t="n">
        <v>1</v>
      </c>
      <c r="AD344" s="0" t="n">
        <f aca="false">Rcea1_u*Cc1ea_u*A344*2*Pi</f>
        <v>15.87886589016</v>
      </c>
      <c r="AE344" s="0" t="n">
        <f aca="false">-Rcea1_u*Cc1ea_u*Cc2ea_u*(A344*2*Pi)^2</f>
        <v>-0.00972756103231816</v>
      </c>
      <c r="AF344" s="0" t="n">
        <f aca="false">(Cc2ea_u+Cc1ea_u)*A344*2*Pi</f>
        <v>0.00551349510075</v>
      </c>
      <c r="AG344" s="0" t="n">
        <f aca="false">AC344*AE344/(AE344^2+AF344^2)+AD344*AF344/(AE344^2+AF344^2)</f>
        <v>622.444038964978</v>
      </c>
      <c r="AH344" s="0" t="n">
        <f aca="false">AD344*AE344/(AE344^2+AF344^2)-AC344*AF344/(AE344^2+AF344^2)</f>
        <v>-1279.56264571175</v>
      </c>
      <c r="AJ344" s="0" t="n">
        <f aca="false">_Rfb1</f>
        <v>20000</v>
      </c>
      <c r="AK344" s="0" t="n">
        <f aca="false">_Rfb1*Rcea2_u*Cc3ea_u*A344*2*Pi</f>
        <v>963187.1737488</v>
      </c>
      <c r="AL344" s="0" t="n">
        <v>1</v>
      </c>
      <c r="AM344" s="0" t="n">
        <f aca="false">(_Rfb1+Rcea2_u)*Cc3ea_u*A344*2*Pi</f>
        <v>18018.0693166874</v>
      </c>
      <c r="AN344" s="0" t="n">
        <f aca="false">AJ344*AL344/(AL344^2+AM344^2)+AK344*AM344/(AL344^2+AM344^2)</f>
        <v>53.4567973876501</v>
      </c>
      <c r="AO344" s="0" t="n">
        <f aca="false">AK344*AL344/(AL344^2+AM344^2)-AJ344*AM344/(AL344^2+AM344^2)</f>
        <v>-1.10702999594628</v>
      </c>
      <c r="AQ344" s="0" t="n">
        <f aca="false">Eadcg/(1+(Eadcg*A344/GBP)^2)</f>
        <v>0.0269469874906366</v>
      </c>
      <c r="AR344" s="0" t="n">
        <f aca="false">-(A344*Eadcg*Eadcg/GBP)/(1+(Eadcg*A344/GBP)^2)</f>
        <v>-9.23069056491756</v>
      </c>
      <c r="AT344" s="0" t="n">
        <f aca="false">-AR344*AH344+AG344*AQ344</f>
        <v>-11794.4738492608</v>
      </c>
      <c r="AU344" s="0" t="n">
        <f aca="false">AQ344*AH344+AG344*AR344</f>
        <v>-5780.06867627068</v>
      </c>
      <c r="AV344" s="0" t="n">
        <f aca="false">ATAN2(AT344,AU344)</f>
        <v>-2.68592391323424</v>
      </c>
      <c r="AW344" s="0" t="n">
        <f aca="false">AG344-AH344*AO344/_Rfb2+AG344*AN344/_Rfb2+AN344-AO344*AR344+AQ344*AN344</f>
        <v>681.458492454983</v>
      </c>
      <c r="AX344" s="0" t="n">
        <f aca="false">AH344+AH344*AN344/_Rfb2+AG344*AO344/_Rfb2+AO344+AO344*AQ344+AN344*AR344</f>
        <v>-1805.23333550139</v>
      </c>
      <c r="AY344" s="0" t="n">
        <f aca="false">ATAN2(AW344,AX344)</f>
        <v>-1.20984396613562</v>
      </c>
      <c r="BA344" s="0" t="n">
        <f aca="false">SQRT(AT344^2+AU344^2)/SQRT(AW344^2+AX344^2)</f>
        <v>6.80701872373649</v>
      </c>
      <c r="BB344" s="0" t="n">
        <f aca="false">20*LOG(BA344)</f>
        <v>16.6591389039805</v>
      </c>
      <c r="BC344" s="0" t="n">
        <f aca="false">AV344-AY344</f>
        <v>-1.47607994709862</v>
      </c>
      <c r="BD344" s="0" t="n">
        <f aca="false">BC344*180/Pi-180</f>
        <v>-264.573151289283</v>
      </c>
      <c r="BF344" s="0" t="n">
        <f aca="false">20*LOG(BA344*J344*F344*C344)</f>
        <v>-11.3408258644721</v>
      </c>
      <c r="BG344" s="0" t="n">
        <f aca="false">(180/Pi)*(D344+H344+BC344)</f>
        <v>-261.943313090783</v>
      </c>
      <c r="BH344" s="0" t="n">
        <f aca="false">IF(BG344&gt;180,BG344-180,BG344+180)</f>
        <v>-81.943313090783</v>
      </c>
      <c r="BI344" s="0" t="n">
        <f aca="false">IF(BH344&gt;180,BH344-360,BH344)</f>
        <v>-81.943313090783</v>
      </c>
      <c r="BJ344" s="0" t="n">
        <f aca="false">SUM((BF345&lt;0)*(BF344&gt;0))*A344</f>
        <v>0</v>
      </c>
      <c r="BK344" s="0" t="n">
        <f aca="false">IF(BJ344&gt;0,BI344,0)</f>
        <v>0</v>
      </c>
      <c r="BM344" s="0" t="n">
        <f aca="false">20*LOG(J344*F344*C344)</f>
        <v>-27.9999647684526</v>
      </c>
      <c r="BN344" s="0" t="n">
        <f aca="false">(H344+D344)*180/Pi</f>
        <v>-177.3701618015</v>
      </c>
      <c r="BQ344" s="347" t="n">
        <f aca="false">20*LOG(BA344*7)</f>
        <v>33.5610997042656</v>
      </c>
      <c r="BR344" s="353"/>
      <c r="BS344" s="353"/>
      <c r="BT344" s="353" t="n">
        <v>218776.162</v>
      </c>
      <c r="BU344" s="353" t="n">
        <v>13.6015</v>
      </c>
      <c r="BV344" s="353" t="n">
        <v>-153.087</v>
      </c>
      <c r="BY344" s="353"/>
      <c r="BZ344" s="353"/>
      <c r="CA344" s="353"/>
      <c r="CC344" s="353"/>
    </row>
    <row r="345" customFormat="false" ht="12.75" hidden="false" customHeight="false" outlineLevel="0" collapsed="false">
      <c r="A345" s="0" t="n">
        <f aca="false">A344+5000</f>
        <v>655000</v>
      </c>
      <c r="B345" s="0" t="n">
        <f aca="false">A345/1000</f>
        <v>655</v>
      </c>
      <c r="C345" s="0" t="n">
        <f aca="false">SQRT((A345/Fesr)^2+1)</f>
        <v>1.00000846857818</v>
      </c>
      <c r="D345" s="0" t="n">
        <f aca="false">ATAN(A345/Fesr)</f>
        <v>0.00411546313675902</v>
      </c>
      <c r="F345" s="0" t="n">
        <f aca="false">(Ro/(Ro+Rdcr))/SQRT((A345/(Q*Fo))^2+(1-(A345^2/Fo^2))^2)</f>
        <v>0.00435588193312642</v>
      </c>
      <c r="G345" s="0" t="n">
        <f aca="false">-ATAN(A345*Fo/(Q*(Fo^2-A345^2)))</f>
        <v>0.0414936424940835</v>
      </c>
      <c r="H345" s="0" t="n">
        <f aca="false">IF(G345&gt;0,G345-Pi,G345)</f>
        <v>-3.10009900750592</v>
      </c>
      <c r="J345" s="0" t="n">
        <f aca="false">Vin/Vramp</f>
        <v>9</v>
      </c>
      <c r="M345" s="0" t="n">
        <f aca="false">1/(2*Pi*_Rfb1*(Cc1ea_u+Cc2ea_u)*A345)</f>
        <v>0.00899943134146205</v>
      </c>
      <c r="N345" s="0" t="n">
        <f aca="false">-Pi/2</f>
        <v>-1.570796325</v>
      </c>
      <c r="O345" s="0" t="n">
        <f aca="false">SQRT(1+(A345/Fz1_u)^2)</f>
        <v>16.0322285855302</v>
      </c>
      <c r="P345" s="0" t="n">
        <f aca="false">ATAN2(Fz1_u,A345)</f>
        <v>1.5083814504517</v>
      </c>
      <c r="Q345" s="0" t="n">
        <f aca="false">SQRT(1+(A345/Fz2_u)^2)</f>
        <v>18156.6698774308</v>
      </c>
      <c r="R345" s="0" t="n">
        <f aca="false">ATAN2(Fz2_u,A345)</f>
        <v>1.57074125061588</v>
      </c>
      <c r="S345" s="0" t="n">
        <f aca="false">1/SQRT(1+(A345/Fp1_u)^2)</f>
        <v>0.0206015160003602</v>
      </c>
      <c r="T345" s="0" t="n">
        <f aca="false">-ATAN2(Fp1_u,A345)</f>
        <v>-1.55019335322512</v>
      </c>
      <c r="U345" s="0" t="n">
        <f aca="false">1/SQRT(1+(A345/Fp2_u)^2)</f>
        <v>0.490237707755471</v>
      </c>
      <c r="V345" s="0" t="n">
        <f aca="false">-ATAN2(Fp2_u,A345)</f>
        <v>-1.05843386551913</v>
      </c>
      <c r="X345" s="0" t="n">
        <f aca="false">20*LOG(C345*J345*O345*Q345*F345*M345*S345*U345)</f>
        <v>0.317466828949125</v>
      </c>
      <c r="Y345" s="0" t="n">
        <f aca="false">(180/Pi)*(D345+H345+N345+P345+R345+T345+V345)</f>
        <v>-240.429385289097</v>
      </c>
      <c r="Z345" s="0" t="n">
        <f aca="false">Y345+180</f>
        <v>-60.4293852890975</v>
      </c>
      <c r="AC345" s="0" t="n">
        <v>1</v>
      </c>
      <c r="AD345" s="0" t="n">
        <f aca="false">Rcea1_u*Cc1ea_u*A345*2*Pi</f>
        <v>16.001011012392</v>
      </c>
      <c r="AE345" s="0" t="n">
        <f aca="false">-Rcea1_u*Cc1ea_u*Cc2ea_u*(A345*2*Pi)^2</f>
        <v>-0.00987779141275811</v>
      </c>
      <c r="AF345" s="0" t="n">
        <f aca="false">(Cc2ea_u+Cc1ea_u)*A345*2*Pi</f>
        <v>0.005555906601525</v>
      </c>
      <c r="AG345" s="0" t="n">
        <f aca="false">AC345*AE345/(AE345^2+AF345^2)+AD345*AF345/(AE345^2+AF345^2)</f>
        <v>615.252505869666</v>
      </c>
      <c r="AH345" s="0" t="n">
        <f aca="false">AD345*AE345/(AE345^2+AF345^2)-AC345*AF345/(AE345^2+AF345^2)</f>
        <v>-1273.83997369839</v>
      </c>
      <c r="AJ345" s="0" t="n">
        <f aca="false">_Rfb1</f>
        <v>20000</v>
      </c>
      <c r="AK345" s="0" t="n">
        <f aca="false">_Rfb1*Rcea2_u*Cc3ea_u*A345*2*Pi</f>
        <v>970596.30585456</v>
      </c>
      <c r="AL345" s="0" t="n">
        <v>1</v>
      </c>
      <c r="AM345" s="0" t="n">
        <f aca="false">(_Rfb1+Rcea2_u)*Cc3ea_u*A345*2*Pi</f>
        <v>18156.6698498927</v>
      </c>
      <c r="AN345" s="0" t="n">
        <f aca="false">AJ345*AL345/(AL345^2+AM345^2)+AK345*AM345/(AL345^2+AM345^2)</f>
        <v>53.4567964532152</v>
      </c>
      <c r="AO345" s="0" t="n">
        <f aca="false">AK345*AL345/(AL345^2+AM345^2)-AJ345*AM345/(AL345^2+AM345^2)</f>
        <v>-1.09857938534167</v>
      </c>
      <c r="AQ345" s="0" t="n">
        <f aca="false">Eadcg/(1+(Eadcg*A345/GBP)^2)</f>
        <v>0.0265371567867691</v>
      </c>
      <c r="AR345" s="0" t="n">
        <f aca="false">-(A345*Eadcg*Eadcg/GBP)/(1+(Eadcg*A345/GBP)^2)</f>
        <v>-9.16022846544089</v>
      </c>
      <c r="AT345" s="0" t="n">
        <f aca="false">-AR345*AH345+AG345*AQ345</f>
        <v>-11652.3381352767</v>
      </c>
      <c r="AU345" s="0" t="n">
        <f aca="false">AQ345*AH345+AG345*AR345</f>
        <v>-5669.65760880444</v>
      </c>
      <c r="AV345" s="0" t="n">
        <f aca="false">ATAN2(AT345,AU345)</f>
        <v>-2.68874807949928</v>
      </c>
      <c r="AW345" s="0" t="n">
        <f aca="false">AG345-AH345*AO345/_Rfb2+AG345*AN345/_Rfb2+AN345-AO345*AR345+AQ345*AN345</f>
        <v>674.23516169175</v>
      </c>
      <c r="AX345" s="0" t="n">
        <f aca="false">AH345+AH345*AN345/_Rfb2+AG345*AO345/_Rfb2+AO345+AO345*AQ345+AN345*AR345</f>
        <v>-1795.5912633576</v>
      </c>
      <c r="AY345" s="0" t="n">
        <f aca="false">ATAN2(AW345,AX345)</f>
        <v>-1.21159193991408</v>
      </c>
      <c r="BA345" s="0" t="n">
        <f aca="false">SQRT(AT345^2+AU345^2)/SQRT(AW345^2+AX345^2)</f>
        <v>6.75622637014918</v>
      </c>
      <c r="BB345" s="0" t="n">
        <f aca="false">20*LOG(BA345)</f>
        <v>16.5940838471673</v>
      </c>
      <c r="BC345" s="0" t="n">
        <f aca="false">AV345-AY345</f>
        <v>-1.4771561395852</v>
      </c>
      <c r="BD345" s="0" t="n">
        <f aca="false">BC345*180/Pi-180</f>
        <v>-264.634812576779</v>
      </c>
      <c r="BF345" s="0" t="n">
        <f aca="false">20*LOG(BA345*J345*F345*C345)</f>
        <v>-11.5394704147789</v>
      </c>
      <c r="BG345" s="0" t="n">
        <f aca="false">(180/Pi)*(D345+H345+BC345)</f>
        <v>-262.021603313779</v>
      </c>
      <c r="BH345" s="0" t="n">
        <f aca="false">IF(BG345&gt;180,BG345-180,BG345+180)</f>
        <v>-82.021603313779</v>
      </c>
      <c r="BI345" s="0" t="n">
        <f aca="false">IF(BH345&gt;180,BH345-360,BH345)</f>
        <v>-82.021603313779</v>
      </c>
      <c r="BJ345" s="0" t="n">
        <f aca="false">SUM((BF346&lt;0)*(BF345&gt;0))*A345</f>
        <v>0</v>
      </c>
      <c r="BK345" s="0" t="n">
        <f aca="false">IF(BJ345&gt;0,BI345,0)</f>
        <v>0</v>
      </c>
      <c r="BM345" s="0" t="n">
        <f aca="false">20*LOG(J345*F345*C345)</f>
        <v>-28.1335542619462</v>
      </c>
      <c r="BN345" s="0" t="n">
        <f aca="false">(H345+D345)*180/Pi</f>
        <v>-177.386790737</v>
      </c>
      <c r="BQ345" s="347" t="n">
        <f aca="false">20*LOG(BA345*7)</f>
        <v>33.4960446474524</v>
      </c>
      <c r="BR345" s="353"/>
      <c r="BS345" s="353"/>
      <c r="BT345" s="353" t="n">
        <v>223872.114</v>
      </c>
      <c r="BU345" s="353" t="n">
        <v>13.8704</v>
      </c>
      <c r="BV345" s="353" t="n">
        <v>-154.707</v>
      </c>
      <c r="BY345" s="353"/>
      <c r="BZ345" s="353"/>
      <c r="CA345" s="353"/>
      <c r="CC345" s="353"/>
    </row>
    <row r="346" customFormat="false" ht="12.75" hidden="false" customHeight="false" outlineLevel="0" collapsed="false">
      <c r="A346" s="0" t="n">
        <f aca="false">A345+5000</f>
        <v>660000</v>
      </c>
      <c r="B346" s="0" t="n">
        <f aca="false">A346/1000</f>
        <v>660</v>
      </c>
      <c r="C346" s="0" t="n">
        <f aca="false">SQRT((A346/Fesr)^2+1)</f>
        <v>1.00000859836237</v>
      </c>
      <c r="D346" s="0" t="n">
        <f aca="false">ATAN(A346/Fesr)</f>
        <v>0.0041468785270973</v>
      </c>
      <c r="F346" s="0" t="n">
        <f aca="false">(Ro/(Ro+Rdcr))/SQRT((A346/(Q*Fo))^2+(1-(A346^2/Fo^2))^2)</f>
        <v>0.00428990545100459</v>
      </c>
      <c r="G346" s="0" t="n">
        <f aca="false">-ATAN(A346*Fo/(Q*(Fo^2-A346^2)))</f>
        <v>0.0411769259884545</v>
      </c>
      <c r="H346" s="0" t="n">
        <f aca="false">IF(G346&gt;0,G346-Pi,G346)</f>
        <v>-3.10041572401155</v>
      </c>
      <c r="J346" s="0" t="n">
        <f aca="false">Vin/Vramp</f>
        <v>9</v>
      </c>
      <c r="M346" s="0" t="n">
        <f aca="false">1/(2*Pi*_Rfb1*(Cc1ea_u+Cc2ea_u)*A346)</f>
        <v>0.00893125383129946</v>
      </c>
      <c r="N346" s="0" t="n">
        <f aca="false">-Pi/2</f>
        <v>-1.570796325</v>
      </c>
      <c r="O346" s="0" t="n">
        <f aca="false">SQRT(1+(A346/Fz1_u)^2)</f>
        <v>16.1541376662904</v>
      </c>
      <c r="P346" s="0" t="n">
        <f aca="false">ATAN2(Fz1_u,A346)</f>
        <v>1.50885307724392</v>
      </c>
      <c r="Q346" s="0" t="n">
        <f aca="false">SQRT(1+(A346/Fz2_u)^2)</f>
        <v>18295.2704104275</v>
      </c>
      <c r="R346" s="0" t="n">
        <f aca="false">ATAN2(Fz2_u,A346)</f>
        <v>1.57074166785966</v>
      </c>
      <c r="S346" s="0" t="n">
        <f aca="false">1/SQRT(1+(A346/Fp1_u)^2)</f>
        <v>0.0204455093994319</v>
      </c>
      <c r="T346" s="0" t="n">
        <f aca="false">-ATAN2(Fp1_u,A346)</f>
        <v>-1.55034939269271</v>
      </c>
      <c r="U346" s="0" t="n">
        <f aca="false">1/SQRT(1+(A346/Fp2_u)^2)</f>
        <v>0.487408654671054</v>
      </c>
      <c r="V346" s="0" t="n">
        <f aca="false">-ATAN2(Fp2_u,A346)</f>
        <v>-1.0616767712906</v>
      </c>
      <c r="X346" s="0" t="n">
        <f aca="false">20*LOG(C346*J346*O346*Q346*F346*M346*S346*U346)</f>
        <v>0.134403620698003</v>
      </c>
      <c r="Y346" s="0" t="n">
        <f aca="false">(180/Pi)*(D346+H346+N346+P346+R346+T346+V346)</f>
        <v>-240.613430925092</v>
      </c>
      <c r="Z346" s="0" t="n">
        <f aca="false">Y346+180</f>
        <v>-60.613430925092</v>
      </c>
      <c r="AC346" s="0" t="n">
        <v>1</v>
      </c>
      <c r="AD346" s="0" t="n">
        <f aca="false">Rcea1_u*Cc1ea_u*A346*2*Pi</f>
        <v>16.123156134624</v>
      </c>
      <c r="AE346" s="0" t="n">
        <f aca="false">-Rcea1_u*Cc1ea_u*Cc2ea_u*(A346*2*Pi)^2</f>
        <v>-0.0100291729838528</v>
      </c>
      <c r="AF346" s="0" t="n">
        <f aca="false">(Cc2ea_u+Cc1ea_u)*A346*2*Pi</f>
        <v>0.0055983181023</v>
      </c>
      <c r="AG346" s="0" t="n">
        <f aca="false">AC346*AE346/(AE346^2+AF346^2)+AD346*AF346/(AE346^2+AF346^2)</f>
        <v>608.172023419511</v>
      </c>
      <c r="AH346" s="0" t="n">
        <f aca="false">AD346*AE346/(AE346^2+AF346^2)-AC346*AF346/(AE346^2+AF346^2)</f>
        <v>-1268.14201999299</v>
      </c>
      <c r="AJ346" s="0" t="n">
        <f aca="false">_Rfb1</f>
        <v>20000</v>
      </c>
      <c r="AK346" s="0" t="n">
        <f aca="false">_Rfb1*Rcea2_u*Cc3ea_u*A346*2*Pi</f>
        <v>978005.43796032</v>
      </c>
      <c r="AL346" s="0" t="n">
        <v>1</v>
      </c>
      <c r="AM346" s="0" t="n">
        <f aca="false">(_Rfb1+Rcea2_u)*Cc3ea_u*A346*2*Pi</f>
        <v>18295.270383098</v>
      </c>
      <c r="AN346" s="0" t="n">
        <f aca="false">AJ346*AL346/(AL346^2+AM346^2)+AK346*AM346/(AL346^2+AM346^2)</f>
        <v>53.4567955399369</v>
      </c>
      <c r="AO346" s="0" t="n">
        <f aca="false">AK346*AL346/(AL346^2+AM346^2)-AJ346*AM346/(AL346^2+AM346^2)</f>
        <v>-1.09025681429052</v>
      </c>
      <c r="AQ346" s="0" t="n">
        <f aca="false">Eadcg/(1+(Eadcg*A346/GBP)^2)</f>
        <v>0.0261366049877946</v>
      </c>
      <c r="AR346" s="0" t="n">
        <f aca="false">-(A346*Eadcg*Eadcg/GBP)/(1+(Eadcg*A346/GBP)^2)</f>
        <v>-9.09083394685473</v>
      </c>
      <c r="AT346" s="0" t="n">
        <f aca="false">-AR346*AH346+AG346*AQ346</f>
        <v>-11512.5729728444</v>
      </c>
      <c r="AU346" s="0" t="n">
        <f aca="false">AQ346*AH346+AG346*AR346</f>
        <v>-5561.9358030744</v>
      </c>
      <c r="AV346" s="0" t="n">
        <f aca="false">ATAN2(AT346,AU346)</f>
        <v>-2.69154130524469</v>
      </c>
      <c r="AW346" s="0" t="n">
        <f aca="false">AG346-AH346*AO346/_Rfb2+AG346*AN346/_Rfb2+AN346-AO346*AR346+AQ346*AN346</f>
        <v>667.122401613864</v>
      </c>
      <c r="AX346" s="0" t="n">
        <f aca="false">AH346+AH346*AN346/_Rfb2+AG346*AO346/_Rfb2+AO346+AO346*AQ346+AN346*AR346</f>
        <v>-1786.03186657052</v>
      </c>
      <c r="AY346" s="0" t="n">
        <f aca="false">ATAN2(AW346,AX346)</f>
        <v>-1.21332196498344</v>
      </c>
      <c r="BA346" s="0" t="n">
        <f aca="false">SQRT(AT346^2+AU346^2)/SQRT(AW346^2+AX346^2)</f>
        <v>6.70617711063606</v>
      </c>
      <c r="BB346" s="0" t="n">
        <f aca="false">20*LOG(BA346)</f>
        <v>16.5295003798763</v>
      </c>
      <c r="BC346" s="0" t="n">
        <f aca="false">AV346-AY346</f>
        <v>-1.47821934026125</v>
      </c>
      <c r="BD346" s="0" t="n">
        <f aca="false">BC346*180/Pi-180</f>
        <v>-264.695729488361</v>
      </c>
      <c r="BF346" s="0" t="n">
        <f aca="false">20*LOG(BA346*J346*F346*C346)</f>
        <v>-11.7366203373809</v>
      </c>
      <c r="BG346" s="0" t="n">
        <f aca="false">(180/Pi)*(D346+H346+BC346)</f>
        <v>-262.098866775177</v>
      </c>
      <c r="BH346" s="0" t="n">
        <f aca="false">IF(BG346&gt;180,BG346-180,BG346+180)</f>
        <v>-82.0988667751769</v>
      </c>
      <c r="BI346" s="0" t="n">
        <f aca="false">IF(BH346&gt;180,BH346-360,BH346)</f>
        <v>-82.0988667751769</v>
      </c>
      <c r="BJ346" s="0" t="n">
        <f aca="false">SUM((BF347&lt;0)*(BF346&gt;0))*A346</f>
        <v>0</v>
      </c>
      <c r="BK346" s="0" t="n">
        <f aca="false">IF(BJ346&gt;0,BI346,0)</f>
        <v>0</v>
      </c>
      <c r="BM346" s="0" t="n">
        <f aca="false">20*LOG(J346*F346*C346)</f>
        <v>-28.2661207172572</v>
      </c>
      <c r="BN346" s="0" t="n">
        <f aca="false">(H346+D346)*180/Pi</f>
        <v>-177.403137286816</v>
      </c>
      <c r="BQ346" s="347" t="n">
        <f aca="false">20*LOG(BA346*7)</f>
        <v>33.4314611801615</v>
      </c>
      <c r="BR346" s="353"/>
      <c r="BS346" s="353"/>
      <c r="BT346" s="353" t="n">
        <v>229086.765</v>
      </c>
      <c r="BU346" s="353" t="n">
        <v>14.1297</v>
      </c>
      <c r="BV346" s="353" t="n">
        <v>-156.46</v>
      </c>
      <c r="BY346" s="353"/>
      <c r="BZ346" s="353"/>
      <c r="CA346" s="353"/>
      <c r="CC346" s="353"/>
    </row>
    <row r="347" customFormat="false" ht="12.75" hidden="false" customHeight="false" outlineLevel="0" collapsed="false">
      <c r="A347" s="0" t="n">
        <f aca="false">A346+5000</f>
        <v>665000</v>
      </c>
      <c r="B347" s="0" t="n">
        <f aca="false">A347/1000</f>
        <v>665</v>
      </c>
      <c r="C347" s="0" t="n">
        <f aca="false">SQRT((A347/Fesr)^2+1)</f>
        <v>1.00000872913349</v>
      </c>
      <c r="D347" s="0" t="n">
        <f aca="false">ATAN(A347/Fesr)</f>
        <v>0.0041782939092502</v>
      </c>
      <c r="F347" s="0" t="n">
        <f aca="false">(Ro/(Ro+Rdcr))/SQRT((A347/(Q*Fo))^2+(1-(A347^2/Fo^2))^2)</f>
        <v>0.00422541833761333</v>
      </c>
      <c r="G347" s="0" t="n">
        <f aca="false">-ATAN(A347*Fo/(Q*(Fo^2-A347^2)))</f>
        <v>0.0408650252314071</v>
      </c>
      <c r="H347" s="0" t="n">
        <f aca="false">IF(G347&gt;0,G347-Pi,G347)</f>
        <v>-3.10072762476859</v>
      </c>
      <c r="J347" s="0" t="n">
        <f aca="false">Vin/Vramp</f>
        <v>9</v>
      </c>
      <c r="M347" s="0" t="n">
        <f aca="false">1/(2*Pi*_Rfb1*(Cc1ea_u+Cc2ea_u)*A347)</f>
        <v>0.0088641015468536</v>
      </c>
      <c r="N347" s="0" t="n">
        <f aca="false">-Pi/2</f>
        <v>-1.570796325</v>
      </c>
      <c r="O347" s="0" t="n">
        <f aca="false">SQRT(1+(A347/Fz1_u)^2)</f>
        <v>16.276050286418</v>
      </c>
      <c r="P347" s="0" t="n">
        <f aca="false">ATAN2(Fz1_u,A347)</f>
        <v>1.50931763887887</v>
      </c>
      <c r="Q347" s="0" t="n">
        <f aca="false">SQRT(1+(A347/Fz2_u)^2)</f>
        <v>18433.8709434273</v>
      </c>
      <c r="R347" s="0" t="n">
        <f aca="false">ATAN2(Fz2_u,A347)</f>
        <v>1.5707420788291</v>
      </c>
      <c r="S347" s="0" t="n">
        <f aca="false">1/SQRT(1+(A347/Fp1_u)^2)</f>
        <v>0.020291847302439</v>
      </c>
      <c r="T347" s="0" t="n">
        <f aca="false">-ATAN2(Fp1_u,A347)</f>
        <v>-1.55050308667568</v>
      </c>
      <c r="U347" s="0" t="n">
        <f aca="false">1/SQRT(1+(A347/Fp2_u)^2)</f>
        <v>0.484607056996045</v>
      </c>
      <c r="V347" s="0" t="n">
        <f aca="false">-ATAN2(Fp2_u,A347)</f>
        <v>-1.06488243037038</v>
      </c>
      <c r="X347" s="0" t="n">
        <f aca="false">20*LOG(C347*J347*O347*Q347*F347*M347*S347*U347)</f>
        <v>-0.0474475755962793</v>
      </c>
      <c r="Y347" s="0" t="n">
        <f aca="false">(180/Pi)*(D347+H347+N347+P347+R347+T347+V347)</f>
        <v>-240.795337338066</v>
      </c>
      <c r="Z347" s="0" t="n">
        <f aca="false">Y347+180</f>
        <v>-60.7953373380656</v>
      </c>
      <c r="AC347" s="0" t="n">
        <v>1</v>
      </c>
      <c r="AD347" s="0" t="n">
        <f aca="false">Rcea1_u*Cc1ea_u*A347*2*Pi</f>
        <v>16.245301256856</v>
      </c>
      <c r="AE347" s="0" t="n">
        <f aca="false">-Rcea1_u*Cc1ea_u*Cc2ea_u*(A347*2*Pi)^2</f>
        <v>-0.0101817057456021</v>
      </c>
      <c r="AF347" s="0" t="n">
        <f aca="false">(Cc2ea_u+Cc1ea_u)*A347*2*Pi</f>
        <v>0.005640729603075</v>
      </c>
      <c r="AG347" s="0" t="n">
        <f aca="false">AC347*AE347/(AE347^2+AF347^2)+AD347*AF347/(AE347^2+AF347^2)</f>
        <v>601.200639207341</v>
      </c>
      <c r="AH347" s="0" t="n">
        <f aca="false">AD347*AE347/(AE347^2+AF347^2)-AC347*AF347/(AE347^2+AF347^2)</f>
        <v>-1262.4693086857</v>
      </c>
      <c r="AJ347" s="0" t="n">
        <f aca="false">_Rfb1</f>
        <v>20000</v>
      </c>
      <c r="AK347" s="0" t="n">
        <f aca="false">_Rfb1*Rcea2_u*Cc3ea_u*A347*2*Pi</f>
        <v>985414.57006608</v>
      </c>
      <c r="AL347" s="0" t="n">
        <v>1</v>
      </c>
      <c r="AM347" s="0" t="n">
        <f aca="false">(_Rfb1+Rcea2_u)*Cc3ea_u*A347*2*Pi</f>
        <v>18433.8709163033</v>
      </c>
      <c r="AN347" s="0" t="n">
        <f aca="false">AJ347*AL347/(AL347^2+AM347^2)+AK347*AM347/(AL347^2+AM347^2)</f>
        <v>53.4567946471814</v>
      </c>
      <c r="AO347" s="0" t="n">
        <f aca="false">AK347*AL347/(AL347^2+AM347^2)-AJ347*AM347/(AL347^2+AM347^2)</f>
        <v>-1.08205939468263</v>
      </c>
      <c r="AQ347" s="0" t="n">
        <f aca="false">Eadcg/(1+(Eadcg*A347/GBP)^2)</f>
        <v>0.0257450540844913</v>
      </c>
      <c r="AR347" s="0" t="n">
        <f aca="false">-(A347*Eadcg*Eadcg/GBP)/(1+(Eadcg*A347/GBP)^2)</f>
        <v>-9.0224829291804</v>
      </c>
      <c r="AT347" s="0" t="n">
        <f aca="false">-AR347*AH347+AG347*AQ347</f>
        <v>-11375.1298432589</v>
      </c>
      <c r="AU347" s="0" t="n">
        <f aca="false">AQ347*AH347+AG347*AR347</f>
        <v>-5456.8248448927</v>
      </c>
      <c r="AV347" s="0" t="n">
        <f aca="false">ATAN2(AT347,AU347)</f>
        <v>-2.69430401943183</v>
      </c>
      <c r="AW347" s="0" t="n">
        <f aca="false">AG347-AH347*AO347/_Rfb2+AG347*AN347/_Rfb2+AN347-AO347*AR347+AQ347*AN347</f>
        <v>660.118306058169</v>
      </c>
      <c r="AX347" s="0" t="n">
        <f aca="false">AH347+AH347*AN347/_Rfb2+AG347*AO347/_Rfb2+AO347+AO347*AQ347+AN347*AR347</f>
        <v>-1776.55438673305</v>
      </c>
      <c r="AY347" s="0" t="n">
        <f aca="false">ATAN2(AW347,AX347)</f>
        <v>-1.21503419086057</v>
      </c>
      <c r="BA347" s="0" t="n">
        <f aca="false">SQRT(AT347^2+AU347^2)/SQRT(AW347^2+AX347^2)</f>
        <v>6.65685493767149</v>
      </c>
      <c r="BB347" s="0" t="n">
        <f aca="false">20*LOG(BA347)</f>
        <v>16.4653818632178</v>
      </c>
      <c r="BC347" s="0" t="n">
        <f aca="false">AV347-AY347</f>
        <v>-1.47926982857125</v>
      </c>
      <c r="BD347" s="0" t="n">
        <f aca="false">BC347*180/Pi-180</f>
        <v>-264.755918035021</v>
      </c>
      <c r="BF347" s="0" t="n">
        <f aca="false">20*LOG(BA347*J347*F347*C347)</f>
        <v>-11.9322978731007</v>
      </c>
      <c r="BG347" s="0" t="n">
        <f aca="false">(180/Pi)*(D347+H347+BC347)</f>
        <v>-262.175125950052</v>
      </c>
      <c r="BH347" s="0" t="n">
        <f aca="false">IF(BG347&gt;180,BG347-180,BG347+180)</f>
        <v>-82.1751259500519</v>
      </c>
      <c r="BI347" s="0" t="n">
        <f aca="false">IF(BH347&gt;180,BH347-360,BH347)</f>
        <v>-82.1751259500519</v>
      </c>
      <c r="BJ347" s="0" t="n">
        <f aca="false">SUM((BF348&lt;0)*(BF347&gt;0))*A347</f>
        <v>0</v>
      </c>
      <c r="BK347" s="0" t="n">
        <f aca="false">IF(BJ347&gt;0,BI347,0)</f>
        <v>0</v>
      </c>
      <c r="BM347" s="0" t="n">
        <f aca="false">20*LOG(J347*F347*C347)</f>
        <v>-28.3976797363185</v>
      </c>
      <c r="BN347" s="0" t="n">
        <f aca="false">(H347+D347)*180/Pi</f>
        <v>-177.419207915031</v>
      </c>
      <c r="BQ347" s="347" t="n">
        <f aca="false">20*LOG(BA347*7)</f>
        <v>33.3673426635029</v>
      </c>
      <c r="BR347" s="353"/>
      <c r="BS347" s="353"/>
      <c r="BT347" s="353" t="n">
        <v>234422.882</v>
      </c>
      <c r="BU347" s="353" t="n">
        <v>14.4516</v>
      </c>
      <c r="BV347" s="353" t="n">
        <v>-158.775</v>
      </c>
      <c r="BY347" s="353"/>
      <c r="BZ347" s="353"/>
      <c r="CA347" s="353"/>
      <c r="CC347" s="353"/>
    </row>
    <row r="348" customFormat="false" ht="12.75" hidden="false" customHeight="false" outlineLevel="0" collapsed="false">
      <c r="A348" s="0" t="n">
        <f aca="false">A347+5000</f>
        <v>670000</v>
      </c>
      <c r="B348" s="0" t="n">
        <f aca="false">A348/1000</f>
        <v>670</v>
      </c>
      <c r="C348" s="0" t="n">
        <f aca="false">SQRT((A348/Fesr)^2+1)</f>
        <v>1.00000886089155</v>
      </c>
      <c r="D348" s="0" t="n">
        <f aca="false">ATAN(A348/Fesr)</f>
        <v>0.00420970928315573</v>
      </c>
      <c r="F348" s="0" t="n">
        <f aca="false">(Ro/(Ro+Rdcr))/SQRT((A348/(Q*Fo))^2+(1-(A348^2/Fo^2))^2)</f>
        <v>0.00416237605056411</v>
      </c>
      <c r="G348" s="0" t="n">
        <f aca="false">-ATAN(A348*Fo/(Q*(Fo^2-A348^2)))</f>
        <v>0.0405578308323902</v>
      </c>
      <c r="H348" s="0" t="n">
        <f aca="false">IF(G348&gt;0,G348-Pi,G348)</f>
        <v>-3.10103481916761</v>
      </c>
      <c r="J348" s="0" t="n">
        <f aca="false">Vin/Vramp</f>
        <v>9</v>
      </c>
      <c r="M348" s="0" t="n">
        <f aca="false">1/(2*Pi*_Rfb1*(Cc1ea_u+Cc2ea_u)*A348)</f>
        <v>0.00879795153530992</v>
      </c>
      <c r="N348" s="0" t="n">
        <f aca="false">-Pi/2</f>
        <v>-1.570796325</v>
      </c>
      <c r="O348" s="0" t="n">
        <f aca="false">SQRT(1+(A348/Fz1_u)^2)</f>
        <v>16.3979663669713</v>
      </c>
      <c r="P348" s="0" t="n">
        <f aca="false">ATAN2(Fz1_u,A348)</f>
        <v>1.50977529273848</v>
      </c>
      <c r="Q348" s="0" t="n">
        <f aca="false">SQRT(1+(A348/Fz2_u)^2)</f>
        <v>18572.4714764302</v>
      </c>
      <c r="R348" s="0" t="n">
        <f aca="false">ATAN2(Fz2_u,A348)</f>
        <v>1.57074248366466</v>
      </c>
      <c r="S348" s="0" t="n">
        <f aca="false">1/SQRT(1+(A348/Fp1_u)^2)</f>
        <v>0.02014047726356</v>
      </c>
      <c r="T348" s="0" t="n">
        <f aca="false">-ATAN2(Fp1_u,A348)</f>
        <v>-1.55065448765614</v>
      </c>
      <c r="U348" s="0" t="n">
        <f aca="false">1/SQRT(1+(A348/Fp2_u)^2)</f>
        <v>0.481832615275721</v>
      </c>
      <c r="V348" s="0" t="n">
        <f aca="false">-ATAN2(Fp2_u,A348)</f>
        <v>-1.06805141603181</v>
      </c>
      <c r="X348" s="0" t="n">
        <f aca="false">20*LOG(C348*J348*O348*Q348*F348*M348*S348*U348)</f>
        <v>-0.228102397624394</v>
      </c>
      <c r="Y348" s="0" t="n">
        <f aca="false">(180/Pi)*(D348+H348+N348+P348+R348+T348+V348)</f>
        <v>-240.975137623418</v>
      </c>
      <c r="Z348" s="0" t="n">
        <f aca="false">Y348+180</f>
        <v>-60.9751376234179</v>
      </c>
      <c r="AC348" s="0" t="n">
        <v>1</v>
      </c>
      <c r="AD348" s="0" t="n">
        <f aca="false">Rcea1_u*Cc1ea_u*A348*2*Pi</f>
        <v>16.367446379088</v>
      </c>
      <c r="AE348" s="0" t="n">
        <f aca="false">-Rcea1_u*Cc1ea_u*Cc2ea_u*(A348*2*Pi)^2</f>
        <v>-0.0103353896980062</v>
      </c>
      <c r="AF348" s="0" t="n">
        <f aca="false">(Cc2ea_u+Cc1ea_u)*A348*2*Pi</f>
        <v>0.00568314110385</v>
      </c>
      <c r="AG348" s="0" t="n">
        <f aca="false">AC348*AE348/(AE348^2+AF348^2)+AD348*AF348/(AE348^2+AF348^2)</f>
        <v>594.33643300721</v>
      </c>
      <c r="AH348" s="0" t="n">
        <f aca="false">AD348*AE348/(AE348^2+AF348^2)-AC348*AF348/(AE348^2+AF348^2)</f>
        <v>-1256.82233052663</v>
      </c>
      <c r="AJ348" s="0" t="n">
        <f aca="false">_Rfb1</f>
        <v>20000</v>
      </c>
      <c r="AK348" s="0" t="n">
        <f aca="false">_Rfb1*Rcea2_u*Cc3ea_u*A348*2*Pi</f>
        <v>992823.70217184</v>
      </c>
      <c r="AL348" s="0" t="n">
        <v>1</v>
      </c>
      <c r="AM348" s="0" t="n">
        <f aca="false">(_Rfb1+Rcea2_u)*Cc3ea_u*A348*2*Pi</f>
        <v>18572.4714495086</v>
      </c>
      <c r="AN348" s="0" t="n">
        <f aca="false">AJ348*AL348/(AL348^2+AM348^2)+AK348*AM348/(AL348^2+AM348^2)</f>
        <v>53.4567937743382</v>
      </c>
      <c r="AO348" s="0" t="n">
        <f aca="false">AK348*AL348/(AL348^2+AM348^2)-AJ348*AM348/(AL348^2+AM348^2)</f>
        <v>-1.07398432462005</v>
      </c>
      <c r="AQ348" s="0" t="n">
        <f aca="false">Eadcg/(1+(Eadcg*A348/GBP)^2)</f>
        <v>0.0253622364020937</v>
      </c>
      <c r="AR348" s="0" t="n">
        <f aca="false">-(A348*Eadcg*Eadcg/GBP)/(1+(Eadcg*A348/GBP)^2)</f>
        <v>-8.95515205121527</v>
      </c>
      <c r="AT348" s="0" t="n">
        <f aca="false">-AR348*AH348+AG348*AQ348</f>
        <v>-11239.9613701124</v>
      </c>
      <c r="AU348" s="0" t="n">
        <f aca="false">AQ348*AH348+AG348*AR348</f>
        <v>-5354.24895221872</v>
      </c>
      <c r="AV348" s="0" t="n">
        <f aca="false">ATAN2(AT348,AU348)</f>
        <v>-2.69703664534063</v>
      </c>
      <c r="AW348" s="0" t="n">
        <f aca="false">AG348-AH348*AO348/_Rfb2+AG348*AN348/_Rfb2+AN348-AO348*AR348+AQ348*AN348</f>
        <v>653.220998387467</v>
      </c>
      <c r="AX348" s="0" t="n">
        <f aca="false">AH348+AH348*AN348/_Rfb2+AG348*AO348/_Rfb2+AO348+AO348*AQ348+AN348*AR348</f>
        <v>-1767.15806998119</v>
      </c>
      <c r="AY348" s="0" t="n">
        <f aca="false">ATAN2(AW348,AX348)</f>
        <v>-1.21672876923919</v>
      </c>
      <c r="BA348" s="0" t="n">
        <f aca="false">SQRT(AT348^2+AU348^2)/SQRT(AW348^2+AX348^2)</f>
        <v>6.60824429487369</v>
      </c>
      <c r="BB348" s="0" t="n">
        <f aca="false">20*LOG(BA348)</f>
        <v>16.4017217938569</v>
      </c>
      <c r="BC348" s="0" t="n">
        <f aca="false">AV348-AY348</f>
        <v>-1.48030787610144</v>
      </c>
      <c r="BD348" s="0" t="n">
        <f aca="false">BC348*180/Pi-180</f>
        <v>-264.815393777503</v>
      </c>
      <c r="BF348" s="0" t="n">
        <f aca="false">20*LOG(BA348*J348*F348*C348)</f>
        <v>-12.1265247718492</v>
      </c>
      <c r="BG348" s="0" t="n">
        <f aca="false">(180/Pi)*(D348+H348+BC348)</f>
        <v>-262.250402666768</v>
      </c>
      <c r="BH348" s="0" t="n">
        <f aca="false">IF(BG348&gt;180,BG348-180,BG348+180)</f>
        <v>-82.2504026667685</v>
      </c>
      <c r="BI348" s="0" t="n">
        <f aca="false">IF(BH348&gt;180,BH348-360,BH348)</f>
        <v>-82.2504026667685</v>
      </c>
      <c r="BJ348" s="0" t="n">
        <f aca="false">SUM((BF349&lt;0)*(BF348&gt;0))*A348</f>
        <v>0</v>
      </c>
      <c r="BK348" s="0" t="n">
        <f aca="false">IF(BJ348&gt;0,BI348,0)</f>
        <v>0</v>
      </c>
      <c r="BM348" s="0" t="n">
        <f aca="false">20*LOG(J348*F348*C348)</f>
        <v>-28.5282465657061</v>
      </c>
      <c r="BN348" s="0" t="n">
        <f aca="false">(H348+D348)*180/Pi</f>
        <v>-177.435008889266</v>
      </c>
      <c r="BQ348" s="347" t="n">
        <f aca="false">20*LOG(BA348*7)</f>
        <v>33.3036825941421</v>
      </c>
      <c r="BR348" s="353"/>
      <c r="BS348" s="353"/>
      <c r="BT348" s="353" t="n">
        <v>239883.292</v>
      </c>
      <c r="BU348" s="353" t="n">
        <v>14.4628</v>
      </c>
      <c r="BV348" s="353" t="n">
        <v>-161.529</v>
      </c>
      <c r="BY348" s="353"/>
      <c r="BZ348" s="353"/>
      <c r="CA348" s="353"/>
      <c r="CC348" s="353"/>
    </row>
    <row r="349" customFormat="false" ht="12.75" hidden="false" customHeight="false" outlineLevel="0" collapsed="false">
      <c r="A349" s="0" t="n">
        <f aca="false">A348+5000</f>
        <v>675000</v>
      </c>
      <c r="B349" s="0" t="n">
        <f aca="false">A349/1000</f>
        <v>675</v>
      </c>
      <c r="C349" s="0" t="n">
        <f aca="false">SQRT((A349/Fesr)^2+1)</f>
        <v>1.00000899363655</v>
      </c>
      <c r="D349" s="0" t="n">
        <f aca="false">ATAN(A349/Fesr)</f>
        <v>0.00424112464875186</v>
      </c>
      <c r="F349" s="0" t="n">
        <f aca="false">(Ro/(Ro+Rdcr))/SQRT((A349/(Q*Fo))^2+(1-(A349^2/Fo^2))^2)</f>
        <v>0.00410073570203456</v>
      </c>
      <c r="G349" s="0" t="n">
        <f aca="false">-ATAN(A349*Fo/(Q*(Fo^2-A349^2)))</f>
        <v>0.0402552367001033</v>
      </c>
      <c r="H349" s="0" t="n">
        <f aca="false">IF(G349&gt;0,G349-Pi,G349)</f>
        <v>-3.1013374132999</v>
      </c>
      <c r="J349" s="0" t="n">
        <f aca="false">Vin/Vramp</f>
        <v>9</v>
      </c>
      <c r="M349" s="0" t="n">
        <f aca="false">1/(2*Pi*_Rfb1*(Cc1ea_u+Cc2ea_u)*A349)</f>
        <v>0.00873278152393725</v>
      </c>
      <c r="N349" s="0" t="n">
        <f aca="false">-Pi/2</f>
        <v>-1.570796325</v>
      </c>
      <c r="O349" s="0" t="n">
        <f aca="false">SQRT(1+(A349/Fz1_u)^2)</f>
        <v>16.5198858313369</v>
      </c>
      <c r="P349" s="0" t="n">
        <f aca="false">ATAN2(Fz1_u,A349)</f>
        <v>1.51022619157041</v>
      </c>
      <c r="Q349" s="0" t="n">
        <f aca="false">SQRT(1+(A349/Fz2_u)^2)</f>
        <v>18711.072009436</v>
      </c>
      <c r="R349" s="0" t="n">
        <f aca="false">ATAN2(Fz2_u,A349)</f>
        <v>1.57074288250266</v>
      </c>
      <c r="S349" s="0" t="n">
        <f aca="false">1/SQRT(1+(A349/Fp1_u)^2)</f>
        <v>0.0199913483893471</v>
      </c>
      <c r="T349" s="0" t="n">
        <f aca="false">-ATAN2(Fp1_u,A349)</f>
        <v>-1.55080364656225</v>
      </c>
      <c r="U349" s="0" t="n">
        <f aca="false">1/SQRT(1+(A349/Fp2_u)^2)</f>
        <v>0.479085031513248</v>
      </c>
      <c r="V349" s="0" t="n">
        <f aca="false">-ATAN2(Fp2_u,A349)</f>
        <v>-1.07118429145319</v>
      </c>
      <c r="X349" s="0" t="n">
        <f aca="false">20*LOG(C349*J349*O349*Q349*F349*M349*S349*U349)</f>
        <v>-0.407576175597591</v>
      </c>
      <c r="Y349" s="0" t="n">
        <f aca="false">(180/Pi)*(D349+H349+N349+P349+R349+T349+V349)</f>
        <v>-241.152864285837</v>
      </c>
      <c r="Z349" s="0" t="n">
        <f aca="false">Y349+180</f>
        <v>-61.1528642858369</v>
      </c>
      <c r="AC349" s="0" t="n">
        <v>1</v>
      </c>
      <c r="AD349" s="0" t="n">
        <f aca="false">Rcea1_u*Cc1ea_u*A349*2*Pi</f>
        <v>16.48959150132</v>
      </c>
      <c r="AE349" s="0" t="n">
        <f aca="false">-Rcea1_u*Cc1ea_u*Cc2ea_u*(A349*2*Pi)^2</f>
        <v>-0.010490224841065</v>
      </c>
      <c r="AF349" s="0" t="n">
        <f aca="false">(Cc2ea_u+Cc1ea_u)*A349*2*Pi</f>
        <v>0.005725552604625</v>
      </c>
      <c r="AG349" s="0" t="n">
        <f aca="false">AC349*AE349/(AE349^2+AF349^2)+AD349*AF349/(AE349^2+AF349^2)</f>
        <v>587.577516595329</v>
      </c>
      <c r="AH349" s="0" t="n">
        <f aca="false">AD349*AE349/(AE349^2+AF349^2)-AC349*AF349/(AE349^2+AF349^2)</f>
        <v>-1251.20154425842</v>
      </c>
      <c r="AJ349" s="0" t="n">
        <f aca="false">_Rfb1</f>
        <v>20000</v>
      </c>
      <c r="AK349" s="0" t="n">
        <f aca="false">_Rfb1*Rcea2_u*Cc3ea_u*A349*2*Pi</f>
        <v>1000232.8342776</v>
      </c>
      <c r="AL349" s="0" t="n">
        <v>1</v>
      </c>
      <c r="AM349" s="0" t="n">
        <f aca="false">(_Rfb1+Rcea2_u)*Cc3ea_u*A349*2*Pi</f>
        <v>18711.0719827139</v>
      </c>
      <c r="AN349" s="0" t="n">
        <f aca="false">AJ349*AL349/(AL349^2+AM349^2)+AK349*AM349/(AL349^2+AM349^2)</f>
        <v>53.4567929208196</v>
      </c>
      <c r="AO349" s="0" t="n">
        <f aca="false">AK349*AL349/(AL349^2+AM349^2)-AJ349*AM349/(AL349^2+AM349^2)</f>
        <v>-1.06602888522404</v>
      </c>
      <c r="AQ349" s="0" t="n">
        <f aca="false">Eadcg/(1+(Eadcg*A349/GBP)^2)</f>
        <v>0.0249878941427022</v>
      </c>
      <c r="AR349" s="0" t="n">
        <f aca="false">-(A349*Eadcg*Eadcg/GBP)/(1+(Eadcg*A349/GBP)^2)</f>
        <v>-8.88881864391273</v>
      </c>
      <c r="AT349" s="0" t="n">
        <f aca="false">-AR349*AH349+AG349*AQ349</f>
        <v>-11107.0212891113</v>
      </c>
      <c r="AU349" s="0" t="n">
        <f aca="false">AQ349*AH349+AG349*AR349</f>
        <v>-5254.13487599562</v>
      </c>
      <c r="AV349" s="0" t="n">
        <f aca="false">ATAN2(AT349,AU349)</f>
        <v>-2.6997396005713</v>
      </c>
      <c r="AW349" s="0" t="n">
        <f aca="false">AG349-AH349*AO349/_Rfb2+AG349*AN349/_Rfb2+AN349-AO349*AR349+AQ349*AN349</f>
        <v>646.4286314579</v>
      </c>
      <c r="AX349" s="0" t="n">
        <f aca="false">AH349+AH349*AN349/_Rfb2+AG349*AO349/_Rfb2+AO349+AO349*AQ349+AN349*AR349</f>
        <v>-1757.84216692532</v>
      </c>
      <c r="AY349" s="0" t="n">
        <f aca="false">ATAN2(AW349,AX349)</f>
        <v>-1.21840585372099</v>
      </c>
      <c r="BA349" s="0" t="n">
        <f aca="false">SQRT(AT349^2+AU349^2)/SQRT(AW349^2+AX349^2)</f>
        <v>6.56033006141371</v>
      </c>
      <c r="BB349" s="0" t="n">
        <f aca="false">20*LOG(BA349)</f>
        <v>16.3385138004543</v>
      </c>
      <c r="BC349" s="0" t="n">
        <f aca="false">AV349-AY349</f>
        <v>-1.48133374685031</v>
      </c>
      <c r="BD349" s="0" t="n">
        <f aca="false">BC349*180/Pi-180</f>
        <v>-264.874171841807</v>
      </c>
      <c r="BF349" s="0" t="n">
        <f aca="false">20*LOG(BA349*J349*F349*C349)</f>
        <v>-12.3193223069282</v>
      </c>
      <c r="BG349" s="0" t="n">
        <f aca="false">(180/Pi)*(D349+H349+BC349)</f>
        <v>-262.324718129915</v>
      </c>
      <c r="BH349" s="0" t="n">
        <f aca="false">IF(BG349&gt;180,BG349-180,BG349+180)</f>
        <v>-82.324718129915</v>
      </c>
      <c r="BI349" s="0" t="n">
        <f aca="false">IF(BH349&gt;180,BH349-360,BH349)</f>
        <v>-82.324718129915</v>
      </c>
      <c r="BJ349" s="0" t="n">
        <f aca="false">SUM((BF350&lt;0)*(BF349&gt;0))*A349</f>
        <v>0</v>
      </c>
      <c r="BK349" s="0" t="n">
        <f aca="false">IF(BJ349&gt;0,BI349,0)</f>
        <v>0</v>
      </c>
      <c r="BM349" s="0" t="n">
        <f aca="false">20*LOG(J349*F349*C349)</f>
        <v>-28.6578361073825</v>
      </c>
      <c r="BN349" s="0" t="n">
        <f aca="false">(H349+D349)*180/Pi</f>
        <v>-177.450546288108</v>
      </c>
      <c r="BQ349" s="347" t="n">
        <f aca="false">20*LOG(BA349*7)</f>
        <v>33.2404746007394</v>
      </c>
      <c r="BR349" s="353"/>
      <c r="BS349" s="353"/>
      <c r="BT349" s="353" t="n">
        <v>245470.892</v>
      </c>
      <c r="BU349" s="353" t="n">
        <v>14.5759</v>
      </c>
      <c r="BV349" s="353" t="n">
        <v>-163.597</v>
      </c>
      <c r="BY349" s="353"/>
      <c r="BZ349" s="353"/>
      <c r="CA349" s="353"/>
      <c r="CC349" s="353"/>
    </row>
    <row r="350" customFormat="false" ht="12.75" hidden="false" customHeight="false" outlineLevel="0" collapsed="false">
      <c r="A350" s="0" t="n">
        <f aca="false">A349+5000</f>
        <v>680000</v>
      </c>
      <c r="B350" s="0" t="n">
        <f aca="false">A350/1000</f>
        <v>680</v>
      </c>
      <c r="C350" s="0" t="n">
        <f aca="false">SQRT((A350/Fesr)^2+1)</f>
        <v>1.00000912736847</v>
      </c>
      <c r="D350" s="0" t="n">
        <f aca="false">ATAN(A350/Fesr)</f>
        <v>0.0042725400059766</v>
      </c>
      <c r="F350" s="0" t="n">
        <f aca="false">(Ro/(Ro+Rdcr))/SQRT((A350/(Q*Fo))^2+(1-(A350^2/Fo^2))^2)</f>
        <v>0.00404045598548349</v>
      </c>
      <c r="G350" s="0" t="n">
        <f aca="false">-ATAN(A350*Fo/(Q*(Fo^2-A350^2)))</f>
        <v>0.0399571399186503</v>
      </c>
      <c r="H350" s="0" t="n">
        <f aca="false">IF(G350&gt;0,G350-Pi,G350)</f>
        <v>-3.10163551008135</v>
      </c>
      <c r="J350" s="0" t="n">
        <f aca="false">Vin/Vramp</f>
        <v>9</v>
      </c>
      <c r="M350" s="0" t="n">
        <f aca="false">1/(2*Pi*_Rfb1*(Cc1ea_u+Cc2ea_u)*A350)</f>
        <v>0.00866856989508477</v>
      </c>
      <c r="N350" s="0" t="n">
        <f aca="false">-Pi/2</f>
        <v>-1.570796325</v>
      </c>
      <c r="O350" s="0" t="n">
        <f aca="false">SQRT(1+(A350/Fz1_u)^2)</f>
        <v>16.6418086051444</v>
      </c>
      <c r="P350" s="0" t="n">
        <f aca="false">ATAN2(Fz1_u,A350)</f>
        <v>1.51067048365724</v>
      </c>
      <c r="Q350" s="0" t="n">
        <f aca="false">SQRT(1+(A350/Fz2_u)^2)</f>
        <v>18849.6725424448</v>
      </c>
      <c r="R350" s="0" t="n">
        <f aca="false">ATAN2(Fz2_u,A350)</f>
        <v>1.5707432754754</v>
      </c>
      <c r="S350" s="0" t="n">
        <f aca="false">1/SQRT(1+(A350/Fp1_u)^2)</f>
        <v>0.0198444112817226</v>
      </c>
      <c r="T350" s="0" t="n">
        <f aca="false">-ATAN2(Fp1_u,A350)</f>
        <v>-1.55095061282527</v>
      </c>
      <c r="U350" s="0" t="n">
        <f aca="false">1/SQRT(1+(A350/Fp2_u)^2)</f>
        <v>0.476364009296111</v>
      </c>
      <c r="V350" s="0" t="n">
        <f aca="false">-ATAN2(Fp2_u,A350)</f>
        <v>-1.0742816098869</v>
      </c>
      <c r="X350" s="0" t="n">
        <f aca="false">20*LOG(C350*J350*O350*Q350*F350*M350*S350*U350)</f>
        <v>-0.585883940770872</v>
      </c>
      <c r="Y350" s="0" t="n">
        <f aca="false">(180/Pi)*(D350+H350+N350+P350+R350+T350+V350)</f>
        <v>-241.328549249656</v>
      </c>
      <c r="Z350" s="0" t="n">
        <f aca="false">Y350+180</f>
        <v>-61.3285492496564</v>
      </c>
      <c r="AC350" s="0" t="n">
        <v>1</v>
      </c>
      <c r="AD350" s="0" t="n">
        <f aca="false">Rcea1_u*Cc1ea_u*A350*2*Pi</f>
        <v>16.611736623552</v>
      </c>
      <c r="AE350" s="0" t="n">
        <f aca="false">-Rcea1_u*Cc1ea_u*Cc2ea_u*(A350*2*Pi)^2</f>
        <v>-0.0106462111747785</v>
      </c>
      <c r="AF350" s="0" t="n">
        <f aca="false">(Cc2ea_u+Cc1ea_u)*A350*2*Pi</f>
        <v>0.0057679641054</v>
      </c>
      <c r="AG350" s="0" t="n">
        <f aca="false">AC350*AE350/(AE350^2+AF350^2)+AD350*AF350/(AE350^2+AF350^2)</f>
        <v>580.922033542825</v>
      </c>
      <c r="AH350" s="0" t="n">
        <f aca="false">AD350*AE350/(AE350^2+AF350^2)-AC350*AF350/(AE350^2+AF350^2)</f>
        <v>-1245.60737790521</v>
      </c>
      <c r="AJ350" s="0" t="n">
        <f aca="false">_Rfb1</f>
        <v>20000</v>
      </c>
      <c r="AK350" s="0" t="n">
        <f aca="false">_Rfb1*Rcea2_u*Cc3ea_u*A350*2*Pi</f>
        <v>1007641.96638336</v>
      </c>
      <c r="AL350" s="0" t="n">
        <v>1</v>
      </c>
      <c r="AM350" s="0" t="n">
        <f aca="false">(_Rfb1+Rcea2_u)*Cc3ea_u*A350*2*Pi</f>
        <v>18849.6725159192</v>
      </c>
      <c r="AN350" s="0" t="n">
        <f aca="false">AJ350*AL350/(AL350^2+AM350^2)+AK350*AM350/(AL350^2+AM350^2)</f>
        <v>53.4567920860593</v>
      </c>
      <c r="AO350" s="0" t="n">
        <f aca="false">AK350*AL350/(AL350^2+AM350^2)-AJ350*AM350/(AL350^2+AM350^2)</f>
        <v>-1.05819043758285</v>
      </c>
      <c r="AQ350" s="0" t="n">
        <f aca="false">Eadcg/(1+(Eadcg*A350/GBP)^2)</f>
        <v>0.0246217789511567</v>
      </c>
      <c r="AR350" s="0" t="n">
        <f aca="false">-(A350*Eadcg*Eadcg/GBP)/(1+(Eadcg*A350/GBP)^2)</f>
        <v>-8.82346070493651</v>
      </c>
      <c r="AT350" s="0" t="n">
        <f aca="false">-AR350*AH350+AG350*AQ350</f>
        <v>-10976.2644188279</v>
      </c>
      <c r="AU350" s="0" t="n">
        <f aca="false">AQ350*AH350+AG350*AR350</f>
        <v>-5156.41180511564</v>
      </c>
      <c r="AV350" s="0" t="n">
        <f aca="false">ATAN2(AT350,AU350)</f>
        <v>-2.70241329705241</v>
      </c>
      <c r="AW350" s="0" t="n">
        <f aca="false">AG350-AH350*AO350/_Rfb2+AG350*AN350/_Rfb2+AN350-AO350*AR350+AQ350*AN350</f>
        <v>639.739387549775</v>
      </c>
      <c r="AX350" s="0" t="n">
        <f aca="false">AH350+AH350*AN350/_Rfb2+AG350*AO350/_Rfb2+AO350+AO350*AQ350+AN350*AR350</f>
        <v>-1748.60593260023</v>
      </c>
      <c r="AY350" s="0" t="n">
        <f aca="false">ATAN2(AW350,AX350)</f>
        <v>-1.22006559956404</v>
      </c>
      <c r="BA350" s="0" t="n">
        <f aca="false">SQRT(AT350^2+AU350^2)/SQRT(AW350^2+AX350^2)</f>
        <v>6.51309753705839</v>
      </c>
      <c r="BB350" s="0" t="n">
        <f aca="false">20*LOG(BA350)</f>
        <v>16.2757516402176</v>
      </c>
      <c r="BC350" s="0" t="n">
        <f aca="false">AV350-AY350</f>
        <v>-1.48234769748836</v>
      </c>
      <c r="BD350" s="0" t="n">
        <f aca="false">BC350*180/Pi-180</f>
        <v>-264.932266934068</v>
      </c>
      <c r="BF350" s="0" t="n">
        <f aca="false">20*LOG(BA350*J350*F350*C350)</f>
        <v>-12.5107112888183</v>
      </c>
      <c r="BG350" s="0" t="n">
        <f aca="false">(180/Pi)*(D350+H350+BC350)</f>
        <v>-262.398092942276</v>
      </c>
      <c r="BH350" s="0" t="n">
        <f aca="false">IF(BG350&gt;180,BG350-180,BG350+180)</f>
        <v>-82.3980929422764</v>
      </c>
      <c r="BI350" s="0" t="n">
        <f aca="false">IF(BH350&gt;180,BH350-360,BH350)</f>
        <v>-82.3980929422764</v>
      </c>
      <c r="BJ350" s="0" t="n">
        <f aca="false">SUM((BF351&lt;0)*(BF350&gt;0))*A350</f>
        <v>0</v>
      </c>
      <c r="BK350" s="0" t="n">
        <f aca="false">IF(BJ350&gt;0,BI350,0)</f>
        <v>0</v>
      </c>
      <c r="BM350" s="0" t="n">
        <f aca="false">20*LOG(J350*F350*C350)</f>
        <v>-28.7864629290359</v>
      </c>
      <c r="BN350" s="0" t="n">
        <f aca="false">(H350+D350)*180/Pi</f>
        <v>-177.465826008209</v>
      </c>
      <c r="BQ350" s="347" t="n">
        <f aca="false">20*LOG(BA350*7)</f>
        <v>33.1777124405027</v>
      </c>
      <c r="BR350" s="353"/>
      <c r="BS350" s="353"/>
      <c r="BT350" s="353" t="n">
        <v>251188.643</v>
      </c>
      <c r="BU350" s="353" t="n">
        <v>14.7446</v>
      </c>
      <c r="BV350" s="353" t="n">
        <v>-165.896</v>
      </c>
      <c r="BY350" s="353"/>
      <c r="BZ350" s="353"/>
      <c r="CA350" s="353"/>
      <c r="CC350" s="353"/>
    </row>
    <row r="351" customFormat="false" ht="12.75" hidden="false" customHeight="false" outlineLevel="0" collapsed="false">
      <c r="A351" s="0" t="n">
        <f aca="false">A350+5000</f>
        <v>685000</v>
      </c>
      <c r="B351" s="0" t="n">
        <f aca="false">A351/1000</f>
        <v>685</v>
      </c>
      <c r="C351" s="0" t="n">
        <f aca="false">SQRT((A351/Fesr)^2+1)</f>
        <v>1.00000926208734</v>
      </c>
      <c r="D351" s="0" t="n">
        <f aca="false">ATAN(A351/Fesr)</f>
        <v>0.00430395535476795</v>
      </c>
      <c r="F351" s="0" t="n">
        <f aca="false">(Ro/(Ro+Rdcr))/SQRT((A351/(Q*Fo))^2+(1-(A351^2/Fo^2))^2)</f>
        <v>0.00398149710612913</v>
      </c>
      <c r="G351" s="0" t="n">
        <f aca="false">-ATAN(A351*Fo/(Q*(Fo^2-A351^2)))</f>
        <v>0.0396634406292462</v>
      </c>
      <c r="H351" s="0" t="n">
        <f aca="false">IF(G351&gt;0,G351-Pi,G351)</f>
        <v>-3.10192920937075</v>
      </c>
      <c r="J351" s="0" t="n">
        <f aca="false">Vin/Vramp</f>
        <v>9</v>
      </c>
      <c r="M351" s="0" t="n">
        <f aca="false">1/(2*Pi*_Rfb1*(Cc1ea_u+Cc2ea_u)*A351)</f>
        <v>0.00860529566227393</v>
      </c>
      <c r="N351" s="0" t="n">
        <f aca="false">-Pi/2</f>
        <v>-1.570796325</v>
      </c>
      <c r="O351" s="0" t="n">
        <f aca="false">SQRT(1+(A351/Fz1_u)^2)</f>
        <v>16.7637346161851</v>
      </c>
      <c r="P351" s="0" t="n">
        <f aca="false">ATAN2(Fz1_u,A351)</f>
        <v>1.51110831297816</v>
      </c>
      <c r="Q351" s="0" t="n">
        <f aca="false">SQRT(1+(A351/Fz2_u)^2)</f>
        <v>18988.2730754565</v>
      </c>
      <c r="R351" s="0" t="n">
        <f aca="false">ATAN2(Fz2_u,A351)</f>
        <v>1.57074366271131</v>
      </c>
      <c r="S351" s="0" t="n">
        <f aca="false">1/SQRT(1+(A351/Fp1_u)^2)</f>
        <v>0.0196996179834674</v>
      </c>
      <c r="T351" s="0" t="n">
        <f aca="false">-ATAN2(Fp1_u,A351)</f>
        <v>-1.55109543443416</v>
      </c>
      <c r="U351" s="0" t="n">
        <f aca="false">1/SQRT(1+(A351/Fp2_u)^2)</f>
        <v>0.473669253913185</v>
      </c>
      <c r="V351" s="0" t="n">
        <f aca="false">-ATAN2(Fp2_u,A351)</f>
        <v>-1.07734391482733</v>
      </c>
      <c r="X351" s="0" t="n">
        <f aca="false">20*LOG(C351*J351*O351*Q351*F351*M351*S351*U351)</f>
        <v>-0.763040433648698</v>
      </c>
      <c r="Y351" s="0" t="n">
        <f aca="false">(180/Pi)*(D351+H351+N351+P351+R351+T351+V351)</f>
        <v>-241.502223869107</v>
      </c>
      <c r="Z351" s="0" t="n">
        <f aca="false">Y351+180</f>
        <v>-61.5022238691074</v>
      </c>
      <c r="AC351" s="0" t="n">
        <v>1</v>
      </c>
      <c r="AD351" s="0" t="n">
        <f aca="false">Rcea1_u*Cc1ea_u*A351*2*Pi</f>
        <v>16.733881745784</v>
      </c>
      <c r="AE351" s="0" t="n">
        <f aca="false">-Rcea1_u*Cc1ea_u*Cc2ea_u*(A351*2*Pi)^2</f>
        <v>-0.0108033486991467</v>
      </c>
      <c r="AF351" s="0" t="n">
        <f aca="false">(Cc2ea_u+Cc1ea_u)*A351*2*Pi</f>
        <v>0.005810375606175</v>
      </c>
      <c r="AG351" s="0" t="n">
        <f aca="false">AC351*AE351/(AE351^2+AF351^2)+AD351*AF351/(AE351^2+AF351^2)</f>
        <v>574.368158982844</v>
      </c>
      <c r="AH351" s="0" t="n">
        <f aca="false">AD351*AE351/(AE351^2+AF351^2)-AC351*AF351/(AE351^2+AF351^2)</f>
        <v>-1240.0402300191</v>
      </c>
      <c r="AJ351" s="0" t="n">
        <f aca="false">_Rfb1</f>
        <v>20000</v>
      </c>
      <c r="AK351" s="0" t="n">
        <f aca="false">_Rfb1*Rcea2_u*Cc3ea_u*A351*2*Pi</f>
        <v>1015051.09848912</v>
      </c>
      <c r="AL351" s="0" t="n">
        <v>1</v>
      </c>
      <c r="AM351" s="0" t="n">
        <f aca="false">(_Rfb1+Rcea2_u)*Cc3ea_u*A351*2*Pi</f>
        <v>18988.2730491245</v>
      </c>
      <c r="AN351" s="0" t="n">
        <f aca="false">AJ351*AL351/(AL351^2+AM351^2)+AK351*AM351/(AL351^2+AM351^2)</f>
        <v>53.4567912695117</v>
      </c>
      <c r="AO351" s="0" t="n">
        <f aca="false">AK351*AL351/(AL351^2+AM351^2)-AJ351*AM351/(AL351^2+AM351^2)</f>
        <v>-1.05046641983328</v>
      </c>
      <c r="AQ351" s="0" t="n">
        <f aca="false">Eadcg/(1+(Eadcg*A351/GBP)^2)</f>
        <v>0.0242636515030105</v>
      </c>
      <c r="AR351" s="0" t="n">
        <f aca="false">-(A351*Eadcg*Eadcg/GBP)/(1+(Eadcg*A351/GBP)^2)</f>
        <v>-8.75905687432928</v>
      </c>
      <c r="AT351" s="0" t="n">
        <f aca="false">-AR351*AH351+AG351*AQ351</f>
        <v>-10847.6466323497</v>
      </c>
      <c r="AU351" s="0" t="n">
        <f aca="false">AQ351*AH351+AG351*AR351</f>
        <v>-5061.01127532543</v>
      </c>
      <c r="AV351" s="0" t="n">
        <f aca="false">ATAN2(AT351,AU351)</f>
        <v>-2.70505814105468</v>
      </c>
      <c r="AW351" s="0" t="n">
        <f aca="false">AG351-AH351*AO351/_Rfb2+AG351*AN351/_Rfb2+AN351-AO351*AR351+AQ351*AN351</f>
        <v>633.151478264871</v>
      </c>
      <c r="AX351" s="0" t="n">
        <f aca="false">AH351+AH351*AN351/_Rfb2+AG351*AO351/_Rfb2+AO351+AO351*AQ351+AN351*AR351</f>
        <v>-1739.44862643136</v>
      </c>
      <c r="AY351" s="0" t="n">
        <f aca="false">ATAN2(AW351,AX351)</f>
        <v>-1.22170816344747</v>
      </c>
      <c r="BA351" s="0" t="n">
        <f aca="false">SQRT(AT351^2+AU351^2)/SQRT(AW351^2+AX351^2)</f>
        <v>6.46653242781788</v>
      </c>
      <c r="BB351" s="0" t="n">
        <f aca="false">20*LOG(BA351)</f>
        <v>16.2134291955626</v>
      </c>
      <c r="BC351" s="0" t="n">
        <f aca="false">AV351-AY351</f>
        <v>-1.48334997760722</v>
      </c>
      <c r="BD351" s="0" t="n">
        <f aca="false">BC351*180/Pi-180</f>
        <v>-264.989693354834</v>
      </c>
      <c r="BF351" s="0" t="n">
        <f aca="false">20*LOG(BA351*J351*F351*C351)</f>
        <v>-12.700712078471</v>
      </c>
      <c r="BG351" s="0" t="n">
        <f aca="false">(180/Pi)*(D351+H351+BC351)</f>
        <v>-262.470547125891</v>
      </c>
      <c r="BH351" s="0" t="n">
        <f aca="false">IF(BG351&gt;180,BG351-180,BG351+180)</f>
        <v>-82.4705471258907</v>
      </c>
      <c r="BI351" s="0" t="n">
        <f aca="false">IF(BH351&gt;180,BH351-360,BH351)</f>
        <v>-82.4705471258907</v>
      </c>
      <c r="BJ351" s="0" t="n">
        <f aca="false">SUM((BF352&lt;0)*(BF351&gt;0))*A351</f>
        <v>0</v>
      </c>
      <c r="BK351" s="0" t="n">
        <f aca="false">IF(BJ351&gt;0,BI351,0)</f>
        <v>0</v>
      </c>
      <c r="BM351" s="0" t="n">
        <f aca="false">20*LOG(J351*F351*C351)</f>
        <v>-28.9141412740336</v>
      </c>
      <c r="BN351" s="0" t="n">
        <f aca="false">(H351+D351)*180/Pi</f>
        <v>-177.480853771057</v>
      </c>
      <c r="BQ351" s="347" t="n">
        <f aca="false">20*LOG(BA351*7)</f>
        <v>33.1153899958477</v>
      </c>
      <c r="BR351" s="353"/>
      <c r="BS351" s="353"/>
      <c r="BT351" s="353" t="n">
        <v>257039.578</v>
      </c>
      <c r="BU351" s="353" t="n">
        <v>14.891</v>
      </c>
      <c r="BV351" s="353" t="n">
        <v>-168.07</v>
      </c>
      <c r="BY351" s="353"/>
      <c r="BZ351" s="353"/>
      <c r="CA351" s="353"/>
      <c r="CC351" s="353"/>
    </row>
    <row r="352" customFormat="false" ht="12.75" hidden="false" customHeight="false" outlineLevel="0" collapsed="false">
      <c r="A352" s="0" t="n">
        <f aca="false">A351+5000</f>
        <v>690000</v>
      </c>
      <c r="B352" s="0" t="n">
        <f aca="false">A352/1000</f>
        <v>690</v>
      </c>
      <c r="C352" s="0" t="n">
        <f aca="false">SQRT((A352/Fesr)^2+1)</f>
        <v>1.00000939779313</v>
      </c>
      <c r="D352" s="0" t="n">
        <f aca="false">ATAN(A352/Fesr)</f>
        <v>0.00433537069506389</v>
      </c>
      <c r="F352" s="0" t="n">
        <f aca="false">(Ro/(Ro+Rdcr))/SQRT((A352/(Q*Fo))^2+(1-(A352^2/Fo^2))^2)</f>
        <v>0.00392382071497077</v>
      </c>
      <c r="G352" s="0" t="n">
        <f aca="false">-ATAN(A352*Fo/(Q*(Fo^2-A352^2)))</f>
        <v>0.0393740419171894</v>
      </c>
      <c r="H352" s="0" t="n">
        <f aca="false">IF(G352&gt;0,G352-Pi,G352)</f>
        <v>-3.10221860808281</v>
      </c>
      <c r="J352" s="0" t="n">
        <f aca="false">Vin/Vramp</f>
        <v>9</v>
      </c>
      <c r="M352" s="0" t="n">
        <f aca="false">1/(2*Pi*_Rfb1*(Cc1ea_u+Cc2ea_u)*A352)</f>
        <v>0.00854293844732992</v>
      </c>
      <c r="N352" s="0" t="n">
        <f aca="false">-Pi/2</f>
        <v>-1.570796325</v>
      </c>
      <c r="O352" s="0" t="n">
        <f aca="false">SQRT(1+(A352/Fz1_u)^2)</f>
        <v>16.8856637943339</v>
      </c>
      <c r="P352" s="0" t="n">
        <f aca="false">ATAN2(Fz1_u,A352)</f>
        <v>1.51153981936384</v>
      </c>
      <c r="Q352" s="0" t="n">
        <f aca="false">SQRT(1+(A352/Fz2_u)^2)</f>
        <v>19126.873608471</v>
      </c>
      <c r="R352" s="0" t="n">
        <f aca="false">ATAN2(Fz2_u,A352)</f>
        <v>1.5707440443351</v>
      </c>
      <c r="S352" s="0" t="n">
        <f aca="false">1/SQRT(1+(A352/Fp1_u)^2)</f>
        <v>0.0195569219260777</v>
      </c>
      <c r="T352" s="0" t="n">
        <f aca="false">-ATAN2(Fp1_u,A352)</f>
        <v>-1.5512381579878</v>
      </c>
      <c r="U352" s="0" t="n">
        <f aca="false">1/SQRT(1+(A352/Fp2_u)^2)</f>
        <v>0.471000472462935</v>
      </c>
      <c r="V352" s="0" t="n">
        <f aca="false">-ATAN2(Fp2_u,A352)</f>
        <v>-1.08037174017757</v>
      </c>
      <c r="X352" s="0" t="n">
        <f aca="false">20*LOG(C352*J352*O352*Q352*F352*M352*S352*U352)</f>
        <v>-0.939060111888415</v>
      </c>
      <c r="Y352" s="0" t="n">
        <f aca="false">(180/Pi)*(D352+H352+N352+P352+R352+T352+V352)</f>
        <v>-241.673918938457</v>
      </c>
      <c r="Z352" s="0" t="n">
        <f aca="false">Y352+180</f>
        <v>-61.6739189384568</v>
      </c>
      <c r="AC352" s="0" t="n">
        <v>1</v>
      </c>
      <c r="AD352" s="0" t="n">
        <f aca="false">Rcea1_u*Cc1ea_u*A352*2*Pi</f>
        <v>16.856026868016</v>
      </c>
      <c r="AE352" s="0" t="n">
        <f aca="false">-Rcea1_u*Cc1ea_u*Cc2ea_u*(A352*2*Pi)^2</f>
        <v>-0.0109616374141696</v>
      </c>
      <c r="AF352" s="0" t="n">
        <f aca="false">(Cc2ea_u+Cc1ea_u)*A352*2*Pi</f>
        <v>0.00585278710695</v>
      </c>
      <c r="AG352" s="0" t="n">
        <f aca="false">AC352*AE352/(AE352^2+AF352^2)+AD352*AF352/(AE352^2+AF352^2)</f>
        <v>567.914099354389</v>
      </c>
      <c r="AH352" s="0" t="n">
        <f aca="false">AD352*AE352/(AE352^2+AF352^2)-AC352*AF352/(AE352^2+AF352^2)</f>
        <v>-1234.50047088468</v>
      </c>
      <c r="AJ352" s="0" t="n">
        <f aca="false">_Rfb1</f>
        <v>20000</v>
      </c>
      <c r="AK352" s="0" t="n">
        <f aca="false">_Rfb1*Rcea2_u*Cc3ea_u*A352*2*Pi</f>
        <v>1022460.23059488</v>
      </c>
      <c r="AL352" s="0" t="n">
        <v>1</v>
      </c>
      <c r="AM352" s="0" t="n">
        <f aca="false">(_Rfb1+Rcea2_u)*Cc3ea_u*A352*2*Pi</f>
        <v>19126.8735823297</v>
      </c>
      <c r="AN352" s="0" t="n">
        <f aca="false">AJ352*AL352/(AL352^2+AM352^2)+AK352*AM352/(AL352^2+AM352^2)</f>
        <v>53.4567904706507</v>
      </c>
      <c r="AO352" s="0" t="n">
        <f aca="false">AK352*AL352/(AL352^2+AM352^2)-AJ352*AM352/(AL352^2+AM352^2)</f>
        <v>-1.04285434436901</v>
      </c>
      <c r="AQ352" s="0" t="n">
        <f aca="false">Eadcg/(1+(Eadcg*A352/GBP)^2)</f>
        <v>0.0239132811133271</v>
      </c>
      <c r="AR352" s="0" t="n">
        <f aca="false">-(A352*Eadcg*Eadcg/GBP)/(1+(Eadcg*A352/GBP)^2)</f>
        <v>-8.69558641123914</v>
      </c>
      <c r="AT352" s="0" t="n">
        <f aca="false">-AR352*AH352+AG352*AQ352</f>
        <v>-10721.124829787</v>
      </c>
      <c r="AU352" s="0" t="n">
        <f aca="false">AQ352*AH352+AG352*AR352</f>
        <v>-4967.86708189194</v>
      </c>
      <c r="AV352" s="0" t="n">
        <f aca="false">ATAN2(AT352,AU352)</f>
        <v>-2.7076745332103</v>
      </c>
      <c r="AW352" s="0" t="n">
        <f aca="false">AG352-AH352*AO352/_Rfb2+AG352*AN352/_Rfb2+AN352-AO352*AR352+AQ352*AN352</f>
        <v>626.663144393082</v>
      </c>
      <c r="AX352" s="0" t="n">
        <f aca="false">AH352+AH352*AN352/_Rfb2+AG352*AO352/_Rfb2+AO352+AO352*AQ352+AN352*AR352</f>
        <v>-1730.36951221537</v>
      </c>
      <c r="AY352" s="0" t="n">
        <f aca="false">ATAN2(AW352,AX352)</f>
        <v>-1.22333370325137</v>
      </c>
      <c r="BA352" s="0" t="n">
        <f aca="false">SQRT(AT352^2+AU352^2)/SQRT(AW352^2+AX352^2)</f>
        <v>6.42062083216963</v>
      </c>
      <c r="BB352" s="0" t="n">
        <f aca="false">20*LOG(BA352)</f>
        <v>16.1515404708774</v>
      </c>
      <c r="BC352" s="0" t="n">
        <f aca="false">AV352-AY352</f>
        <v>-1.48434082995894</v>
      </c>
      <c r="BD352" s="0" t="n">
        <f aca="false">BC352*180/Pi-180</f>
        <v>-265.046465012773</v>
      </c>
      <c r="BF352" s="0" t="n">
        <f aca="false">20*LOG(BA352*J352*F352*C352)</f>
        <v>-12.8893446001294</v>
      </c>
      <c r="BG352" s="0" t="n">
        <f aca="false">(180/Pi)*(D352+H352+BC352)</f>
        <v>-262.542100142233</v>
      </c>
      <c r="BH352" s="0" t="n">
        <f aca="false">IF(BG352&gt;180,BG352-180,BG352+180)</f>
        <v>-82.5421001422329</v>
      </c>
      <c r="BI352" s="0" t="n">
        <f aca="false">IF(BH352&gt;180,BH352-360,BH352)</f>
        <v>-82.5421001422329</v>
      </c>
      <c r="BJ352" s="0" t="n">
        <f aca="false">SUM((BF353&lt;0)*(BF352&gt;0))*A352</f>
        <v>0</v>
      </c>
      <c r="BK352" s="0" t="n">
        <f aca="false">IF(BJ352&gt;0,BI352,0)</f>
        <v>0</v>
      </c>
      <c r="BM352" s="0" t="n">
        <f aca="false">20*LOG(J352*F352*C352)</f>
        <v>-29.0408850710067</v>
      </c>
      <c r="BN352" s="0" t="n">
        <f aca="false">(H352+D352)*180/Pi</f>
        <v>-177.49563512946</v>
      </c>
      <c r="BQ352" s="347" t="n">
        <f aca="false">20*LOG(BA352*7)</f>
        <v>33.0535012711625</v>
      </c>
      <c r="BR352" s="353"/>
      <c r="BS352" s="353"/>
      <c r="BT352" s="353" t="n">
        <v>263026.799</v>
      </c>
      <c r="BU352" s="353" t="n">
        <v>14.9779</v>
      </c>
      <c r="BV352" s="353" t="n">
        <v>-170.824</v>
      </c>
      <c r="BY352" s="353"/>
      <c r="BZ352" s="353"/>
      <c r="CA352" s="353"/>
      <c r="CC352" s="353"/>
    </row>
    <row r="353" customFormat="false" ht="12.75" hidden="false" customHeight="false" outlineLevel="0" collapsed="false">
      <c r="A353" s="0" t="n">
        <f aca="false">A352+5000</f>
        <v>695000</v>
      </c>
      <c r="B353" s="0" t="n">
        <f aca="false">A353/1000</f>
        <v>695</v>
      </c>
      <c r="C353" s="0" t="n">
        <f aca="false">SQRT((A353/Fesr)^2+1)</f>
        <v>1.00000953448586</v>
      </c>
      <c r="D353" s="0" t="n">
        <f aca="false">ATAN(A353/Fesr)</f>
        <v>0.00436678602680241</v>
      </c>
      <c r="F353" s="0" t="n">
        <f aca="false">(Ro/(Ro+Rdcr))/SQRT((A353/(Q*Fo))^2+(1-(A353^2/Fo^2))^2)</f>
        <v>0.00386738984614906</v>
      </c>
      <c r="G353" s="0" t="n">
        <f aca="false">-ATAN(A353*Fo/(Q*(Fo^2-A353^2)))</f>
        <v>0.039088849703826</v>
      </c>
      <c r="H353" s="0" t="n">
        <f aca="false">IF(G353&gt;0,G353-Pi,G353)</f>
        <v>-3.10250380029617</v>
      </c>
      <c r="J353" s="0" t="n">
        <f aca="false">Vin/Vramp</f>
        <v>9</v>
      </c>
      <c r="M353" s="0" t="n">
        <f aca="false">1/(2*Pi*_Rfb1*(Cc1ea_u+Cc2ea_u)*A353)</f>
        <v>0.00848147845850021</v>
      </c>
      <c r="N353" s="0" t="n">
        <f aca="false">-Pi/2</f>
        <v>-1.570796325</v>
      </c>
      <c r="O353" s="0" t="n">
        <f aca="false">SQRT(1+(A353/Fz1_u)^2)</f>
        <v>17.0075960714747</v>
      </c>
      <c r="P353" s="0" t="n">
        <f aca="false">ATAN2(Fz1_u,A353)</f>
        <v>1.5119651386446</v>
      </c>
      <c r="Q353" s="0" t="n">
        <f aca="false">SQRT(1+(A353/Fz2_u)^2)</f>
        <v>19265.4741414882</v>
      </c>
      <c r="R353" s="0" t="n">
        <f aca="false">ATAN2(Fz2_u,A353)</f>
        <v>1.5707444204679</v>
      </c>
      <c r="S353" s="0" t="n">
        <f aca="false">1/SQRT(1+(A353/Fp1_u)^2)</f>
        <v>0.0194162778798686</v>
      </c>
      <c r="T353" s="0" t="n">
        <f aca="false">-ATAN2(Fp1_u,A353)</f>
        <v>-1.55137882874494</v>
      </c>
      <c r="U353" s="0" t="n">
        <f aca="false">1/SQRT(1+(A353/Fp2_u)^2)</f>
        <v>0.468357373953229</v>
      </c>
      <c r="V353" s="0" t="n">
        <f aca="false">-ATAN2(Fp2_u,A353)</f>
        <v>-1.08336561041464</v>
      </c>
      <c r="X353" s="0" t="n">
        <f aca="false">20*LOG(C353*J353*O353*Q353*F353*M353*S353*U353)</f>
        <v>-1.11395715791536</v>
      </c>
      <c r="Y353" s="0" t="n">
        <f aca="false">(180/Pi)*(D353+H353+N353+P353+R353+T353+V353)</f>
        <v>-241.84366470203</v>
      </c>
      <c r="Z353" s="0" t="n">
        <f aca="false">Y353+180</f>
        <v>-61.8436647020298</v>
      </c>
      <c r="AC353" s="0" t="n">
        <v>1</v>
      </c>
      <c r="AD353" s="0" t="n">
        <f aca="false">Rcea1_u*Cc1ea_u*A353*2*Pi</f>
        <v>16.978171990248</v>
      </c>
      <c r="AE353" s="0" t="n">
        <f aca="false">-Rcea1_u*Cc1ea_u*Cc2ea_u*(A353*2*Pi)^2</f>
        <v>-0.0111210773198473</v>
      </c>
      <c r="AF353" s="0" t="n">
        <f aca="false">(Cc2ea_u+Cc1ea_u)*A353*2*Pi</f>
        <v>0.005895198607725</v>
      </c>
      <c r="AG353" s="0" t="n">
        <f aca="false">AC353*AE353/(AE353^2+AF353^2)+AD353*AF353/(AE353^2+AF353^2)</f>
        <v>561.558092125093</v>
      </c>
      <c r="AH353" s="0" t="n">
        <f aca="false">AD353*AE353/(AE353^2+AF353^2)-AC353*AF353/(AE353^2+AF353^2)</f>
        <v>-1228.98844368282</v>
      </c>
      <c r="AJ353" s="0" t="n">
        <f aca="false">_Rfb1</f>
        <v>20000</v>
      </c>
      <c r="AK353" s="0" t="n">
        <f aca="false">_Rfb1*Rcea2_u*Cc3ea_u*A353*2*Pi</f>
        <v>1029869.36270064</v>
      </c>
      <c r="AL353" s="0" t="n">
        <v>1</v>
      </c>
      <c r="AM353" s="0" t="n">
        <f aca="false">(_Rfb1+Rcea2_u)*Cc3ea_u*A353*2*Pi</f>
        <v>19265.474115535</v>
      </c>
      <c r="AN353" s="0" t="n">
        <f aca="false">AJ353*AL353/(AL353^2+AM353^2)+AK353*AM353/(AL353^2+AM353^2)</f>
        <v>53.4567896889692</v>
      </c>
      <c r="AO353" s="0" t="n">
        <f aca="false">AK353*AL353/(AL353^2+AM353^2)-AJ353*AM353/(AL353^2+AM353^2)</f>
        <v>-1.03535179516952</v>
      </c>
      <c r="AQ353" s="0" t="n">
        <f aca="false">Eadcg/(1+(Eadcg*A353/GBP)^2)</f>
        <v>0.0235704453651064</v>
      </c>
      <c r="AR353" s="0" t="n">
        <f aca="false">-(A353*Eadcg*Eadcg/GBP)/(1+(Eadcg*A353/GBP)^2)</f>
        <v>-8.63302917165068</v>
      </c>
      <c r="AT353" s="0" t="n">
        <f aca="false">-AR353*AH353+AG353*AQ353</f>
        <v>-10596.6569116056</v>
      </c>
      <c r="AU353" s="0" t="n">
        <f aca="false">AQ353*AH353+AG353*AR353</f>
        <v>-4876.9151958586</v>
      </c>
      <c r="AV353" s="0" t="n">
        <f aca="false">ATAN2(AT353,AU353)</f>
        <v>-2.71026286853696</v>
      </c>
      <c r="AW353" s="0" t="n">
        <f aca="false">AG353-AH353*AO353/_Rfb2+AG353*AN353/_Rfb2+AN353-AO353*AR353+AQ353*AN353</f>
        <v>620.272655751058</v>
      </c>
      <c r="AX353" s="0" t="n">
        <f aca="false">AH353+AH353*AN353/_Rfb2+AG353*AO353/_Rfb2+AO353+AO353*AQ353+AN353*AR353</f>
        <v>-1721.36785811288</v>
      </c>
      <c r="AY353" s="0" t="n">
        <f aca="false">ATAN2(AW353,AX353)</f>
        <v>-1.22494237785123</v>
      </c>
      <c r="BA353" s="0" t="n">
        <f aca="false">SQRT(AT353^2+AU353^2)/SQRT(AW353^2+AX353^2)</f>
        <v>6.37534922783256</v>
      </c>
      <c r="BB353" s="0" t="n">
        <f aca="false">20*LOG(BA353)</f>
        <v>16.0900795893874</v>
      </c>
      <c r="BC353" s="0" t="n">
        <f aca="false">AV353-AY353</f>
        <v>-1.48532049068573</v>
      </c>
      <c r="BD353" s="0" t="n">
        <f aca="false">BC353*180/Pi-180</f>
        <v>-265.102595437836</v>
      </c>
      <c r="BF353" s="0" t="n">
        <f aca="false">20*LOG(BA353*J353*F353*C353)</f>
        <v>-13.0766283536948</v>
      </c>
      <c r="BG353" s="0" t="n">
        <f aca="false">(180/Pi)*(D353+H353+BC353)</f>
        <v>-262.612770911569</v>
      </c>
      <c r="BH353" s="0" t="n">
        <f aca="false">IF(BG353&gt;180,BG353-180,BG353+180)</f>
        <v>-82.6127709115685</v>
      </c>
      <c r="BI353" s="0" t="n">
        <f aca="false">IF(BH353&gt;180,BH353-360,BH353)</f>
        <v>-82.6127709115685</v>
      </c>
      <c r="BJ353" s="0" t="n">
        <f aca="false">SUM((BF354&lt;0)*(BF353&gt;0))*A353</f>
        <v>0</v>
      </c>
      <c r="BK353" s="0" t="n">
        <f aca="false">IF(BJ353&gt;0,BI353,0)</f>
        <v>0</v>
      </c>
      <c r="BM353" s="0" t="n">
        <f aca="false">20*LOG(J353*F353*C353)</f>
        <v>-29.1667079430822</v>
      </c>
      <c r="BN353" s="0" t="n">
        <f aca="false">(H353+D353)*180/Pi</f>
        <v>-177.510175473732</v>
      </c>
      <c r="BQ353" s="347" t="n">
        <f aca="false">20*LOG(BA353*7)</f>
        <v>32.9920403896725</v>
      </c>
      <c r="BR353" s="353"/>
      <c r="BS353" s="353"/>
      <c r="BT353" s="353" t="n">
        <v>269153.48</v>
      </c>
      <c r="BU353" s="353" t="n">
        <v>15.0854</v>
      </c>
      <c r="BV353" s="353" t="n">
        <v>-173.353</v>
      </c>
      <c r="BY353" s="353"/>
      <c r="BZ353" s="353"/>
      <c r="CA353" s="353"/>
      <c r="CC353" s="353"/>
    </row>
    <row r="354" customFormat="false" ht="12.75" hidden="false" customHeight="false" outlineLevel="0" collapsed="false">
      <c r="A354" s="0" t="n">
        <f aca="false">A353+5000</f>
        <v>700000</v>
      </c>
      <c r="B354" s="0" t="n">
        <f aca="false">A354/1000</f>
        <v>700</v>
      </c>
      <c r="C354" s="0" t="n">
        <f aca="false">SQRT((A354/Fesr)^2+1)</f>
        <v>1.00000967216552</v>
      </c>
      <c r="D354" s="0" t="n">
        <f aca="false">ATAN(A354/Fesr)</f>
        <v>0.00439820134992153</v>
      </c>
      <c r="F354" s="0" t="n">
        <f aca="false">(Ro/(Ro+Rdcr))/SQRT((A354/(Q*Fo))^2+(1-(A354^2/Fo^2))^2)</f>
        <v>0.00381216885745274</v>
      </c>
      <c r="G354" s="0" t="n">
        <f aca="false">-ATAN(A354*Fo/(Q*(Fo^2-A354^2)))</f>
        <v>0.0388077726432507</v>
      </c>
      <c r="H354" s="0" t="n">
        <f aca="false">IF(G354&gt;0,G354-Pi,G354)</f>
        <v>-3.10278487735675</v>
      </c>
      <c r="J354" s="0" t="n">
        <f aca="false">Vin/Vramp</f>
        <v>9</v>
      </c>
      <c r="M354" s="0" t="n">
        <f aca="false">1/(2*Pi*_Rfb1*(Cc1ea_u+Cc2ea_u)*A354)</f>
        <v>0.00842089646951092</v>
      </c>
      <c r="N354" s="0" t="n">
        <f aca="false">-Pi/2</f>
        <v>-1.570796325</v>
      </c>
      <c r="O354" s="0" t="n">
        <f aca="false">SQRT(1+(A354/Fz1_u)^2)</f>
        <v>17.1295313814295</v>
      </c>
      <c r="P354" s="0" t="n">
        <f aca="false">ATAN2(Fz1_u,A354)</f>
        <v>1.51238440279223</v>
      </c>
      <c r="Q354" s="0" t="n">
        <f aca="false">SQRT(1+(A354/Fz2_u)^2)</f>
        <v>19404.0746745081</v>
      </c>
      <c r="R354" s="0" t="n">
        <f aca="false">ATAN2(Fz2_u,A354)</f>
        <v>1.57074479122738</v>
      </c>
      <c r="S354" s="0" t="n">
        <f aca="false">1/SQRT(1+(A354/Fp1_u)^2)</f>
        <v>0.0192776419062133</v>
      </c>
      <c r="T354" s="0" t="n">
        <f aca="false">-ATAN2(Fp1_u,A354)</f>
        <v>-1.55151749067206</v>
      </c>
      <c r="U354" s="0" t="n">
        <f aca="false">1/SQRT(1+(A354/Fp2_u)^2)</f>
        <v>0.465739669393205</v>
      </c>
      <c r="V354" s="0" t="n">
        <f aca="false">-ATAN2(Fp2_u,A354)</f>
        <v>-1.08632604075317</v>
      </c>
      <c r="X354" s="0" t="n">
        <f aca="false">20*LOG(C354*J354*O354*Q354*F354*M354*S354*U354)</f>
        <v>-1.2877454862631</v>
      </c>
      <c r="Y354" s="0" t="n">
        <f aca="false">(180/Pi)*(D354+H354+N354+P354+R354+T354+V354)</f>
        <v>-242.011490864113</v>
      </c>
      <c r="Z354" s="0" t="n">
        <f aca="false">Y354+180</f>
        <v>-62.0114908641133</v>
      </c>
      <c r="AC354" s="0" t="n">
        <v>1</v>
      </c>
      <c r="AD354" s="0" t="n">
        <f aca="false">Rcea1_u*Cc1ea_u*A354*2*Pi</f>
        <v>17.10031711248</v>
      </c>
      <c r="AE354" s="0" t="n">
        <f aca="false">-Rcea1_u*Cc1ea_u*Cc2ea_u*(A354*2*Pi)^2</f>
        <v>-0.0112816684161796</v>
      </c>
      <c r="AF354" s="0" t="n">
        <f aca="false">(Cc2ea_u+Cc1ea_u)*A354*2*Pi</f>
        <v>0.0059376101085</v>
      </c>
      <c r="AG354" s="0" t="n">
        <f aca="false">AC354*AE354/(AE354^2+AF354^2)+AD354*AF354/(AE354^2+AF354^2)</f>
        <v>555.298405495019</v>
      </c>
      <c r="AH354" s="0" t="n">
        <f aca="false">AD354*AE354/(AE354^2+AF354^2)-AC354*AF354/(AE354^2+AF354^2)</f>
        <v>-1223.50446561459</v>
      </c>
      <c r="AJ354" s="0" t="n">
        <f aca="false">_Rfb1</f>
        <v>20000</v>
      </c>
      <c r="AK354" s="0" t="n">
        <f aca="false">_Rfb1*Rcea2_u*Cc3ea_u*A354*2*Pi</f>
        <v>1037278.4948064</v>
      </c>
      <c r="AL354" s="0" t="n">
        <v>1</v>
      </c>
      <c r="AM354" s="0" t="n">
        <f aca="false">(_Rfb1+Rcea2_u)*Cc3ea_u*A354*2*Pi</f>
        <v>19404.0746487403</v>
      </c>
      <c r="AN354" s="0" t="n">
        <f aca="false">AJ354*AL354/(AL354^2+AM354^2)+AK354*AM354/(AL354^2+AM354^2)</f>
        <v>53.4567889239781</v>
      </c>
      <c r="AO354" s="0" t="n">
        <f aca="false">AK354*AL354/(AL354^2+AM354^2)-AJ354*AM354/(AL354^2+AM354^2)</f>
        <v>-1.02795642524344</v>
      </c>
      <c r="AQ354" s="0" t="n">
        <f aca="false">Eadcg/(1+(Eadcg*A354/GBP)^2)</f>
        <v>0.0232349297562221</v>
      </c>
      <c r="AR354" s="0" t="n">
        <f aca="false">-(A354*Eadcg*Eadcg/GBP)/(1+(Eadcg*A354/GBP)^2)</f>
        <v>-8.57136558707033</v>
      </c>
      <c r="AT354" s="0" t="n">
        <f aca="false">-AR354*AH354+AG354*AQ354</f>
        <v>-10474.2017527503</v>
      </c>
      <c r="AU354" s="0" t="n">
        <f aca="false">AQ354*AH354+AG354*AR354</f>
        <v>-4788.09368373001</v>
      </c>
      <c r="AV354" s="0" t="n">
        <f aca="false">ATAN2(AT354,AU354)</f>
        <v>-2.71282353646643</v>
      </c>
      <c r="AW354" s="0" t="n">
        <f aca="false">AG354-AH354*AO354/_Rfb2+AG354*AN354/_Rfb2+AN354-AO354*AR354+AQ354*AN354</f>
        <v>613.978310995331</v>
      </c>
      <c r="AX354" s="0" t="n">
        <f aca="false">AH354+AH354*AN354/_Rfb2+AG354*AO354/_Rfb2+AO354+AO354*AQ354+AN354*AR354</f>
        <v>-1712.44293665182</v>
      </c>
      <c r="AY354" s="0" t="n">
        <f aca="false">ATAN2(AW354,AX354)</f>
        <v>-1.22653434692579</v>
      </c>
      <c r="BA354" s="0" t="n">
        <f aca="false">SQRT(AT354^2+AU354^2)/SQRT(AW354^2+AX354^2)</f>
        <v>6.33070445906614</v>
      </c>
      <c r="BB354" s="0" t="n">
        <f aca="false">20*LOG(BA354)</f>
        <v>16.0290407901177</v>
      </c>
      <c r="BC354" s="0" t="n">
        <f aca="false">AV354-AY354</f>
        <v>-1.48628918954064</v>
      </c>
      <c r="BD354" s="0" t="n">
        <f aca="false">BC354*180/Pi-180</f>
        <v>-265.158097793905</v>
      </c>
      <c r="BF354" s="0" t="n">
        <f aca="false">20*LOG(BA354*J354*F354*C354)</f>
        <v>-13.2625824266599</v>
      </c>
      <c r="BG354" s="0" t="n">
        <f aca="false">(180/Pi)*(D354+H354+BC354)</f>
        <v>-262.682577831516</v>
      </c>
      <c r="BH354" s="0" t="n">
        <f aca="false">IF(BG354&gt;180,BG354-180,BG354+180)</f>
        <v>-82.682577831516</v>
      </c>
      <c r="BI354" s="0" t="n">
        <f aca="false">IF(BH354&gt;180,BH354-360,BH354)</f>
        <v>-82.682577831516</v>
      </c>
      <c r="BJ354" s="0" t="n">
        <f aca="false">SUM((BF355&lt;0)*(BF354&gt;0))*A354</f>
        <v>0</v>
      </c>
      <c r="BK354" s="0" t="n">
        <f aca="false">IF(BJ354&gt;0,BI354,0)</f>
        <v>0</v>
      </c>
      <c r="BM354" s="0" t="n">
        <f aca="false">20*LOG(J354*F354*C354)</f>
        <v>-29.2916232167776</v>
      </c>
      <c r="BN354" s="0" t="n">
        <f aca="false">(H354+D354)*180/Pi</f>
        <v>-177.524480037611</v>
      </c>
      <c r="BQ354" s="347" t="n">
        <f aca="false">20*LOG(BA354*7)</f>
        <v>32.9310015904028</v>
      </c>
      <c r="BR354" s="353"/>
      <c r="BS354" s="353"/>
      <c r="BT354" s="353" t="n">
        <v>275422.87</v>
      </c>
      <c r="BU354" s="353" t="n">
        <v>15.1145</v>
      </c>
      <c r="BV354" s="353" t="n">
        <v>-175.807</v>
      </c>
      <c r="BY354" s="353"/>
      <c r="BZ354" s="353"/>
      <c r="CA354" s="353"/>
      <c r="CC354" s="353"/>
    </row>
    <row r="355" customFormat="false" ht="12.75" hidden="false" customHeight="false" outlineLevel="0" collapsed="false">
      <c r="A355" s="0" t="n">
        <f aca="false">A354+5000</f>
        <v>705000</v>
      </c>
      <c r="B355" s="0" t="n">
        <f aca="false">A355/1000</f>
        <v>705</v>
      </c>
      <c r="C355" s="0" t="n">
        <f aca="false">SQRT((A355/Fesr)^2+1)</f>
        <v>1.00000981083211</v>
      </c>
      <c r="D355" s="0" t="n">
        <f aca="false">ATAN(A355/Fesr)</f>
        <v>0.00442961666435922</v>
      </c>
      <c r="F355" s="0" t="n">
        <f aca="false">(Ro/(Ro+Rdcr))/SQRT((A355/(Q*Fo))^2+(1-(A355^2/Fo^2))^2)</f>
        <v>0.00375812337379262</v>
      </c>
      <c r="G355" s="0" t="n">
        <f aca="false">-ATAN(A355*Fo/(Q*(Fo^2-A355^2)))</f>
        <v>0.038530722023503</v>
      </c>
      <c r="H355" s="0" t="n">
        <f aca="false">IF(G355&gt;0,G355-Pi,G355)</f>
        <v>-3.1030619279765</v>
      </c>
      <c r="J355" s="0" t="n">
        <f aca="false">Vin/Vramp</f>
        <v>9</v>
      </c>
      <c r="M355" s="0" t="n">
        <f aca="false">1/(2*Pi*_Rfb1*(Cc1ea_u+Cc2ea_u)*A355)</f>
        <v>0.00836117379951439</v>
      </c>
      <c r="N355" s="0" t="n">
        <f aca="false">-Pi/2</f>
        <v>-1.570796325</v>
      </c>
      <c r="O355" s="0" t="n">
        <f aca="false">SQRT(1+(A355/Fz1_u)^2)</f>
        <v>17.2514696598893</v>
      </c>
      <c r="P355" s="0" t="n">
        <f aca="false">ATAN2(Fz1_u,A355)</f>
        <v>1.51279774005594</v>
      </c>
      <c r="Q355" s="0" t="n">
        <f aca="false">SQRT(1+(A355/Fz2_u)^2)</f>
        <v>19542.6752075306</v>
      </c>
      <c r="R355" s="0" t="n">
        <f aca="false">ATAN2(Fz2_u,A355)</f>
        <v>1.57074515672786</v>
      </c>
      <c r="S355" s="0" t="n">
        <f aca="false">1/SQRT(1+(A355/Fp1_u)^2)</f>
        <v>0.0191409713118124</v>
      </c>
      <c r="T355" s="0" t="n">
        <f aca="false">-ATAN2(Fp1_u,A355)</f>
        <v>-1.55165418648909</v>
      </c>
      <c r="U355" s="0" t="n">
        <f aca="false">1/SQRT(1+(A355/Fp2_u)^2)</f>
        <v>0.46314707187764</v>
      </c>
      <c r="V355" s="0" t="n">
        <f aca="false">-ATAN2(Fp2_u,A355)</f>
        <v>-1.08925353730758</v>
      </c>
      <c r="X355" s="0" t="n">
        <f aca="false">20*LOG(C355*J355*O355*Q355*F355*M355*S355*U355)</f>
        <v>-1.46043875065143</v>
      </c>
      <c r="Y355" s="0" t="n">
        <f aca="false">(180/Pi)*(D355+H355+N355+P355+R355+T355+V355)</f>
        <v>-242.177426598735</v>
      </c>
      <c r="Z355" s="0" t="n">
        <f aca="false">Y355+180</f>
        <v>-62.1774265987354</v>
      </c>
      <c r="AC355" s="0" t="n">
        <v>1</v>
      </c>
      <c r="AD355" s="0" t="n">
        <f aca="false">Rcea1_u*Cc1ea_u*A355*2*Pi</f>
        <v>17.222462234712</v>
      </c>
      <c r="AE355" s="0" t="n">
        <f aca="false">-Rcea1_u*Cc1ea_u*Cc2ea_u*(A355*2*Pi)^2</f>
        <v>-0.0114434107031667</v>
      </c>
      <c r="AF355" s="0" t="n">
        <f aca="false">(Cc2ea_u+Cc1ea_u)*A355*2*Pi</f>
        <v>0.005980021609275</v>
      </c>
      <c r="AG355" s="0" t="n">
        <f aca="false">AC355*AE355/(AE355^2+AF355^2)+AD355*AF355/(AE355^2+AF355^2)</f>
        <v>549.133338083409</v>
      </c>
      <c r="AH355" s="0" t="n">
        <f aca="false">AD355*AE355/(AE355^2+AF355^2)-AC355*AF355/(AE355^2+AF355^2)</f>
        <v>-1218.04882898616</v>
      </c>
      <c r="AJ355" s="0" t="n">
        <f aca="false">_Rfb1</f>
        <v>20000</v>
      </c>
      <c r="AK355" s="0" t="n">
        <f aca="false">_Rfb1*Rcea2_u*Cc3ea_u*A355*2*Pi</f>
        <v>1044687.62691216</v>
      </c>
      <c r="AL355" s="0" t="n">
        <v>1</v>
      </c>
      <c r="AM355" s="0" t="n">
        <f aca="false">(_Rfb1+Rcea2_u)*Cc3ea_u*A355*2*Pi</f>
        <v>19542.6751819456</v>
      </c>
      <c r="AN355" s="0" t="n">
        <f aca="false">AJ355*AL355/(AL355^2+AM355^2)+AK355*AM355/(AL355^2+AM355^2)</f>
        <v>53.4567881752056</v>
      </c>
      <c r="AO355" s="0" t="n">
        <f aca="false">AK355*AL355/(AL355^2+AM355^2)-AJ355*AM355/(AL355^2+AM355^2)</f>
        <v>-1.02066595418074</v>
      </c>
      <c r="AQ355" s="0" t="n">
        <f aca="false">Eadcg/(1+(Eadcg*A355/GBP)^2)</f>
        <v>0.0229065273638249</v>
      </c>
      <c r="AR355" s="0" t="n">
        <f aca="false">-(A355*Eadcg*Eadcg/GBP)/(1+(Eadcg*A355/GBP)^2)</f>
        <v>-8.51057664411868</v>
      </c>
      <c r="AT355" s="0" t="n">
        <f aca="false">-AR355*AH355+AG355*AQ355</f>
        <v>-10353.7191775305</v>
      </c>
      <c r="AU355" s="0" t="n">
        <f aca="false">AQ355*AH355+AG355*AR355</f>
        <v>-4701.34263043124</v>
      </c>
      <c r="AV355" s="0" t="n">
        <f aca="false">ATAN2(AT355,AU355)</f>
        <v>-2.71535692087731</v>
      </c>
      <c r="AW355" s="0" t="n">
        <f aca="false">AG355-AH355*AO355/_Rfb2+AG355*AN355/_Rfb2+AN355-AO355*AR355+AQ355*AN355</f>
        <v>607.778437412251</v>
      </c>
      <c r="AX355" s="0" t="n">
        <f aca="false">AH355+AH355*AN355/_Rfb2+AG355*AO355/_Rfb2+AO355+AO355*AQ355+AN355*AR355</f>
        <v>-1703.59402473975</v>
      </c>
      <c r="AY355" s="0" t="n">
        <f aca="false">ATAN2(AW355,AX355)</f>
        <v>-1.22810977077774</v>
      </c>
      <c r="BA355" s="0" t="n">
        <f aca="false">SQRT(AT355^2+AU355^2)/SQRT(AW355^2+AX355^2)</f>
        <v>6.28667372447054</v>
      </c>
      <c r="BB355" s="0" t="n">
        <f aca="false">20*LOG(BA355)</f>
        <v>15.9684184249486</v>
      </c>
      <c r="BC355" s="0" t="n">
        <f aca="false">AV355-AY355</f>
        <v>-1.48724715009956</v>
      </c>
      <c r="BD355" s="0" t="n">
        <f aca="false">BC355*180/Pi-180</f>
        <v>-265.212984890935</v>
      </c>
      <c r="BF355" s="0" t="n">
        <f aca="false">20*LOG(BA355*J355*F355*C355)</f>
        <v>-13.4472255056259</v>
      </c>
      <c r="BG355" s="0" t="n">
        <f aca="false">(180/Pi)*(D355+H355+BC355)</f>
        <v>-262.751538794855</v>
      </c>
      <c r="BH355" s="0" t="n">
        <f aca="false">IF(BG355&gt;180,BG355-180,BG355+180)</f>
        <v>-82.7515387948548</v>
      </c>
      <c r="BI355" s="0" t="n">
        <f aca="false">IF(BH355&gt;180,BH355-360,BH355)</f>
        <v>-82.7515387948548</v>
      </c>
      <c r="BJ355" s="0" t="n">
        <f aca="false">SUM((BF356&lt;0)*(BF355&gt;0))*A355</f>
        <v>0</v>
      </c>
      <c r="BK355" s="0" t="n">
        <f aca="false">IF(BJ355&gt;0,BI355,0)</f>
        <v>0</v>
      </c>
      <c r="BM355" s="0" t="n">
        <f aca="false">20*LOG(J355*F355*C355)</f>
        <v>-29.4156439305745</v>
      </c>
      <c r="BN355" s="0" t="n">
        <f aca="false">(H355+D355)*180/Pi</f>
        <v>-177.53855390392</v>
      </c>
      <c r="BQ355" s="347" t="n">
        <f aca="false">20*LOG(BA355*7)</f>
        <v>32.8703792252337</v>
      </c>
      <c r="BR355" s="353"/>
      <c r="BS355" s="353"/>
      <c r="BT355" s="353" t="n">
        <v>281838.293</v>
      </c>
      <c r="BU355" s="353" t="n">
        <v>15.1486</v>
      </c>
      <c r="BV355" s="353" t="n">
        <v>-177.724</v>
      </c>
      <c r="BY355" s="353"/>
      <c r="BZ355" s="353"/>
      <c r="CA355" s="353"/>
      <c r="CC355" s="353"/>
    </row>
    <row r="356" customFormat="false" ht="12.75" hidden="false" customHeight="false" outlineLevel="0" collapsed="false">
      <c r="A356" s="0" t="n">
        <f aca="false">A355+5000</f>
        <v>710000</v>
      </c>
      <c r="B356" s="0" t="n">
        <f aca="false">A356/1000</f>
        <v>710</v>
      </c>
      <c r="C356" s="0" t="n">
        <f aca="false">SQRT((A356/Fesr)^2+1)</f>
        <v>1.00000995048563</v>
      </c>
      <c r="D356" s="0" t="n">
        <f aca="false">ATAN(A356/Fesr)</f>
        <v>0.00446103197005348</v>
      </c>
      <c r="F356" s="0" t="n">
        <f aca="false">(Ro/(Ro+Rdcr))/SQRT((A356/(Q*Fo))^2+(1-(A356^2/Fo^2))^2)</f>
        <v>0.00370522023347448</v>
      </c>
      <c r="G356" s="0" t="n">
        <f aca="false">-ATAN(A356*Fo/(Q*(Fo^2-A356^2)))</f>
        <v>0.038257611672031</v>
      </c>
      <c r="H356" s="0" t="n">
        <f aca="false">IF(G356&gt;0,G356-Pi,G356)</f>
        <v>-3.10333503832797</v>
      </c>
      <c r="J356" s="0" t="n">
        <f aca="false">Vin/Vramp</f>
        <v>9</v>
      </c>
      <c r="M356" s="0" t="n">
        <f aca="false">1/(2*Pi*_Rfb1*(Cc1ea_u+Cc2ea_u)*A356)</f>
        <v>0.00830229229388401</v>
      </c>
      <c r="N356" s="0" t="n">
        <f aca="false">-Pi/2</f>
        <v>-1.570796325</v>
      </c>
      <c r="O356" s="0" t="n">
        <f aca="false">SQRT(1+(A356/Fz1_u)^2)</f>
        <v>17.3734108443494</v>
      </c>
      <c r="P356" s="0" t="n">
        <f aca="false">ATAN2(Fz1_u,A356)</f>
        <v>1.51320527509254</v>
      </c>
      <c r="Q356" s="0" t="n">
        <f aca="false">SQRT(1+(A356/Fz2_u)^2)</f>
        <v>19681.2757405558</v>
      </c>
      <c r="R356" s="0" t="n">
        <f aca="false">ATAN2(Fz2_u,A356)</f>
        <v>1.57074551708044</v>
      </c>
      <c r="S356" s="0" t="n">
        <f aca="false">1/SQRT(1+(A356/Fp1_u)^2)</f>
        <v>0.0190062246048925</v>
      </c>
      <c r="T356" s="0" t="n">
        <f aca="false">-ATAN2(Fp1_u,A356)</f>
        <v>-1.55178895771338</v>
      </c>
      <c r="U356" s="0" t="n">
        <f aca="false">1/SQRT(1+(A356/Fp2_u)^2)</f>
        <v>0.460579296664213</v>
      </c>
      <c r="V356" s="0" t="n">
        <f aca="false">-ATAN2(Fp2_u,A356)</f>
        <v>-1.09214859725239</v>
      </c>
      <c r="X356" s="0" t="n">
        <f aca="false">20*LOG(C356*J356*O356*Q356*F356*M356*S356*U356)</f>
        <v>-1.63205035081394</v>
      </c>
      <c r="Y356" s="0" t="n">
        <f aca="false">(180/Pi)*(D356+H356+N356+P356+R356+T356+V356)</f>
        <v>-242.341500559319</v>
      </c>
      <c r="Z356" s="0" t="n">
        <f aca="false">Y356+180</f>
        <v>-62.3415005593187</v>
      </c>
      <c r="AC356" s="0" t="n">
        <v>1</v>
      </c>
      <c r="AD356" s="0" t="n">
        <f aca="false">Rcea1_u*Cc1ea_u*A356*2*Pi</f>
        <v>17.344607356944</v>
      </c>
      <c r="AE356" s="0" t="n">
        <f aca="false">-Rcea1_u*Cc1ea_u*Cc2ea_u*(A356*2*Pi)^2</f>
        <v>-0.0116063041808085</v>
      </c>
      <c r="AF356" s="0" t="n">
        <f aca="false">(Cc2ea_u+Cc1ea_u)*A356*2*Pi</f>
        <v>0.00602243311005</v>
      </c>
      <c r="AG356" s="0" t="n">
        <f aca="false">AC356*AE356/(AE356^2+AF356^2)+AD356*AF356/(AE356^2+AF356^2)</f>
        <v>543.061218600195</v>
      </c>
      <c r="AH356" s="0" t="n">
        <f aca="false">AD356*AE356/(AE356^2+AF356^2)-AC356*AF356/(AE356^2+AF356^2)</f>
        <v>-1212.62180225589</v>
      </c>
      <c r="AJ356" s="0" t="n">
        <f aca="false">_Rfb1</f>
        <v>20000</v>
      </c>
      <c r="AK356" s="0" t="n">
        <f aca="false">_Rfb1*Rcea2_u*Cc3ea_u*A356*2*Pi</f>
        <v>1052096.75901792</v>
      </c>
      <c r="AL356" s="0" t="n">
        <v>1</v>
      </c>
      <c r="AM356" s="0" t="n">
        <f aca="false">(_Rfb1+Rcea2_u)*Cc3ea_u*A356*2*Pi</f>
        <v>19681.2757151509</v>
      </c>
      <c r="AN356" s="0" t="n">
        <f aca="false">AJ356*AL356/(AL356^2+AM356^2)+AK356*AM356/(AL356^2+AM356^2)</f>
        <v>53.4567874421965</v>
      </c>
      <c r="AO356" s="0" t="n">
        <f aca="false">AK356*AL356/(AL356^2+AM356^2)-AJ356*AM356/(AL356^2+AM356^2)</f>
        <v>-1.01347816580826</v>
      </c>
      <c r="AQ356" s="0" t="n">
        <f aca="false">Eadcg/(1+(Eadcg*A356/GBP)^2)</f>
        <v>0.0225850385252294</v>
      </c>
      <c r="AR356" s="0" t="n">
        <f aca="false">-(A356*Eadcg*Eadcg/GBP)/(1+(Eadcg*A356/GBP)^2)</f>
        <v>-8.4506438649851</v>
      </c>
      <c r="AT356" s="0" t="n">
        <f aca="false">-AR356*AH356+AG356*AQ356</f>
        <v>-10235.1699352373</v>
      </c>
      <c r="AU356" s="0" t="n">
        <f aca="false">AQ356*AH356+AG356*AR356</f>
        <v>-4616.60406539555</v>
      </c>
      <c r="AV356" s="0" t="n">
        <f aca="false">ATAN2(AT356,AU356)</f>
        <v>-2.71786340013131</v>
      </c>
      <c r="AW356" s="0" t="n">
        <f aca="false">AG356-AH356*AO356/_Rfb2+AG356*AN356/_Rfb2+AN356-AO356*AR356+AQ356*AN356</f>
        <v>601.671390686903</v>
      </c>
      <c r="AX356" s="0" t="n">
        <f aca="false">AH356+AH356*AN356/_Rfb2+AG356*AO356/_Rfb2+AO356+AO356*AQ356+AN356*AR356</f>
        <v>-1694.82040368375</v>
      </c>
      <c r="AY356" s="0" t="n">
        <f aca="false">ATAN2(AW356,AX356)</f>
        <v>-1.22966881016635</v>
      </c>
      <c r="BA356" s="0" t="n">
        <f aca="false">SQRT(AT356^2+AU356^2)/SQRT(AW356^2+AX356^2)</f>
        <v>6.24324456526532</v>
      </c>
      <c r="BB356" s="0" t="n">
        <f aca="false">20*LOG(BA356)</f>
        <v>15.9082069557612</v>
      </c>
      <c r="BC356" s="0" t="n">
        <f aca="false">AV356-AY356</f>
        <v>-1.48819458996496</v>
      </c>
      <c r="BD356" s="0" t="n">
        <f aca="false">BC356*180/Pi-180</f>
        <v>-265.267269196627</v>
      </c>
      <c r="BF356" s="0" t="n">
        <f aca="false">20*LOG(BA356*J356*F356*C356)</f>
        <v>-13.6305758874215</v>
      </c>
      <c r="BG356" s="0" t="n">
        <f aca="false">(180/Pi)*(D356+H356+BC356)</f>
        <v>-262.819671206615</v>
      </c>
      <c r="BH356" s="0" t="n">
        <f aca="false">IF(BG356&gt;180,BG356-180,BG356+180)</f>
        <v>-82.819671206615</v>
      </c>
      <c r="BI356" s="0" t="n">
        <f aca="false">IF(BH356&gt;180,BH356-360,BH356)</f>
        <v>-82.819671206615</v>
      </c>
      <c r="BJ356" s="0" t="n">
        <f aca="false">SUM((BF357&lt;0)*(BF356&gt;0))*A356</f>
        <v>0</v>
      </c>
      <c r="BK356" s="0" t="n">
        <f aca="false">IF(BJ356&gt;0,BI356,0)</f>
        <v>0</v>
      </c>
      <c r="BM356" s="0" t="n">
        <f aca="false">20*LOG(J356*F356*C356)</f>
        <v>-29.5387828431827</v>
      </c>
      <c r="BN356" s="0" t="n">
        <f aca="false">(H356+D356)*180/Pi</f>
        <v>-177.552402009988</v>
      </c>
      <c r="BQ356" s="347" t="n">
        <f aca="false">20*LOG(BA356*7)</f>
        <v>32.8101677560464</v>
      </c>
      <c r="BR356" s="353"/>
      <c r="BS356" s="353"/>
      <c r="BT356" s="353" t="n">
        <v>288403.15</v>
      </c>
      <c r="BU356" s="353" t="n">
        <v>14.961</v>
      </c>
      <c r="BV356" s="353" t="n">
        <v>-178.921</v>
      </c>
      <c r="BY356" s="353"/>
      <c r="BZ356" s="353"/>
      <c r="CA356" s="353"/>
      <c r="CC356" s="353"/>
    </row>
    <row r="357" customFormat="false" ht="12.75" hidden="false" customHeight="false" outlineLevel="0" collapsed="false">
      <c r="A357" s="0" t="n">
        <f aca="false">A356+5000</f>
        <v>715000</v>
      </c>
      <c r="B357" s="0" t="n">
        <f aca="false">A357/1000</f>
        <v>715</v>
      </c>
      <c r="C357" s="0" t="n">
        <f aca="false">SQRT((A357/Fesr)^2+1)</f>
        <v>1.00001009112608</v>
      </c>
      <c r="D357" s="0" t="n">
        <f aca="false">ATAN(A357/Fesr)</f>
        <v>0.00449244726694231</v>
      </c>
      <c r="F357" s="0" t="n">
        <f aca="false">(Ro/(Ro+Rdcr))/SQRT((A357/(Q*Fo))^2+(1-(A357^2/Fo^2))^2)</f>
        <v>0.00365342743711353</v>
      </c>
      <c r="G357" s="0" t="n">
        <f aca="false">-ATAN(A357*Fo/(Q*(Fo^2-A357^2)))</f>
        <v>0.0379883578652099</v>
      </c>
      <c r="H357" s="0" t="n">
        <f aca="false">IF(G357&gt;0,G357-Pi,G357)</f>
        <v>-3.10360429213479</v>
      </c>
      <c r="J357" s="0" t="n">
        <f aca="false">Vin/Vramp</f>
        <v>9</v>
      </c>
      <c r="M357" s="0" t="n">
        <f aca="false">1/(2*Pi*_Rfb1*(Cc1ea_u+Cc2ea_u)*A357)</f>
        <v>0.00824423430581489</v>
      </c>
      <c r="N357" s="0" t="n">
        <f aca="false">-Pi/2</f>
        <v>-1.570796325</v>
      </c>
      <c r="O357" s="0" t="n">
        <f aca="false">SQRT(1+(A357/Fz1_u)^2)</f>
        <v>17.4953548740459</v>
      </c>
      <c r="P357" s="0" t="n">
        <f aca="false">ATAN2(Fz1_u,A357)</f>
        <v>1.51360712909118</v>
      </c>
      <c r="Q357" s="0" t="n">
        <f aca="false">SQRT(1+(A357/Fz2_u)^2)</f>
        <v>19819.8762735834</v>
      </c>
      <c r="R357" s="0" t="n">
        <f aca="false">ATAN2(Fz2_u,A357)</f>
        <v>1.57074587239313</v>
      </c>
      <c r="S357" s="0" t="n">
        <f aca="false">1/SQRT(1+(A357/Fp1_u)^2)</f>
        <v>0.0188733614532408</v>
      </c>
      <c r="T357" s="0" t="n">
        <f aca="false">-ATAN2(Fp1_u,A357)</f>
        <v>-1.55192184470159</v>
      </c>
      <c r="U357" s="0" t="n">
        <f aca="false">1/SQRT(1+(A357/Fp2_u)^2)</f>
        <v>0.458036061244066</v>
      </c>
      <c r="V357" s="0" t="n">
        <f aca="false">-ATAN2(Fp2_u,A357)</f>
        <v>-1.09501170898093</v>
      </c>
      <c r="X357" s="0" t="n">
        <f aca="false">20*LOG(C357*J357*O357*Q357*F357*M357*S357*U357)</f>
        <v>-1.80259343908662</v>
      </c>
      <c r="Y357" s="0" t="n">
        <f aca="false">(180/Pi)*(D357+H357+N357+P357+R357+T357+V357)</f>
        <v>-242.503740888205</v>
      </c>
      <c r="Z357" s="0" t="n">
        <f aca="false">Y357+180</f>
        <v>-62.5037408882054</v>
      </c>
      <c r="AC357" s="0" t="n">
        <v>1</v>
      </c>
      <c r="AD357" s="0" t="n">
        <f aca="false">Rcea1_u*Cc1ea_u*A357*2*Pi</f>
        <v>17.466752479176</v>
      </c>
      <c r="AE357" s="0" t="n">
        <f aca="false">-Rcea1_u*Cc1ea_u*Cc2ea_u*(A357*2*Pi)^2</f>
        <v>-0.011770348849105</v>
      </c>
      <c r="AF357" s="0" t="n">
        <f aca="false">(Cc2ea_u+Cc1ea_u)*A357*2*Pi</f>
        <v>0.006064844610825</v>
      </c>
      <c r="AG357" s="0" t="n">
        <f aca="false">AC357*AE357/(AE357^2+AF357^2)+AD357*AF357/(AE357^2+AF357^2)</f>
        <v>537.080405503944</v>
      </c>
      <c r="AH357" s="0" t="n">
        <f aca="false">AD357*AE357/(AE357^2+AF357^2)-AC357*AF357/(AE357^2+AF357^2)</f>
        <v>-1207.22363104439</v>
      </c>
      <c r="AJ357" s="0" t="n">
        <f aca="false">_Rfb1</f>
        <v>20000</v>
      </c>
      <c r="AK357" s="0" t="n">
        <f aca="false">_Rfb1*Rcea2_u*Cc3ea_u*A357*2*Pi</f>
        <v>1059505.89112368</v>
      </c>
      <c r="AL357" s="0" t="n">
        <v>1</v>
      </c>
      <c r="AM357" s="0" t="n">
        <f aca="false">(_Rfb1+Rcea2_u)*Cc3ea_u*A357*2*Pi</f>
        <v>19819.8762483562</v>
      </c>
      <c r="AN357" s="0" t="n">
        <f aca="false">AJ357*AL357/(AL357^2+AM357^2)+AK357*AM357/(AL357^2+AM357^2)</f>
        <v>53.4567867245114</v>
      </c>
      <c r="AO357" s="0" t="n">
        <f aca="false">AK357*AL357/(AL357^2+AM357^2)-AJ357*AM357/(AL357^2+AM357^2)</f>
        <v>-1.00639090594371</v>
      </c>
      <c r="AQ357" s="0" t="n">
        <f aca="false">Eadcg/(1+(Eadcg*A357/GBP)^2)</f>
        <v>0.0222702705343673</v>
      </c>
      <c r="AR357" s="0" t="n">
        <f aca="false">-(A357*Eadcg*Eadcg/GBP)/(1+(Eadcg*A357/GBP)^2)</f>
        <v>-8.39154928870229</v>
      </c>
      <c r="AT357" s="0" t="n">
        <f aca="false">-AR357*AH357+AG357*AQ357</f>
        <v>-10118.5156764659</v>
      </c>
      <c r="AU357" s="0" t="n">
        <f aca="false">AQ357*AH357+AG357*AR357</f>
        <v>-4533.82189164139</v>
      </c>
      <c r="AV357" s="0" t="n">
        <f aca="false">ATAN2(AT357,AU357)</f>
        <v>-2.72034334711314</v>
      </c>
      <c r="AW357" s="0" t="n">
        <f aca="false">AG357-AH357*AO357/_Rfb2+AG357*AN357/_Rfb2+AN357-AO357*AR357+AQ357*AN357</f>
        <v>595.655554653026</v>
      </c>
      <c r="AX357" s="0" t="n">
        <f aca="false">AH357+AH357*AN357/_Rfb2+AG357*AO357/_Rfb2+AO357+AO357*AQ357+AN357*AR357</f>
        <v>-1686.12135921668</v>
      </c>
      <c r="AY357" s="0" t="n">
        <f aca="false">ATAN2(AW357,AX357)</f>
        <v>-1.23121162615142</v>
      </c>
      <c r="BA357" s="0" t="n">
        <f aca="false">SQRT(AT357^2+AU357^2)/SQRT(AW357^2+AX357^2)</f>
        <v>6.20040485402503</v>
      </c>
      <c r="BB357" s="0" t="n">
        <f aca="false">20*LOG(BA357)</f>
        <v>15.8484009516705</v>
      </c>
      <c r="BC357" s="0" t="n">
        <f aca="false">AV357-AY357</f>
        <v>-1.48913172096172</v>
      </c>
      <c r="BD357" s="0" t="n">
        <f aca="false">BC357*180/Pi-180</f>
        <v>-265.320962847653</v>
      </c>
      <c r="BF357" s="0" t="n">
        <f aca="false">20*LOG(BA357*J357*F357*C357)</f>
        <v>-13.8126514898392</v>
      </c>
      <c r="BG357" s="0" t="n">
        <f aca="false">(180/Pi)*(D357+H357+BC357)</f>
        <v>-262.886992000482</v>
      </c>
      <c r="BH357" s="0" t="n">
        <f aca="false">IF(BG357&gt;180,BG357-180,BG357+180)</f>
        <v>-82.8869920004816</v>
      </c>
      <c r="BI357" s="0" t="n">
        <f aca="false">IF(BH357&gt;180,BH357-360,BH357)</f>
        <v>-82.8869920004816</v>
      </c>
      <c r="BJ357" s="0" t="n">
        <f aca="false">SUM((BF358&lt;0)*(BF357&gt;0))*A357</f>
        <v>0</v>
      </c>
      <c r="BK357" s="0" t="n">
        <f aca="false">IF(BJ357&gt;0,BI357,0)</f>
        <v>0</v>
      </c>
      <c r="BM357" s="0" t="n">
        <f aca="false">20*LOG(J357*F357*C357)</f>
        <v>-29.6610524415096</v>
      </c>
      <c r="BN357" s="0" t="n">
        <f aca="false">(H357+D357)*180/Pi</f>
        <v>-177.566029152829</v>
      </c>
      <c r="BQ357" s="347" t="n">
        <f aca="false">20*LOG(BA357*7)</f>
        <v>32.7503617519556</v>
      </c>
      <c r="BR357" s="353"/>
      <c r="BS357" s="353"/>
      <c r="BT357" s="353" t="n">
        <v>295120.923</v>
      </c>
      <c r="BU357" s="353" t="n">
        <v>14.9462</v>
      </c>
      <c r="BV357" s="353" t="n">
        <v>-181.99</v>
      </c>
      <c r="BW357" s="349"/>
      <c r="BY357" s="353"/>
      <c r="BZ357" s="353"/>
      <c r="CA357" s="353"/>
      <c r="CC357" s="353"/>
    </row>
    <row r="358" customFormat="false" ht="12.75" hidden="false" customHeight="false" outlineLevel="0" collapsed="false">
      <c r="A358" s="0" t="n">
        <f aca="false">A357+5000</f>
        <v>720000</v>
      </c>
      <c r="B358" s="0" t="n">
        <f aca="false">A358/1000</f>
        <v>720</v>
      </c>
      <c r="C358" s="0" t="n">
        <f aca="false">SQRT((A358/Fesr)^2+1)</f>
        <v>1.00001023275347</v>
      </c>
      <c r="D358" s="0" t="n">
        <f aca="false">ATAN(A358/Fesr)</f>
        <v>0.0045238625549637</v>
      </c>
      <c r="F358" s="0" t="n">
        <f aca="false">(Ro/(Ro+Rdcr))/SQRT((A358/(Q*Fo))^2+(1-(A358^2/Fo^2))^2)</f>
        <v>0.00360271409904299</v>
      </c>
      <c r="G358" s="0" t="n">
        <f aca="false">-ATAN(A358*Fo/(Q*(Fo^2-A358^2)))</f>
        <v>0.037722879241712</v>
      </c>
      <c r="H358" s="0" t="n">
        <f aca="false">IF(G358&gt;0,G358-Pi,G358)</f>
        <v>-3.10386977075829</v>
      </c>
      <c r="J358" s="0" t="n">
        <f aca="false">Vin/Vramp</f>
        <v>9</v>
      </c>
      <c r="M358" s="0" t="n">
        <f aca="false">1/(2*Pi*_Rfb1*(Cc1ea_u+Cc2ea_u)*A358)</f>
        <v>0.00818698267869117</v>
      </c>
      <c r="N358" s="0" t="n">
        <f aca="false">-Pi/2</f>
        <v>-1.570796325</v>
      </c>
      <c r="O358" s="0" t="n">
        <f aca="false">SQRT(1+(A358/Fz1_u)^2)</f>
        <v>17.6173016898961</v>
      </c>
      <c r="P358" s="0" t="n">
        <f aca="false">ATAN2(Fz1_u,A358)</f>
        <v>1.51400341989301</v>
      </c>
      <c r="Q358" s="0" t="n">
        <f aca="false">SQRT(1+(A358/Fz2_u)^2)</f>
        <v>19958.4768066135</v>
      </c>
      <c r="R358" s="0" t="n">
        <f aca="false">ATAN2(Fz2_u,A358)</f>
        <v>1.57074622277092</v>
      </c>
      <c r="S358" s="0" t="n">
        <f aca="false">1/SQRT(1+(A358/Fp1_u)^2)</f>
        <v>0.0187423426439855</v>
      </c>
      <c r="T358" s="0" t="n">
        <f aca="false">-ATAN2(Fp1_u,A358)</f>
        <v>-1.55205288669008</v>
      </c>
      <c r="U358" s="0" t="n">
        <f aca="false">1/SQRT(1+(A358/Fp2_u)^2)</f>
        <v>0.455517085406031</v>
      </c>
      <c r="V358" s="0" t="n">
        <f aca="false">-ATAN2(Fp2_u,A358)</f>
        <v>-1.09784335226206</v>
      </c>
      <c r="X358" s="0" t="n">
        <f aca="false">20*LOG(C358*J358*O358*Q358*F358*M358*S358*U358)</f>
        <v>-1.97208092676787</v>
      </c>
      <c r="Y358" s="0" t="n">
        <f aca="false">(180/Pi)*(D358+H358+N358+P358+R358+T358+V358)</f>
        <v>-242.664175226051</v>
      </c>
      <c r="Z358" s="0" t="n">
        <f aca="false">Y358+180</f>
        <v>-62.6641752260514</v>
      </c>
      <c r="AC358" s="0" t="n">
        <v>1</v>
      </c>
      <c r="AD358" s="0" t="n">
        <f aca="false">Rcea1_u*Cc1ea_u*A358*2*Pi</f>
        <v>17.588897601408</v>
      </c>
      <c r="AE358" s="0" t="n">
        <f aca="false">-Rcea1_u*Cc1ea_u*Cc2ea_u*(A358*2*Pi)^2</f>
        <v>-0.0119355447080562</v>
      </c>
      <c r="AF358" s="0" t="n">
        <f aca="false">(Cc2ea_u+Cc1ea_u)*A358*2*Pi</f>
        <v>0.0061072561116</v>
      </c>
      <c r="AG358" s="0" t="n">
        <f aca="false">AC358*AE358/(AE358^2+AF358^2)+AD358*AF358/(AE358^2+AF358^2)</f>
        <v>531.189286647822</v>
      </c>
      <c r="AH358" s="0" t="n">
        <f aca="false">AD358*AE358/(AE358^2+AF358^2)-AC358*AF358/(AE358^2+AF358^2)</f>
        <v>-1201.85453910866</v>
      </c>
      <c r="AJ358" s="0" t="n">
        <f aca="false">_Rfb1</f>
        <v>20000</v>
      </c>
      <c r="AK358" s="0" t="n">
        <f aca="false">_Rfb1*Rcea2_u*Cc3ea_u*A358*2*Pi</f>
        <v>1066915.02322944</v>
      </c>
      <c r="AL358" s="0" t="n">
        <v>1</v>
      </c>
      <c r="AM358" s="0" t="n">
        <f aca="false">(_Rfb1+Rcea2_u)*Cc3ea_u*A358*2*Pi</f>
        <v>19958.4767815615</v>
      </c>
      <c r="AN358" s="0" t="n">
        <f aca="false">AJ358*AL358/(AL358^2+AM358^2)+AK358*AM358/(AL358^2+AM358^2)</f>
        <v>53.4567860217261</v>
      </c>
      <c r="AO358" s="0" t="n">
        <f aca="false">AK358*AL358/(AL358^2+AM358^2)-AJ358*AM358/(AL358^2+AM358^2)</f>
        <v>-0.999402080243207</v>
      </c>
      <c r="AQ358" s="0" t="n">
        <f aca="false">Eadcg/(1+(Eadcg*A358/GBP)^2)</f>
        <v>0.0219620373529442</v>
      </c>
      <c r="AR358" s="0" t="n">
        <f aca="false">-(A358*Eadcg*Eadcg/GBP)/(1+(Eadcg*A358/GBP)^2)</f>
        <v>-8.33327545320116</v>
      </c>
      <c r="AT358" s="0" t="n">
        <f aca="false">-AR358*AH358+AG358*AQ358</f>
        <v>-10003.7189301177</v>
      </c>
      <c r="AU358" s="0" t="n">
        <f aca="false">AQ358*AH358+AG358*AR358</f>
        <v>-4452.94181770644</v>
      </c>
      <c r="AV358" s="0" t="n">
        <f aca="false">ATAN2(AT358,AU358)</f>
        <v>-2.72279712927323</v>
      </c>
      <c r="AW358" s="0" t="n">
        <f aca="false">AG358-AH358*AO358/_Rfb2+AG358*AN358/_Rfb2+AN358-AO358*AR358+AQ358*AN358</f>
        <v>589.729341025831</v>
      </c>
      <c r="AX358" s="0" t="n">
        <f aca="false">AH358+AH358*AN358/_Rfb2+AG358*AO358/_Rfb2+AO358+AO358*AQ358+AN358*AR358</f>
        <v>-1677.4961815286</v>
      </c>
      <c r="AY358" s="0" t="n">
        <f aca="false">ATAN2(AW358,AX358)</f>
        <v>-1.23273837994786</v>
      </c>
      <c r="BA358" s="0" t="n">
        <f aca="false">SQRT(AT358^2+AU358^2)/SQRT(AW358^2+AX358^2)</f>
        <v>6.15814278385151</v>
      </c>
      <c r="BB358" s="0" t="n">
        <f aca="false">20*LOG(BA358)</f>
        <v>15.7889950863417</v>
      </c>
      <c r="BC358" s="0" t="n">
        <f aca="false">AV358-AY358</f>
        <v>-1.49005874932536</v>
      </c>
      <c r="BD358" s="0" t="n">
        <f aca="false">BC358*180/Pi-180</f>
        <v>-265.374077660439</v>
      </c>
      <c r="BF358" s="0" t="n">
        <f aca="false">20*LOG(BA358*J358*F358*C358)</f>
        <v>-13.9934698620057</v>
      </c>
      <c r="BG358" s="0" t="n">
        <f aca="false">(180/Pi)*(D358+H358+BC358)</f>
        <v>-262.953517654545</v>
      </c>
      <c r="BH358" s="0" t="n">
        <f aca="false">IF(BG358&gt;180,BG358-180,BG358+180)</f>
        <v>-82.9535176545451</v>
      </c>
      <c r="BI358" s="0" t="n">
        <f aca="false">IF(BH358&gt;180,BH358-360,BH358)</f>
        <v>-82.9535176545451</v>
      </c>
      <c r="BJ358" s="0" t="n">
        <f aca="false">SUM((BF359&lt;0)*(BF358&gt;0))*A358</f>
        <v>0</v>
      </c>
      <c r="BK358" s="0" t="n">
        <f aca="false">IF(BJ358&gt;0,BI358,0)</f>
        <v>0</v>
      </c>
      <c r="BM358" s="0" t="n">
        <f aca="false">20*LOG(J358*F358*C358)</f>
        <v>-29.7824649483474</v>
      </c>
      <c r="BN358" s="0" t="n">
        <f aca="false">(H358+D358)*180/Pi</f>
        <v>-177.579439994106</v>
      </c>
      <c r="BQ358" s="347" t="n">
        <f aca="false">20*LOG(BA358*7)</f>
        <v>32.6909558866268</v>
      </c>
      <c r="BR358" s="353"/>
      <c r="BS358" s="353"/>
      <c r="BT358" s="353" t="n">
        <v>301995.172</v>
      </c>
      <c r="BU358" s="353" t="n">
        <v>15.1762</v>
      </c>
      <c r="BV358" s="353" t="n">
        <v>-183.361</v>
      </c>
      <c r="BW358" s="349"/>
      <c r="BY358" s="353"/>
      <c r="BZ358" s="353"/>
      <c r="CA358" s="353"/>
      <c r="CC358" s="353"/>
    </row>
    <row r="359" customFormat="false" ht="12.75" hidden="false" customHeight="false" outlineLevel="0" collapsed="false">
      <c r="A359" s="0" t="n">
        <f aca="false">A358+5000</f>
        <v>725000</v>
      </c>
      <c r="B359" s="0" t="n">
        <f aca="false">A359/1000</f>
        <v>725</v>
      </c>
      <c r="C359" s="0" t="n">
        <f aca="false">SQRT((A359/Fesr)^2+1)</f>
        <v>1.00001037536778</v>
      </c>
      <c r="D359" s="0" t="n">
        <f aca="false">ATAN(A359/Fesr)</f>
        <v>0.00455527783405566</v>
      </c>
      <c r="F359" s="0" t="n">
        <f aca="false">(Ro/(Ro+Rdcr))/SQRT((A359/(Q*Fo))^2+(1-(A359^2/Fo^2))^2)</f>
        <v>0.00355305040107831</v>
      </c>
      <c r="G359" s="0" t="n">
        <f aca="false">-ATAN(A359*Fo/(Q*(Fo^2-A359^2)))</f>
        <v>0.0374610967195384</v>
      </c>
      <c r="H359" s="0" t="n">
        <f aca="false">IF(G359&gt;0,G359-Pi,G359)</f>
        <v>-3.10413155328046</v>
      </c>
      <c r="J359" s="0" t="n">
        <f aca="false">Vin/Vramp</f>
        <v>9</v>
      </c>
      <c r="M359" s="0" t="n">
        <f aca="false">1/(2*Pi*_Rfb1*(Cc1ea_u+Cc2ea_u)*A359)</f>
        <v>0.00813052072918296</v>
      </c>
      <c r="N359" s="0" t="n">
        <f aca="false">-Pi/2</f>
        <v>-1.570796325</v>
      </c>
      <c r="O359" s="0" t="n">
        <f aca="false">SQRT(1+(A359/Fz1_u)^2)</f>
        <v>17.7392512344406</v>
      </c>
      <c r="P359" s="0" t="n">
        <f aca="false">ATAN2(Fz1_u,A359)</f>
        <v>1.51439426210583</v>
      </c>
      <c r="Q359" s="0" t="n">
        <f aca="false">SQRT(1+(A359/Fz2_u)^2)</f>
        <v>20097.077339646</v>
      </c>
      <c r="R359" s="0" t="n">
        <f aca="false">ATAN2(Fz2_u,A359)</f>
        <v>1.57074656831591</v>
      </c>
      <c r="S359" s="0" t="n">
        <f aca="false">1/SQRT(1+(A359/Fp1_u)^2)</f>
        <v>0.0186131300450389</v>
      </c>
      <c r="T359" s="0" t="n">
        <f aca="false">-ATAN2(Fp1_u,A359)</f>
        <v>-1.55218212183343</v>
      </c>
      <c r="U359" s="0" t="n">
        <f aca="false">1/SQRT(1+(A359/Fp2_u)^2)</f>
        <v>0.453022091294876</v>
      </c>
      <c r="V359" s="0" t="n">
        <f aca="false">-ATAN2(Fp2_u,A359)</f>
        <v>-1.10064399839504</v>
      </c>
      <c r="X359" s="0" t="n">
        <f aca="false">20*LOG(C359*J359*O359*Q359*F359*M359*S359*U359)</f>
        <v>-2.14052549026034</v>
      </c>
      <c r="Y359" s="0" t="n">
        <f aca="false">(180/Pi)*(D359+H359+N359+P359+R359+T359+V359)</f>
        <v>-242.822830721087</v>
      </c>
      <c r="Z359" s="0" t="n">
        <f aca="false">Y359+180</f>
        <v>-62.8228307210873</v>
      </c>
      <c r="AC359" s="0" t="n">
        <v>1</v>
      </c>
      <c r="AD359" s="0" t="n">
        <f aca="false">Rcea1_u*Cc1ea_u*A359*2*Pi</f>
        <v>17.71104272364</v>
      </c>
      <c r="AE359" s="0" t="n">
        <f aca="false">-Rcea1_u*Cc1ea_u*Cc2ea_u*(A359*2*Pi)^2</f>
        <v>-0.0121018917576621</v>
      </c>
      <c r="AF359" s="0" t="n">
        <f aca="false">(Cc2ea_u+Cc1ea_u)*A359*2*Pi</f>
        <v>0.006149667612375</v>
      </c>
      <c r="AG359" s="0" t="n">
        <f aca="false">AC359*AE359/(AE359^2+AF359^2)+AD359*AF359/(AE359^2+AF359^2)</f>
        <v>525.386278915028</v>
      </c>
      <c r="AH359" s="0" t="n">
        <f aca="false">AD359*AE359/(AE359^2+AF359^2)-AC359*AF359/(AE359^2+AF359^2)</f>
        <v>-1196.51472928125</v>
      </c>
      <c r="AJ359" s="0" t="n">
        <f aca="false">_Rfb1</f>
        <v>20000</v>
      </c>
      <c r="AK359" s="0" t="n">
        <f aca="false">_Rfb1*Rcea2_u*Cc3ea_u*A359*2*Pi</f>
        <v>1074324.1553352</v>
      </c>
      <c r="AL359" s="0" t="n">
        <v>1</v>
      </c>
      <c r="AM359" s="0" t="n">
        <f aca="false">(_Rfb1+Rcea2_u)*Cc3ea_u*A359*2*Pi</f>
        <v>20097.0773147668</v>
      </c>
      <c r="AN359" s="0" t="n">
        <f aca="false">AJ359*AL359/(AL359^2+AM359^2)+AK359*AM359/(AL359^2+AM359^2)</f>
        <v>53.456785333431</v>
      </c>
      <c r="AO359" s="0" t="n">
        <f aca="false">AK359*AL359/(AL359^2+AM359^2)-AJ359*AM359/(AL359^2+AM359^2)</f>
        <v>-0.992509652137847</v>
      </c>
      <c r="AQ359" s="0" t="n">
        <f aca="false">Eadcg/(1+(Eadcg*A359/GBP)^2)</f>
        <v>0.0216601593354921</v>
      </c>
      <c r="AR359" s="0" t="n">
        <f aca="false">-(A359*Eadcg*Eadcg/GBP)/(1+(Eadcg*A359/GBP)^2)</f>
        <v>-8.27580537810813</v>
      </c>
      <c r="AT359" s="0" t="n">
        <f aca="false">-AR359*AH359+AG359*AQ359</f>
        <v>-9890.74308105737</v>
      </c>
      <c r="AU359" s="0" t="n">
        <f aca="false">AQ359*AH359+AG359*AR359</f>
        <v>-4373.91129231271</v>
      </c>
      <c r="AV359" s="0" t="n">
        <f aca="false">ATAN2(AT359,AU359)</f>
        <v>-2.72522510867344</v>
      </c>
      <c r="AW359" s="0" t="n">
        <f aca="false">AG359-AH359*AO359/_Rfb2+AG359*AN359/_Rfb2+AN359-AO359*AR359+AQ359*AN359</f>
        <v>583.891189119467</v>
      </c>
      <c r="AX359" s="0" t="n">
        <f aca="false">AH359+AH359*AN359/_Rfb2+AG359*AO359/_Rfb2+AO359+AO359*AQ359+AN359*AR359</f>
        <v>-1668.94416530235</v>
      </c>
      <c r="AY359" s="0" t="n">
        <f aca="false">ATAN2(AW359,AX359)</f>
        <v>-1.23424923279027</v>
      </c>
      <c r="BA359" s="0" t="n">
        <f aca="false">SQRT(AT359^2+AU359^2)/SQRT(AW359^2+AX359^2)</f>
        <v>6.11644685796319</v>
      </c>
      <c r="BB359" s="0" t="n">
        <f aca="false">20*LOG(BA359)</f>
        <v>15.7299841353887</v>
      </c>
      <c r="BC359" s="0" t="n">
        <f aca="false">AV359-AY359</f>
        <v>-1.49097587588317</v>
      </c>
      <c r="BD359" s="0" t="n">
        <f aca="false">BC359*180/Pi-180</f>
        <v>-265.426625141541</v>
      </c>
      <c r="BF359" s="0" t="n">
        <f aca="false">20*LOG(BA359*J359*F359*C359)</f>
        <v>-14.1730481944006</v>
      </c>
      <c r="BG359" s="0" t="n">
        <f aca="false">(180/Pi)*(D359+H359+BC359)</f>
        <v>-263.019264206428</v>
      </c>
      <c r="BH359" s="0" t="n">
        <f aca="false">IF(BG359&gt;180,BG359-180,BG359+180)</f>
        <v>-83.0192642064284</v>
      </c>
      <c r="BI359" s="0" t="n">
        <f aca="false">IF(BH359&gt;180,BH359-360,BH359)</f>
        <v>-83.0192642064284</v>
      </c>
      <c r="BJ359" s="0" t="n">
        <f aca="false">SUM((BF360&lt;0)*(BF359&gt;0))*A359</f>
        <v>0</v>
      </c>
      <c r="BK359" s="0" t="n">
        <f aca="false">IF(BJ359&gt;0,BI359,0)</f>
        <v>0</v>
      </c>
      <c r="BM359" s="0" t="n">
        <f aca="false">20*LOG(J359*F359*C359)</f>
        <v>-29.9030323297892</v>
      </c>
      <c r="BN359" s="0" t="n">
        <f aca="false">(H359+D359)*180/Pi</f>
        <v>-177.592639064887</v>
      </c>
      <c r="BQ359" s="347" t="n">
        <f aca="false">20*LOG(BA359*7)</f>
        <v>32.6319449356738</v>
      </c>
      <c r="BR359" s="353"/>
      <c r="BS359" s="353"/>
      <c r="BT359" s="353" t="n">
        <v>309029.543</v>
      </c>
      <c r="BU359" s="353" t="n">
        <v>15.2847</v>
      </c>
      <c r="BV359" s="353" t="n">
        <v>-186.209</v>
      </c>
      <c r="BW359" s="349"/>
      <c r="BY359" s="353"/>
      <c r="BZ359" s="353"/>
      <c r="CA359" s="353"/>
      <c r="CC359" s="353"/>
    </row>
    <row r="360" customFormat="false" ht="12.75" hidden="false" customHeight="false" outlineLevel="0" collapsed="false">
      <c r="A360" s="0" t="n">
        <f aca="false">A359+5000</f>
        <v>730000</v>
      </c>
      <c r="B360" s="0" t="n">
        <f aca="false">A360/1000</f>
        <v>730</v>
      </c>
      <c r="C360" s="0" t="n">
        <f aca="false">SQRT((A360/Fesr)^2+1)</f>
        <v>1.00001051896902</v>
      </c>
      <c r="D360" s="0" t="n">
        <f aca="false">ATAN(A360/Fesr)</f>
        <v>0.00458669310415616</v>
      </c>
      <c r="F360" s="0" t="n">
        <f aca="false">(Ro/(Ro+Rdcr))/SQRT((A360/(Q*Fo))^2+(1-(A360^2/Fo^2))^2)</f>
        <v>0.00350440754850749</v>
      </c>
      <c r="G360" s="0" t="n">
        <f aca="false">-ATAN(A360*Fo/(Q*(Fo^2-A360^2)))</f>
        <v>0.0372029334165325</v>
      </c>
      <c r="H360" s="0" t="n">
        <f aca="false">IF(G360&gt;0,G360-Pi,G360)</f>
        <v>-3.10438971658347</v>
      </c>
      <c r="J360" s="0" t="n">
        <f aca="false">Vin/Vramp</f>
        <v>9</v>
      </c>
      <c r="M360" s="0" t="n">
        <f aca="false">1/(2*Pi*_Rfb1*(Cc1ea_u+Cc2ea_u)*A360)</f>
        <v>0.00807483223103787</v>
      </c>
      <c r="N360" s="0" t="n">
        <f aca="false">-Pi/2</f>
        <v>-1.570796325</v>
      </c>
      <c r="O360" s="0" t="n">
        <f aca="false">SQRT(1+(A360/Fz1_u)^2)</f>
        <v>17.8612034517878</v>
      </c>
      <c r="P360" s="0" t="n">
        <f aca="false">ATAN2(Fz1_u,A360)</f>
        <v>1.51477976721417</v>
      </c>
      <c r="Q360" s="0" t="n">
        <f aca="false">SQRT(1+(A360/Fz2_u)^2)</f>
        <v>20235.6778726809</v>
      </c>
      <c r="R360" s="0" t="n">
        <f aca="false">ATAN2(Fz2_u,A360)</f>
        <v>1.57074690912741</v>
      </c>
      <c r="S360" s="0" t="n">
        <f aca="false">1/SQRT(1+(A360/Fp1_u)^2)</f>
        <v>0.0184856865681228</v>
      </c>
      <c r="T360" s="0" t="n">
        <f aca="false">-ATAN2(Fp1_u,A360)</f>
        <v>-1.5523095872415</v>
      </c>
      <c r="U360" s="0" t="n">
        <f aca="false">1/SQRT(1+(A360/Fp2_u)^2)</f>
        <v>0.450550803463906</v>
      </c>
      <c r="V360" s="0" t="n">
        <f aca="false">-ATAN2(Fp2_u,A360)</f>
        <v>-1.10341411036248</v>
      </c>
      <c r="X360" s="0" t="n">
        <f aca="false">20*LOG(C360*J360*O360*Q360*F360*M360*S360*U360)</f>
        <v>-2.30793957700389</v>
      </c>
      <c r="Y360" s="0" t="n">
        <f aca="false">(180/Pi)*(D360+H360+N360+P360+R360+T360+V360)</f>
        <v>-242.979734038246</v>
      </c>
      <c r="Z360" s="0" t="n">
        <f aca="false">Y360+180</f>
        <v>-62.9797340382459</v>
      </c>
      <c r="AC360" s="0" t="n">
        <v>1</v>
      </c>
      <c r="AD360" s="0" t="n">
        <f aca="false">Rcea1_u*Cc1ea_u*A360*2*Pi</f>
        <v>17.833187845872</v>
      </c>
      <c r="AE360" s="0" t="n">
        <f aca="false">-Rcea1_u*Cc1ea_u*Cc2ea_u*(A360*2*Pi)^2</f>
        <v>-0.0122693899979227</v>
      </c>
      <c r="AF360" s="0" t="n">
        <f aca="false">(Cc2ea_u+Cc1ea_u)*A360*2*Pi</f>
        <v>0.00619207911315</v>
      </c>
      <c r="AG360" s="0" t="n">
        <f aca="false">AC360*AE360/(AE360^2+AF360^2)+AD360*AF360/(AE360^2+AF360^2)</f>
        <v>519.669827845046</v>
      </c>
      <c r="AH360" s="0" t="n">
        <f aca="false">AD360*AE360/(AE360^2+AF360^2)-AC360*AF360/(AE360^2+AF360^2)</f>
        <v>-1191.2043843755</v>
      </c>
      <c r="AJ360" s="0" t="n">
        <f aca="false">_Rfb1</f>
        <v>20000</v>
      </c>
      <c r="AK360" s="0" t="n">
        <f aca="false">_Rfb1*Rcea2_u*Cc3ea_u*A360*2*Pi</f>
        <v>1081733.28744096</v>
      </c>
      <c r="AL360" s="0" t="n">
        <v>1</v>
      </c>
      <c r="AM360" s="0" t="n">
        <f aca="false">(_Rfb1+Rcea2_u)*Cc3ea_u*A360*2*Pi</f>
        <v>20235.677847972</v>
      </c>
      <c r="AN360" s="0" t="n">
        <f aca="false">AJ360*AL360/(AL360^2+AM360^2)+AK360*AM360/(AL360^2+AM360^2)</f>
        <v>53.4567846592304</v>
      </c>
      <c r="AO360" s="0" t="n">
        <f aca="false">AK360*AL360/(AL360^2+AM360^2)-AJ360*AM360/(AL360^2+AM360^2)</f>
        <v>-0.985711640855151</v>
      </c>
      <c r="AQ360" s="0" t="n">
        <f aca="false">Eadcg/(1+(Eadcg*A360/GBP)^2)</f>
        <v>0.0213644629675585</v>
      </c>
      <c r="AR360" s="0" t="n">
        <f aca="false">-(A360*Eadcg*Eadcg/GBP)/(1+(Eadcg*A360/GBP)^2)</f>
        <v>-8.21912254824942</v>
      </c>
      <c r="AT360" s="0" t="n">
        <f aca="false">-AR360*AH360+AG360*AQ360</f>
        <v>-9779.55234840188</v>
      </c>
      <c r="AU360" s="0" t="n">
        <f aca="false">AQ360*AH360+AG360*AR360</f>
        <v>-4296.6794416429</v>
      </c>
      <c r="AV360" s="0" t="n">
        <f aca="false">ATAN2(AT360,AU360)</f>
        <v>-2.72762764203512</v>
      </c>
      <c r="AW360" s="0" t="n">
        <f aca="false">AG360-AH360*AO360/_Rfb2+AG360*AN360/_Rfb2+AN360-AO360*AR360+AQ360*AN360</f>
        <v>578.139565550782</v>
      </c>
      <c r="AX360" s="0" t="n">
        <f aca="false">AH360+AH360*AN360/_Rfb2+AG360*AO360/_Rfb2+AO360+AO360*AQ360+AN360*AR360</f>
        <v>-1660.46460975253</v>
      </c>
      <c r="AY360" s="0" t="n">
        <f aca="false">ATAN2(AW360,AX360)</f>
        <v>-1.23574434580687</v>
      </c>
      <c r="BA360" s="0" t="n">
        <f aca="false">SQRT(AT360^2+AU360^2)/SQRT(AW360^2+AX360^2)</f>
        <v>6.07530587968342</v>
      </c>
      <c r="BB360" s="0" t="n">
        <f aca="false">20*LOG(BA360)</f>
        <v>15.6713629738495</v>
      </c>
      <c r="BC360" s="0" t="n">
        <f aca="false">AV360-AY360</f>
        <v>-1.49188329622825</v>
      </c>
      <c r="BD360" s="0" t="n">
        <f aca="false">BC360*180/Pi-180</f>
        <v>-265.478616497618</v>
      </c>
      <c r="BF360" s="0" t="n">
        <f aca="false">20*LOG(BA360*J360*F360*C360)</f>
        <v>-14.3514033285368</v>
      </c>
      <c r="BG360" s="0" t="n">
        <f aca="false">(180/Pi)*(D360+H360+BC360)</f>
        <v>-263.084247267819</v>
      </c>
      <c r="BH360" s="0" t="n">
        <f aca="false">IF(BG360&gt;180,BG360-180,BG360+180)</f>
        <v>-83.0842472678186</v>
      </c>
      <c r="BI360" s="0" t="n">
        <f aca="false">IF(BH360&gt;180,BH360-360,BH360)</f>
        <v>-83.0842472678186</v>
      </c>
      <c r="BJ360" s="0" t="n">
        <f aca="false">SUM((BF361&lt;0)*(BF360&gt;0))*A360</f>
        <v>0</v>
      </c>
      <c r="BK360" s="0" t="n">
        <f aca="false">IF(BJ360&gt;0,BI360,0)</f>
        <v>0</v>
      </c>
      <c r="BM360" s="0" t="n">
        <f aca="false">20*LOG(J360*F360*C360)</f>
        <v>-30.0227663023863</v>
      </c>
      <c r="BN360" s="0" t="n">
        <f aca="false">(H360+D360)*180/Pi</f>
        <v>-177.605630770201</v>
      </c>
      <c r="BQ360" s="347" t="n">
        <f aca="false">20*LOG(BA360*7)</f>
        <v>32.5733237741347</v>
      </c>
      <c r="BR360" s="353"/>
      <c r="BS360" s="353"/>
      <c r="BT360" s="353" t="n">
        <v>316227.766</v>
      </c>
      <c r="BU360" s="353" t="n">
        <v>15.3318</v>
      </c>
      <c r="BV360" s="353" t="n">
        <v>-189.75</v>
      </c>
      <c r="BW360" s="349"/>
      <c r="BY360" s="353"/>
      <c r="BZ360" s="353"/>
      <c r="CA360" s="353"/>
      <c r="CC360" s="353"/>
    </row>
    <row r="361" customFormat="false" ht="12.75" hidden="false" customHeight="false" outlineLevel="0" collapsed="false">
      <c r="A361" s="0" t="n">
        <f aca="false">A360+5000</f>
        <v>735000</v>
      </c>
      <c r="B361" s="0" t="n">
        <f aca="false">A361/1000</f>
        <v>735</v>
      </c>
      <c r="C361" s="0" t="n">
        <f aca="false">SQRT((A361/Fesr)^2+1)</f>
        <v>1.0000106635572</v>
      </c>
      <c r="D361" s="0" t="n">
        <f aca="false">ATAN(A361/Fesr)</f>
        <v>0.00461810836520321</v>
      </c>
      <c r="F361" s="0" t="n">
        <f aca="false">(Ro/(Ro+Rdcr))/SQRT((A361/(Q*Fo))^2+(1-(A361^2/Fo^2))^2)</f>
        <v>0.00345675772818553</v>
      </c>
      <c r="G361" s="0" t="n">
        <f aca="false">-ATAN(A361*Fo/(Q*(Fo^2-A361^2)))</f>
        <v>0.0369483145742054</v>
      </c>
      <c r="H361" s="0" t="n">
        <f aca="false">IF(G361&gt;0,G361-Pi,G361)</f>
        <v>-3.10464433542579</v>
      </c>
      <c r="J361" s="0" t="n">
        <f aca="false">Vin/Vramp</f>
        <v>9</v>
      </c>
      <c r="M361" s="0" t="n">
        <f aca="false">1/(2*Pi*_Rfb1*(Cc1ea_u+Cc2ea_u)*A361)</f>
        <v>0.00801990139953421</v>
      </c>
      <c r="N361" s="0" t="n">
        <f aca="false">-Pi/2</f>
        <v>-1.570796325</v>
      </c>
      <c r="O361" s="0" t="n">
        <f aca="false">SQRT(1+(A361/Fz1_u)^2)</f>
        <v>17.9831582875612</v>
      </c>
      <c r="P361" s="0" t="n">
        <f aca="false">ATAN2(Fz1_u,A361)</f>
        <v>1.5151600436848</v>
      </c>
      <c r="Q361" s="0" t="n">
        <f aca="false">SQRT(1+(A361/Fz2_u)^2)</f>
        <v>20374.2784057181</v>
      </c>
      <c r="R361" s="0" t="n">
        <f aca="false">ATAN2(Fz2_u,A361)</f>
        <v>1.57074724530202</v>
      </c>
      <c r="S361" s="0" t="n">
        <f aca="false">1/SQRT(1+(A361/Fp1_u)^2)</f>
        <v>0.0183599761333014</v>
      </c>
      <c r="T361" s="0" t="n">
        <f aca="false">-ATAN2(Fp1_u,A361)</f>
        <v>-1.55243531901494</v>
      </c>
      <c r="U361" s="0" t="n">
        <f aca="false">1/SQRT(1+(A361/Fp2_u)^2)</f>
        <v>0.448102948922246</v>
      </c>
      <c r="V361" s="0" t="n">
        <f aca="false">-ATAN2(Fp2_u,A361)</f>
        <v>-1.10615414298125</v>
      </c>
      <c r="X361" s="0" t="n">
        <f aca="false">20*LOG(C361*J361*O361*Q361*F361*M361*S361*U361)</f>
        <v>-2.47433541120881</v>
      </c>
      <c r="Y361" s="0" t="n">
        <f aca="false">(180/Pi)*(D361+H361+N361+P361+R361+T361+V361)</f>
        <v>-243.134911368153</v>
      </c>
      <c r="Z361" s="0" t="n">
        <f aca="false">Y361+180</f>
        <v>-63.1349113681535</v>
      </c>
      <c r="AC361" s="0" t="n">
        <v>1</v>
      </c>
      <c r="AD361" s="0" t="n">
        <f aca="false">Rcea1_u*Cc1ea_u*A361*2*Pi</f>
        <v>17.955332968104</v>
      </c>
      <c r="AE361" s="0" t="n">
        <f aca="false">-Rcea1_u*Cc1ea_u*Cc2ea_u*(A361*2*Pi)^2</f>
        <v>-0.0124380394288381</v>
      </c>
      <c r="AF361" s="0" t="n">
        <f aca="false">(Cc2ea_u+Cc1ea_u)*A361*2*Pi</f>
        <v>0.006234490613925</v>
      </c>
      <c r="AG361" s="0" t="n">
        <f aca="false">AC361*AE361/(AE361^2+AF361^2)+AD361*AF361/(AE361^2+AF361^2)</f>
        <v>514.038407252001</v>
      </c>
      <c r="AH361" s="0" t="n">
        <f aca="false">AD361*AE361/(AE361^2+AF361^2)-AC361*AF361/(AE361^2+AF361^2)</f>
        <v>-1185.92366805774</v>
      </c>
      <c r="AJ361" s="0" t="n">
        <f aca="false">_Rfb1</f>
        <v>20000</v>
      </c>
      <c r="AK361" s="0" t="n">
        <f aca="false">_Rfb1*Rcea2_u*Cc3ea_u*A361*2*Pi</f>
        <v>1089142.41954672</v>
      </c>
      <c r="AL361" s="0" t="n">
        <v>1</v>
      </c>
      <c r="AM361" s="0" t="n">
        <f aca="false">(_Rfb1+Rcea2_u)*Cc3ea_u*A361*2*Pi</f>
        <v>20374.2783811773</v>
      </c>
      <c r="AN361" s="0" t="n">
        <f aca="false">AJ361*AL361/(AL361^2+AM361^2)+AK361*AM361/(AL361^2+AM361^2)</f>
        <v>53.4567839987422</v>
      </c>
      <c r="AO361" s="0" t="n">
        <f aca="false">AK361*AL361/(AL361^2+AM361^2)-AJ361*AM361/(AL361^2+AM361^2)</f>
        <v>-0.979006119521208</v>
      </c>
      <c r="AQ361" s="0" t="n">
        <f aca="false">Eadcg/(1+(Eadcg*A361/GBP)^2)</f>
        <v>0.0210747806163201</v>
      </c>
      <c r="AR361" s="0" t="n">
        <f aca="false">-(A361*Eadcg*Eadcg/GBP)/(1+(Eadcg*A361/GBP)^2)</f>
        <v>-8.16321089782851</v>
      </c>
      <c r="AT361" s="0" t="n">
        <f aca="false">-AR361*AH361+AG361*AQ361</f>
        <v>-9670.11176442051</v>
      </c>
      <c r="AU361" s="0" t="n">
        <f aca="false">AQ361*AH361+AG361*AR361</f>
        <v>-4221.19700911396</v>
      </c>
      <c r="AV361" s="0" t="n">
        <f aca="false">ATAN2(AT361,AU361)</f>
        <v>-2.73000508078947</v>
      </c>
      <c r="AW361" s="0" t="n">
        <f aca="false">AG361-AH361*AO361/_Rfb2+AG361*AN361/_Rfb2+AN361-AO361*AR361+AQ361*AN361</f>
        <v>572.4729639309</v>
      </c>
      <c r="AX361" s="0" t="n">
        <f aca="false">AH361+AH361*AN361/_Rfb2+AG361*AO361/_Rfb2+AO361+AO361*AQ361+AN361*AR361</f>
        <v>-1652.05681866678</v>
      </c>
      <c r="AY361" s="0" t="n">
        <f aca="false">ATAN2(AW361,AX361)</f>
        <v>-1.23722387990233</v>
      </c>
      <c r="BA361" s="0" t="n">
        <f aca="false">SQRT(AT361^2+AU361^2)/SQRT(AW361^2+AX361^2)</f>
        <v>6.03470894280985</v>
      </c>
      <c r="BB361" s="0" t="n">
        <f aca="false">20*LOG(BA361)</f>
        <v>15.6131265737383</v>
      </c>
      <c r="BC361" s="0" t="n">
        <f aca="false">AV361-AY361</f>
        <v>-1.49278120088714</v>
      </c>
      <c r="BD361" s="0" t="n">
        <f aca="false">BC361*180/Pi-180</f>
        <v>-265.530062645036</v>
      </c>
      <c r="BF361" s="0" t="n">
        <f aca="false">20*LOG(BA361*J361*F361*C361)</f>
        <v>-14.5285517663189</v>
      </c>
      <c r="BG361" s="0" t="n">
        <f aca="false">(180/Pi)*(D361+H361+BC361)</f>
        <v>-263.148482038431</v>
      </c>
      <c r="BH361" s="0" t="n">
        <f aca="false">IF(BG361&gt;180,BG361-180,BG361+180)</f>
        <v>-83.1484820384308</v>
      </c>
      <c r="BI361" s="0" t="n">
        <f aca="false">IF(BH361&gt;180,BH361-360,BH361)</f>
        <v>-83.1484820384308</v>
      </c>
      <c r="BJ361" s="0" t="n">
        <f aca="false">SUM((BF362&lt;0)*(BF361&gt;0))*A361</f>
        <v>0</v>
      </c>
      <c r="BK361" s="0" t="n">
        <f aca="false">IF(BJ361&gt;0,BI361,0)</f>
        <v>0</v>
      </c>
      <c r="BM361" s="0" t="n">
        <f aca="false">20*LOG(J361*F361*C361)</f>
        <v>-30.1416783400572</v>
      </c>
      <c r="BN361" s="0" t="n">
        <f aca="false">(H361+D361)*180/Pi</f>
        <v>-177.618419393395</v>
      </c>
      <c r="BQ361" s="347" t="n">
        <f aca="false">20*LOG(BA361*7)</f>
        <v>32.5150873740235</v>
      </c>
      <c r="BR361" s="353"/>
      <c r="BS361" s="353"/>
      <c r="BT361" s="353" t="n">
        <v>323593.657</v>
      </c>
      <c r="BU361" s="353" t="n">
        <v>15.3347</v>
      </c>
      <c r="BV361" s="353" t="n">
        <v>-192.398</v>
      </c>
      <c r="BW361" s="349"/>
      <c r="BY361" s="353"/>
      <c r="BZ361" s="353"/>
      <c r="CA361" s="353"/>
      <c r="CC361" s="353"/>
    </row>
    <row r="362" customFormat="false" ht="12.75" hidden="false" customHeight="false" outlineLevel="0" collapsed="false">
      <c r="A362" s="0" t="n">
        <f aca="false">A361+5000</f>
        <v>740000</v>
      </c>
      <c r="B362" s="0" t="n">
        <f aca="false">A362/1000</f>
        <v>740</v>
      </c>
      <c r="C362" s="0" t="n">
        <f aca="false">SQRT((A362/Fesr)^2+1)</f>
        <v>1.0000108091323</v>
      </c>
      <c r="D362" s="0" t="n">
        <f aca="false">ATAN(A362/Fesr)</f>
        <v>0.00464952361713481</v>
      </c>
      <c r="F362" s="0" t="n">
        <f aca="false">(Ro/(Ro+Rdcr))/SQRT((A362/(Q*Fo))^2+(1-(A362^2/Fo^2))^2)</f>
        <v>0.00341007406861886</v>
      </c>
      <c r="G362" s="0" t="n">
        <f aca="false">-ATAN(A362*Fo/(Q*(Fo^2-A362^2)))</f>
        <v>0.0366971674847137</v>
      </c>
      <c r="H362" s="0" t="n">
        <f aca="false">IF(G362&gt;0,G362-Pi,G362)</f>
        <v>-3.10489548251529</v>
      </c>
      <c r="J362" s="0" t="n">
        <f aca="false">Vin/Vramp</f>
        <v>9</v>
      </c>
      <c r="M362" s="0" t="n">
        <f aca="false">1/(2*Pi*_Rfb1*(Cc1ea_u+Cc2ea_u)*A362)</f>
        <v>0.00796571287656438</v>
      </c>
      <c r="N362" s="0" t="n">
        <f aca="false">-Pi/2</f>
        <v>-1.570796325</v>
      </c>
      <c r="O362" s="0" t="n">
        <f aca="false">SQRT(1+(A362/Fz1_u)^2)</f>
        <v>18.1051156888482</v>
      </c>
      <c r="P362" s="0" t="n">
        <f aca="false">ATAN2(Fz1_u,A362)</f>
        <v>1.51553519706809</v>
      </c>
      <c r="Q362" s="0" t="n">
        <f aca="false">SQRT(1+(A362/Fz2_u)^2)</f>
        <v>20512.8789387575</v>
      </c>
      <c r="R362" s="0" t="n">
        <f aca="false">ATAN2(Fz2_u,A362)</f>
        <v>1.57074757693373</v>
      </c>
      <c r="S362" s="0" t="n">
        <f aca="false">1/SQRT(1+(A362/Fp1_u)^2)</f>
        <v>0.0182359636349501</v>
      </c>
      <c r="T362" s="0" t="n">
        <f aca="false">-ATAN2(Fp1_u,A362)</f>
        <v>-1.55255935227926</v>
      </c>
      <c r="U362" s="0" t="n">
        <f aca="false">1/SQRT(1+(A362/Fp2_u)^2)</f>
        <v>0.445678257177099</v>
      </c>
      <c r="V362" s="0" t="n">
        <f aca="false">-ATAN2(Fp2_u,A362)</f>
        <v>-1.10886454305129</v>
      </c>
      <c r="X362" s="0" t="n">
        <f aca="false">20*LOG(C362*J362*O362*Q362*F362*M362*S362*U362)</f>
        <v>-2.63972499939797</v>
      </c>
      <c r="Y362" s="0" t="n">
        <f aca="false">(180/Pi)*(D362+H362+N362+P362+R362+T362+V362)</f>
        <v>-243.288388435986</v>
      </c>
      <c r="Z362" s="0" t="n">
        <f aca="false">Y362+180</f>
        <v>-63.2883884359858</v>
      </c>
      <c r="AC362" s="0" t="n">
        <v>1</v>
      </c>
      <c r="AD362" s="0" t="n">
        <f aca="false">Rcea1_u*Cc1ea_u*A362*2*Pi</f>
        <v>18.077478090336</v>
      </c>
      <c r="AE362" s="0" t="n">
        <f aca="false">-Rcea1_u*Cc1ea_u*Cc2ea_u*(A362*2*Pi)^2</f>
        <v>-0.0126078400504081</v>
      </c>
      <c r="AF362" s="0" t="n">
        <f aca="false">(Cc2ea_u+Cc1ea_u)*A362*2*Pi</f>
        <v>0.0062769021147</v>
      </c>
      <c r="AG362" s="0" t="n">
        <f aca="false">AC362*AE362/(AE362^2+AF362^2)+AD362*AF362/(AE362^2+AF362^2)</f>
        <v>508.490518836266</v>
      </c>
      <c r="AH362" s="0" t="n">
        <f aca="false">AD362*AE362/(AE362^2+AF362^2)-AC362*AF362/(AE362^2+AF362^2)</f>
        <v>-1180.67272568753</v>
      </c>
      <c r="AJ362" s="0" t="n">
        <f aca="false">_Rfb1</f>
        <v>20000</v>
      </c>
      <c r="AK362" s="0" t="n">
        <f aca="false">_Rfb1*Rcea2_u*Cc3ea_u*A362*2*Pi</f>
        <v>1096551.55165248</v>
      </c>
      <c r="AL362" s="0" t="n">
        <v>1</v>
      </c>
      <c r="AM362" s="0" t="n">
        <f aca="false">(_Rfb1+Rcea2_u)*Cc3ea_u*A362*2*Pi</f>
        <v>20512.8789143826</v>
      </c>
      <c r="AN362" s="0" t="n">
        <f aca="false">AJ362*AL362/(AL362^2+AM362^2)+AK362*AM362/(AL362^2+AM362^2)</f>
        <v>53.456783351597</v>
      </c>
      <c r="AO362" s="0" t="n">
        <f aca="false">AK362*AL362/(AL362^2+AM362^2)-AJ362*AM362/(AL362^2+AM362^2)</f>
        <v>-0.972391213339775</v>
      </c>
      <c r="AQ362" s="0" t="n">
        <f aca="false">Eadcg/(1+(Eadcg*A362/GBP)^2)</f>
        <v>0.0207909502929513</v>
      </c>
      <c r="AR362" s="0" t="n">
        <f aca="false">-(A362*Eadcg*Eadcg/GBP)/(1+(Eadcg*A362/GBP)^2)</f>
        <v>-8.10805479524516</v>
      </c>
      <c r="AT362" s="0" t="n">
        <f aca="false">-AR362*AH362+AG362*AQ362</f>
        <v>-9562.38715402439</v>
      </c>
      <c r="AU362" s="0" t="n">
        <f aca="false">AQ362*AH362+AG362*AR362</f>
        <v>-4147.4162975391</v>
      </c>
      <c r="AV362" s="0" t="n">
        <f aca="false">ATAN2(AT362,AU362)</f>
        <v>-2.73235777112989</v>
      </c>
      <c r="AW362" s="0" t="n">
        <f aca="false">AG362-AH362*AO362/_Rfb2+AG362*AN362/_Rfb2+AN362-AO362*AR362+AQ362*AN362</f>
        <v>566.889904546041</v>
      </c>
      <c r="AX362" s="0" t="n">
        <f aca="false">AH362+AH362*AN362/_Rfb2+AG362*AO362/_Rfb2+AO362+AO362*AQ362+AN362*AR362</f>
        <v>-1643.72010044901</v>
      </c>
      <c r="AY362" s="0" t="n">
        <f aca="false">ATAN2(AW362,AX362)</f>
        <v>-1.23868799564893</v>
      </c>
      <c r="BA362" s="0" t="n">
        <f aca="false">SQRT(AT362^2+AU362^2)/SQRT(AW362^2+AX362^2)</f>
        <v>5.99464542234859</v>
      </c>
      <c r="BB362" s="0" t="n">
        <f aca="false">20*LOG(BA362)</f>
        <v>15.5552700016697</v>
      </c>
      <c r="BC362" s="0" t="n">
        <f aca="false">AV362-AY362</f>
        <v>-1.49366977548095</v>
      </c>
      <c r="BD362" s="0" t="n">
        <f aca="false">BC362*180/Pi-180</f>
        <v>-265.580974219102</v>
      </c>
      <c r="BF362" s="0" t="n">
        <f aca="false">20*LOG(BA362*J362*F362*C362)</f>
        <v>-14.7045096790886</v>
      </c>
      <c r="BG362" s="0" t="n">
        <f aca="false">(180/Pi)*(D362+H362+BC362)</f>
        <v>-263.211983319428</v>
      </c>
      <c r="BH362" s="0" t="n">
        <f aca="false">IF(BG362&gt;180,BG362-180,BG362+180)</f>
        <v>-83.2119833194283</v>
      </c>
      <c r="BI362" s="0" t="n">
        <f aca="false">IF(BH362&gt;180,BH362-360,BH362)</f>
        <v>-83.2119833194283</v>
      </c>
      <c r="BJ362" s="0" t="n">
        <f aca="false">SUM((BF363&lt;0)*(BF362&gt;0))*A362</f>
        <v>0</v>
      </c>
      <c r="BK362" s="0" t="n">
        <f aca="false">IF(BJ362&gt;0,BI362,0)</f>
        <v>0</v>
      </c>
      <c r="BM362" s="0" t="n">
        <f aca="false">20*LOG(J362*F362*C362)</f>
        <v>-30.2597796807583</v>
      </c>
      <c r="BN362" s="0" t="n">
        <f aca="false">(H362+D362)*180/Pi</f>
        <v>-177.631009100326</v>
      </c>
      <c r="BQ362" s="347" t="n">
        <f aca="false">20*LOG(BA362*7)</f>
        <v>32.4572308019548</v>
      </c>
      <c r="BR362" s="353"/>
      <c r="BS362" s="353"/>
      <c r="BT362" s="353" t="n">
        <v>331131.121</v>
      </c>
      <c r="BU362" s="353" t="n">
        <v>15.331</v>
      </c>
      <c r="BV362" s="353" t="n">
        <v>-194.603</v>
      </c>
      <c r="BW362" s="349"/>
      <c r="BY362" s="353"/>
      <c r="BZ362" s="353"/>
      <c r="CA362" s="353"/>
      <c r="CC362" s="353"/>
    </row>
    <row r="363" customFormat="false" ht="12.75" hidden="false" customHeight="false" outlineLevel="0" collapsed="false">
      <c r="A363" s="0" t="n">
        <f aca="false">A362+5000</f>
        <v>745000</v>
      </c>
      <c r="B363" s="0" t="n">
        <f aca="false">A363/1000</f>
        <v>745</v>
      </c>
      <c r="C363" s="0" t="n">
        <f aca="false">SQRT((A363/Fesr)^2+1)</f>
        <v>1.00001095569433</v>
      </c>
      <c r="D363" s="0" t="n">
        <f aca="false">ATAN(A363/Fesr)</f>
        <v>0.00468093885988894</v>
      </c>
      <c r="F363" s="0" t="n">
        <f aca="false">(Ro/(Ro+Rdcr))/SQRT((A363/(Q*Fo))^2+(1-(A363^2/Fo^2))^2)</f>
        <v>0.00336433060193242</v>
      </c>
      <c r="G363" s="0" t="n">
        <f aca="false">-ATAN(A363*Fo/(Q*(Fo^2-A363^2)))</f>
        <v>0.0364494214208366</v>
      </c>
      <c r="H363" s="0" t="n">
        <f aca="false">IF(G363&gt;0,G363-Pi,G363)</f>
        <v>-3.10514322857916</v>
      </c>
      <c r="J363" s="0" t="n">
        <f aca="false">Vin/Vramp</f>
        <v>9</v>
      </c>
      <c r="M363" s="0" t="n">
        <f aca="false">1/(2*Pi*_Rfb1*(Cc1ea_u+Cc2ea_u)*A363)</f>
        <v>0.00791225171631898</v>
      </c>
      <c r="N363" s="0" t="n">
        <f aca="false">-Pi/2</f>
        <v>-1.570796325</v>
      </c>
      <c r="O363" s="0" t="n">
        <f aca="false">SQRT(1+(A363/Fz1_u)^2)</f>
        <v>18.2270756041512</v>
      </c>
      <c r="P363" s="0" t="n">
        <f aca="false">ATAN2(Fz1_u,A363)</f>
        <v>1.51590533009525</v>
      </c>
      <c r="Q363" s="0" t="n">
        <f aca="false">SQRT(1+(A363/Fz2_u)^2)</f>
        <v>20651.4794717993</v>
      </c>
      <c r="R363" s="0" t="n">
        <f aca="false">ATAN2(Fz2_u,A363)</f>
        <v>1.57074790411401</v>
      </c>
      <c r="S363" s="0" t="n">
        <f aca="false">1/SQRT(1+(A363/Fp1_u)^2)</f>
        <v>0.0181136149090933</v>
      </c>
      <c r="T363" s="0" t="n">
        <f aca="false">-ATAN2(Fp1_u,A363)</f>
        <v>-1.55268172121749</v>
      </c>
      <c r="U363" s="0" t="n">
        <f aca="false">1/SQRT(1+(A363/Fp2_u)^2)</f>
        <v>0.44327646027128</v>
      </c>
      <c r="V363" s="0" t="n">
        <f aca="false">-ATAN2(Fp2_u,A363)</f>
        <v>-1.11154574950249</v>
      </c>
      <c r="X363" s="0" t="n">
        <f aca="false">20*LOG(C363*J363*O363*Q363*F363*M363*S363*U363)</f>
        <v>-2.80412013576582</v>
      </c>
      <c r="Y363" s="0" t="n">
        <f aca="false">(180/Pi)*(D363+H363+N363+P363+R363+T363+V363)</f>
        <v>-243.440190510186</v>
      </c>
      <c r="Z363" s="0" t="n">
        <f aca="false">Y363+180</f>
        <v>-63.4401905101861</v>
      </c>
      <c r="AC363" s="0" t="n">
        <v>1</v>
      </c>
      <c r="AD363" s="0" t="n">
        <f aca="false">Rcea1_u*Cc1ea_u*A363*2*Pi</f>
        <v>18.199623212568</v>
      </c>
      <c r="AE363" s="0" t="n">
        <f aca="false">-Rcea1_u*Cc1ea_u*Cc2ea_u*(A363*2*Pi)^2</f>
        <v>-0.0127787918626329</v>
      </c>
      <c r="AF363" s="0" t="n">
        <f aca="false">(Cc2ea_u+Cc1ea_u)*A363*2*Pi</f>
        <v>0.006319313615475</v>
      </c>
      <c r="AG363" s="0" t="n">
        <f aca="false">AC363*AE363/(AE363^2+AF363^2)+AD363*AF363/(AE363^2+AF363^2)</f>
        <v>503.024691790427</v>
      </c>
      <c r="AH363" s="0" t="n">
        <f aca="false">AD363*AE363/(AE363^2+AF363^2)-AC363*AF363/(AE363^2+AF363^2)</f>
        <v>-1175.45168512682</v>
      </c>
      <c r="AJ363" s="0" t="n">
        <f aca="false">_Rfb1</f>
        <v>20000</v>
      </c>
      <c r="AK363" s="0" t="n">
        <f aca="false">_Rfb1*Rcea2_u*Cc3ea_u*A363*2*Pi</f>
        <v>1103960.68375824</v>
      </c>
      <c r="AL363" s="0" t="n">
        <v>1</v>
      </c>
      <c r="AM363" s="0" t="n">
        <f aca="false">(_Rfb1+Rcea2_u)*Cc3ea_u*A363*2*Pi</f>
        <v>20651.4794475879</v>
      </c>
      <c r="AN363" s="0" t="n">
        <f aca="false">AJ363*AL363/(AL363^2+AM363^2)+AK363*AM363/(AL363^2+AM363^2)</f>
        <v>53.4567827174377</v>
      </c>
      <c r="AO363" s="0" t="n">
        <f aca="false">AK363*AL363/(AL363^2+AM363^2)-AJ363*AM363/(AL363^2+AM363^2)</f>
        <v>-0.965865097844712</v>
      </c>
      <c r="AQ363" s="0" t="n">
        <f aca="false">Eadcg/(1+(Eadcg*A363/GBP)^2)</f>
        <v>0.0205128154261187</v>
      </c>
      <c r="AR363" s="0" t="n">
        <f aca="false">-(A363*Eadcg*Eadcg/GBP)/(1+(Eadcg*A363/GBP)^2)</f>
        <v>-8.05363902852559</v>
      </c>
      <c r="AT363" s="0" t="n">
        <f aca="false">-AR363*AH363+AG363*AQ363</f>
        <v>-9456.34511482601</v>
      </c>
      <c r="AU363" s="0" t="n">
        <f aca="false">AQ363*AH363+AG363*AR363</f>
        <v>-4075.29111357476</v>
      </c>
      <c r="AV363" s="0" t="n">
        <f aca="false">ATAN2(AT363,AU363)</f>
        <v>-2.73468605406611</v>
      </c>
      <c r="AW363" s="0" t="n">
        <f aca="false">AG363-AH363*AO363/_Rfb2+AG363*AN363/_Rfb2+AN363-AO363*AR363+AQ363*AN363</f>
        <v>561.388934028885</v>
      </c>
      <c r="AX363" s="0" t="n">
        <f aca="false">AH363+AH363*AN363/_Rfb2+AG363*AO363/_Rfb2+AO363+AO363*AQ363+AN363*AR363</f>
        <v>-1635.45376816363</v>
      </c>
      <c r="AY363" s="0" t="n">
        <f aca="false">ATAN2(AW363,AX363)</f>
        <v>-1.2401368531855</v>
      </c>
      <c r="BA363" s="0" t="n">
        <f aca="false">SQRT(AT363^2+AU363^2)/SQRT(AW363^2+AX363^2)</f>
        <v>5.95510496559706</v>
      </c>
      <c r="BB363" s="0" t="n">
        <f aca="false">20*LOG(BA363)</f>
        <v>15.4977884165534</v>
      </c>
      <c r="BC363" s="0" t="n">
        <f aca="false">AV363-AY363</f>
        <v>-1.49454920088062</v>
      </c>
      <c r="BD363" s="0" t="n">
        <f aca="false">BC363*180/Pi-180</f>
        <v>-265.631361582957</v>
      </c>
      <c r="BF363" s="0" t="n">
        <f aca="false">20*LOG(BA363*J363*F363*C363)</f>
        <v>-14.8792929163731</v>
      </c>
      <c r="BG363" s="0" t="n">
        <f aca="false">(180/Pi)*(D363+H363+BC363)</f>
        <v>-263.274765526326</v>
      </c>
      <c r="BH363" s="0" t="n">
        <f aca="false">IF(BG363&gt;180,BG363-180,BG363+180)</f>
        <v>-83.2747655263264</v>
      </c>
      <c r="BI363" s="0" t="n">
        <f aca="false">IF(BH363&gt;180,BH363-360,BH363)</f>
        <v>-83.2747655263264</v>
      </c>
      <c r="BJ363" s="0" t="n">
        <f aca="false">SUM((BF364&lt;0)*(BF363&gt;0))*A363</f>
        <v>0</v>
      </c>
      <c r="BK363" s="0" t="n">
        <f aca="false">IF(BJ363&gt;0,BI363,0)</f>
        <v>0</v>
      </c>
      <c r="BM363" s="0" t="n">
        <f aca="false">20*LOG(J363*F363*C363)</f>
        <v>-30.3770813329264</v>
      </c>
      <c r="BN363" s="0" t="n">
        <f aca="false">(H363+D363)*180/Pi</f>
        <v>-177.643403943369</v>
      </c>
      <c r="BQ363" s="347" t="n">
        <f aca="false">20*LOG(BA363*7)</f>
        <v>32.3997492168385</v>
      </c>
      <c r="BR363" s="353"/>
      <c r="BS363" s="353"/>
      <c r="BT363" s="353" t="n">
        <v>338844.156</v>
      </c>
      <c r="BU363" s="353" t="n">
        <v>15.2844</v>
      </c>
      <c r="BV363" s="353" t="n">
        <v>-197.853</v>
      </c>
      <c r="BW363" s="349"/>
      <c r="BY363" s="353"/>
      <c r="BZ363" s="353"/>
      <c r="CA363" s="353"/>
      <c r="CC363" s="353"/>
    </row>
    <row r="364" customFormat="false" ht="12.75" hidden="false" customHeight="false" outlineLevel="0" collapsed="false">
      <c r="A364" s="0" t="n">
        <f aca="false">A363+5000</f>
        <v>750000</v>
      </c>
      <c r="B364" s="0" t="n">
        <f aca="false">A364/1000</f>
        <v>750</v>
      </c>
      <c r="C364" s="0" t="n">
        <f aca="false">SQRT((A364/Fesr)^2+1)</f>
        <v>1.00001110324328</v>
      </c>
      <c r="D364" s="0" t="n">
        <f aca="false">ATAN(A364/Fesr)</f>
        <v>0.00471235409340361</v>
      </c>
      <c r="F364" s="0" t="n">
        <f aca="false">(Ro/(Ro+Rdcr))/SQRT((A364/(Q*Fo))^2+(1-(A364^2/Fo^2))^2)</f>
        <v>0.0033195022276183</v>
      </c>
      <c r="G364" s="0" t="n">
        <f aca="false">-ATAN(A364*Fo/(Q*(Fo^2-A364^2)))</f>
        <v>0.036205007568811</v>
      </c>
      <c r="H364" s="0" t="n">
        <f aca="false">IF(G364&gt;0,G364-Pi,G364)</f>
        <v>-3.10538764243119</v>
      </c>
      <c r="J364" s="0" t="n">
        <f aca="false">Vin/Vramp</f>
        <v>9</v>
      </c>
      <c r="M364" s="0" t="n">
        <f aca="false">1/(2*Pi*_Rfb1*(Cc1ea_u+Cc2ea_u)*A364)</f>
        <v>0.00785950337154353</v>
      </c>
      <c r="N364" s="0" t="n">
        <f aca="false">-Pi/2</f>
        <v>-1.570796325</v>
      </c>
      <c r="O364" s="0" t="n">
        <f aca="false">SQRT(1+(A364/Fz1_u)^2)</f>
        <v>18.3490379833407</v>
      </c>
      <c r="P364" s="0" t="n">
        <f aca="false">ATAN2(Fz1_u,A364)</f>
        <v>1.51627054277174</v>
      </c>
      <c r="Q364" s="0" t="n">
        <f aca="false">SQRT(1+(A364/Fz2_u)^2)</f>
        <v>20790.0800048431</v>
      </c>
      <c r="R364" s="0" t="n">
        <f aca="false">ATAN2(Fz2_u,A364)</f>
        <v>1.57074822693188</v>
      </c>
      <c r="S364" s="0" t="n">
        <f aca="false">1/SQRT(1+(A364/Fp1_u)^2)</f>
        <v>0.0179928967020473</v>
      </c>
      <c r="T364" s="0" t="n">
        <f aca="false">-ATAN2(Fp1_u,A364)</f>
        <v>-1.55280245910166</v>
      </c>
      <c r="U364" s="0" t="n">
        <f aca="false">1/SQRT(1+(A364/Fp2_u)^2)</f>
        <v>0.44089729281629</v>
      </c>
      <c r="V364" s="0" t="n">
        <f aca="false">-ATAN2(Fp2_u,A364)</f>
        <v>-1.11419819353931</v>
      </c>
      <c r="X364" s="0" t="n">
        <f aca="false">20*LOG(C364*J364*O364*Q364*F364*M364*S364*U364)</f>
        <v>-2.96753240736213</v>
      </c>
      <c r="Y364" s="0" t="n">
        <f aca="false">(180/Pi)*(D364+H364+N364+P364+R364+T364+V364)</f>
        <v>-243.590342411046</v>
      </c>
      <c r="Z364" s="0" t="n">
        <f aca="false">Y364+180</f>
        <v>-63.590342411046</v>
      </c>
      <c r="AC364" s="0" t="n">
        <v>1</v>
      </c>
      <c r="AD364" s="0" t="n">
        <f aca="false">Rcea1_u*Cc1ea_u*A364*2*Pi</f>
        <v>18.3217683348</v>
      </c>
      <c r="AE364" s="0" t="n">
        <f aca="false">-Rcea1_u*Cc1ea_u*Cc2ea_u*(A364*2*Pi)^2</f>
        <v>-0.0129508948655123</v>
      </c>
      <c r="AF364" s="0" t="n">
        <f aca="false">(Cc2ea_u+Cc1ea_u)*A364*2*Pi</f>
        <v>0.00636172511625</v>
      </c>
      <c r="AG364" s="0" t="n">
        <f aca="false">AC364*AE364/(AE364^2+AF364^2)+AD364*AF364/(AE364^2+AF364^2)</f>
        <v>497.639482400598</v>
      </c>
      <c r="AH364" s="0" t="n">
        <f aca="false">AD364*AE364/(AE364^2+AF364^2)-AC364*AF364/(AE364^2+AF364^2)</f>
        <v>-1170.26065751904</v>
      </c>
      <c r="AJ364" s="0" t="n">
        <f aca="false">_Rfb1</f>
        <v>20000</v>
      </c>
      <c r="AK364" s="0" t="n">
        <f aca="false">_Rfb1*Rcea2_u*Cc3ea_u*A364*2*Pi</f>
        <v>1111369.815864</v>
      </c>
      <c r="AL364" s="0" t="n">
        <v>1</v>
      </c>
      <c r="AM364" s="0" t="n">
        <f aca="false">(_Rfb1+Rcea2_u)*Cc3ea_u*A364*2*Pi</f>
        <v>20790.0799807932</v>
      </c>
      <c r="AN364" s="0" t="n">
        <f aca="false">AJ364*AL364/(AL364^2+AM364^2)+AK364*AM364/(AL364^2+AM364^2)</f>
        <v>53.4567820959194</v>
      </c>
      <c r="AO364" s="0" t="n">
        <f aca="false">AK364*AL364/(AL364^2+AM364^2)-AJ364*AM364/(AL364^2+AM364^2)</f>
        <v>-0.959425997222309</v>
      </c>
      <c r="AQ364" s="0" t="n">
        <f aca="false">Eadcg/(1+(Eadcg*A364/GBP)^2)</f>
        <v>0.0202402246460101</v>
      </c>
      <c r="AR364" s="0" t="n">
        <f aca="false">-(A364*Eadcg*Eadcg/GBP)/(1+(Eadcg*A364/GBP)^2)</f>
        <v>-7.99994879133549</v>
      </c>
      <c r="AT364" s="0" t="n">
        <f aca="false">-AR364*AH364+AG364*AQ364</f>
        <v>-9351.95299775043</v>
      </c>
      <c r="AU364" s="0" t="n">
        <f aca="false">AQ364*AH364+AG364*AR364</f>
        <v>-4004.77671435406</v>
      </c>
      <c r="AV364" s="0" t="n">
        <f aca="false">ATAN2(AT364,AU364)</f>
        <v>-2.73699026547994</v>
      </c>
      <c r="AW364" s="0" t="n">
        <f aca="false">AG364-AH364*AO364/_Rfb2+AG364*AN364/_Rfb2+AN364-AO364*AR364+AQ364*AN364</f>
        <v>555.968625021737</v>
      </c>
      <c r="AX364" s="0" t="n">
        <f aca="false">AH364+AH364*AN364/_Rfb2+AG364*AO364/_Rfb2+AO364+AO364*AQ364+AN364*AR364</f>
        <v>-1627.2571395804</v>
      </c>
      <c r="AY364" s="0" t="n">
        <f aca="false">ATAN2(AW364,AX364)</f>
        <v>-1.24157061212373</v>
      </c>
      <c r="BA364" s="0" t="n">
        <f aca="false">SQRT(AT364^2+AU364^2)/SQRT(AW364^2+AX364^2)</f>
        <v>5.91607748356072</v>
      </c>
      <c r="BB364" s="0" t="n">
        <f aca="false">20*LOG(BA364)</f>
        <v>15.4406770673575</v>
      </c>
      <c r="BC364" s="0" t="n">
        <f aca="false">AV364-AY364</f>
        <v>-1.49541965335622</v>
      </c>
      <c r="BD364" s="0" t="n">
        <f aca="false">BC364*180/Pi-180</f>
        <v>-265.681234836133</v>
      </c>
      <c r="BF364" s="0" t="n">
        <f aca="false">20*LOG(BA364*J364*F364*C364)</f>
        <v>-15.0529170143451</v>
      </c>
      <c r="BG364" s="0" t="n">
        <f aca="false">(180/Pi)*(D364+H364+BC364)</f>
        <v>-263.336842701399</v>
      </c>
      <c r="BH364" s="0" t="n">
        <f aca="false">IF(BG364&gt;180,BG364-180,BG364+180)</f>
        <v>-83.3368427013987</v>
      </c>
      <c r="BI364" s="0" t="n">
        <f aca="false">IF(BH364&gt;180,BH364-360,BH364)</f>
        <v>-83.3368427013987</v>
      </c>
      <c r="BJ364" s="0" t="n">
        <f aca="false">SUM((BF365&lt;0)*(BF364&gt;0))*A364</f>
        <v>0</v>
      </c>
      <c r="BK364" s="0" t="n">
        <f aca="false">IF(BJ364&gt;0,BI364,0)</f>
        <v>0</v>
      </c>
      <c r="BM364" s="0" t="n">
        <f aca="false">20*LOG(J364*F364*C364)</f>
        <v>-30.4935940817026</v>
      </c>
      <c r="BN364" s="0" t="n">
        <f aca="false">(H364+D364)*180/Pi</f>
        <v>-177.655607865266</v>
      </c>
      <c r="BQ364" s="347" t="n">
        <f aca="false">20*LOG(BA364*7)</f>
        <v>32.3426378676426</v>
      </c>
      <c r="BR364" s="353"/>
      <c r="BS364" s="353"/>
      <c r="BT364" s="353" t="n">
        <v>346736.85</v>
      </c>
      <c r="BU364" s="353" t="n">
        <v>15.2954</v>
      </c>
      <c r="BV364" s="353" t="n">
        <v>-200.482</v>
      </c>
      <c r="BW364" s="349"/>
      <c r="BY364" s="353"/>
      <c r="BZ364" s="353"/>
      <c r="CA364" s="353"/>
      <c r="CC364" s="353"/>
    </row>
    <row r="365" customFormat="false" ht="12.75" hidden="false" customHeight="false" outlineLevel="0" collapsed="false">
      <c r="A365" s="0" t="n">
        <f aca="false">A364+5000</f>
        <v>755000</v>
      </c>
      <c r="B365" s="0" t="n">
        <f aca="false">A365/1000</f>
        <v>755</v>
      </c>
      <c r="C365" s="0" t="n">
        <f aca="false">SQRT((A365/Fesr)^2+1)</f>
        <v>1.00001125177917</v>
      </c>
      <c r="D365" s="0" t="n">
        <f aca="false">ATAN(A365/Fesr)</f>
        <v>0.00474376931761682</v>
      </c>
      <c r="F365" s="0" t="n">
        <f aca="false">(Ro/(Ro+Rdcr))/SQRT((A365/(Q*Fo))^2+(1-(A365^2/Fo^2))^2)</f>
        <v>0.00327556467797138</v>
      </c>
      <c r="G365" s="0" t="n">
        <f aca="false">-ATAN(A365*Fo/(Q*(Fo^2-A365^2)))</f>
        <v>0.035963858963888</v>
      </c>
      <c r="H365" s="0" t="n">
        <f aca="false">IF(G365&gt;0,G365-Pi,G365)</f>
        <v>-3.10562879103611</v>
      </c>
      <c r="J365" s="0" t="n">
        <f aca="false">Vin/Vramp</f>
        <v>9</v>
      </c>
      <c r="M365" s="0" t="n">
        <f aca="false">1/(2*Pi*_Rfb1*(Cc1ea_u+Cc2ea_u)*A365)</f>
        <v>0.00780745368034125</v>
      </c>
      <c r="N365" s="0" t="n">
        <f aca="false">-Pi/2</f>
        <v>-1.570796325</v>
      </c>
      <c r="O365" s="0" t="n">
        <f aca="false">SQRT(1+(A365/Fz1_u)^2)</f>
        <v>18.4710027776103</v>
      </c>
      <c r="P365" s="0" t="n">
        <f aca="false">ATAN2(Fz1_u,A365)</f>
        <v>1.51663093246699</v>
      </c>
      <c r="Q365" s="0" t="n">
        <f aca="false">SQRT(1+(A365/Fz2_u)^2)</f>
        <v>20928.6805378891</v>
      </c>
      <c r="R365" s="0" t="n">
        <f aca="false">ATAN2(Fz2_u,A365)</f>
        <v>1.57074854547402</v>
      </c>
      <c r="S365" s="0" t="n">
        <f aca="false">1/SQRT(1+(A365/Fp1_u)^2)</f>
        <v>0.0178737766403074</v>
      </c>
      <c r="T365" s="0" t="n">
        <f aca="false">-ATAN2(Fp1_u,A365)</f>
        <v>-1.55292159832287</v>
      </c>
      <c r="U365" s="0" t="n">
        <f aca="false">1/SQRT(1+(A365/Fp2_u)^2)</f>
        <v>0.438540492021203</v>
      </c>
      <c r="V365" s="0" t="n">
        <f aca="false">-ATAN2(Fp2_u,A365)</f>
        <v>-1.11682229878339</v>
      </c>
      <c r="X365" s="0" t="n">
        <f aca="false">20*LOG(C365*J365*O365*Q365*F365*M365*S365*U365)</f>
        <v>-3.12997319910775</v>
      </c>
      <c r="Y365" s="0" t="n">
        <f aca="false">(180/Pi)*(D365+H365+N365+P365+R365+T365+V365)</f>
        <v>-243.738868519149</v>
      </c>
      <c r="Z365" s="0" t="n">
        <f aca="false">Y365+180</f>
        <v>-63.7388685191488</v>
      </c>
      <c r="AC365" s="0" t="n">
        <v>1</v>
      </c>
      <c r="AD365" s="0" t="n">
        <f aca="false">Rcea1_u*Cc1ea_u*A365*2*Pi</f>
        <v>18.443913457032</v>
      </c>
      <c r="AE365" s="0" t="n">
        <f aca="false">-Rcea1_u*Cc1ea_u*Cc2ea_u*(A365*2*Pi)^2</f>
        <v>-0.0131241490590465</v>
      </c>
      <c r="AF365" s="0" t="n">
        <f aca="false">(Cc2ea_u+Cc1ea_u)*A365*2*Pi</f>
        <v>0.006404136617025</v>
      </c>
      <c r="AG365" s="0" t="n">
        <f aca="false">AC365*AE365/(AE365^2+AF365^2)+AD365*AF365/(AE365^2+AF365^2)</f>
        <v>492.33347364403</v>
      </c>
      <c r="AH365" s="0" t="n">
        <f aca="false">AD365*AE365/(AE365^2+AF365^2)-AC365*AF365/(AE365^2+AF365^2)</f>
        <v>-1165.0997380391</v>
      </c>
      <c r="AJ365" s="0" t="n">
        <f aca="false">_Rfb1</f>
        <v>20000</v>
      </c>
      <c r="AK365" s="0" t="n">
        <f aca="false">_Rfb1*Rcea2_u*Cc3ea_u*A365*2*Pi</f>
        <v>1118778.94796976</v>
      </c>
      <c r="AL365" s="0" t="n">
        <v>1</v>
      </c>
      <c r="AM365" s="0" t="n">
        <f aca="false">(_Rfb1+Rcea2_u)*Cc3ea_u*A365*2*Pi</f>
        <v>20928.6805139985</v>
      </c>
      <c r="AN365" s="0" t="n">
        <f aca="false">AJ365*AL365/(AL365^2+AM365^2)+AK365*AM365/(AL365^2+AM365^2)</f>
        <v>53.4567814867081</v>
      </c>
      <c r="AO365" s="0" t="n">
        <f aca="false">AK365*AL365/(AL365^2+AM365^2)-AJ365*AM365/(AL365^2+AM365^2)</f>
        <v>-0.953072182700277</v>
      </c>
      <c r="AQ365" s="0" t="n">
        <f aca="false">Eadcg/(1+(Eadcg*A365/GBP)^2)</f>
        <v>0.0199730315783425</v>
      </c>
      <c r="AR365" s="0" t="n">
        <f aca="false">-(A365*Eadcg*Eadcg/GBP)/(1+(Eadcg*A365/GBP)^2)</f>
        <v>-7.94696966954879</v>
      </c>
      <c r="AT365" s="0" t="n">
        <f aca="false">-AR365*AH365+AG365*AQ365</f>
        <v>-9249.17888817977</v>
      </c>
      <c r="AU365" s="0" t="n">
        <f aca="false">AQ365*AH365+AG365*AR365</f>
        <v>-3935.82975621248</v>
      </c>
      <c r="AV365" s="0" t="n">
        <f aca="false">ATAN2(AT365,AU365)</f>
        <v>-2.73927073618233</v>
      </c>
      <c r="AW365" s="0" t="n">
        <f aca="false">AG365-AH365*AO365/_Rfb2+AG365*AN365/_Rfb2+AN365-AO365*AR365+AQ365*AN365</f>
        <v>550.627575832592</v>
      </c>
      <c r="AX365" s="0" t="n">
        <f aca="false">AH365+AH365*AN365/_Rfb2+AG365*AO365/_Rfb2+AO365+AO365*AQ365+AN365*AR365</f>
        <v>-1619.12953721938</v>
      </c>
      <c r="AY365" s="0" t="n">
        <f aca="false">ATAN2(AW365,AX365)</f>
        <v>-1.24298943146147</v>
      </c>
      <c r="BA365" s="0" t="n">
        <f aca="false">SQRT(AT365^2+AU365^2)/SQRT(AW365^2+AX365^2)</f>
        <v>5.87755314268902</v>
      </c>
      <c r="BB365" s="0" t="n">
        <f aca="false">20*LOG(BA365)</f>
        <v>15.3839312909366</v>
      </c>
      <c r="BC365" s="0" t="n">
        <f aca="false">AV365-AY365</f>
        <v>-1.49628130472086</v>
      </c>
      <c r="BD365" s="0" t="n">
        <f aca="false">BC365*180/Pi-180</f>
        <v>-265.730603822795</v>
      </c>
      <c r="BF365" s="0" t="n">
        <f aca="false">20*LOG(BA365*J365*F365*C365)</f>
        <v>-15.2253972040089</v>
      </c>
      <c r="BG365" s="0" t="n">
        <f aca="false">(180/Pi)*(D365+H365+BC365)</f>
        <v>-263.398228525612</v>
      </c>
      <c r="BH365" s="0" t="n">
        <f aca="false">IF(BG365&gt;180,BG365-180,BG365+180)</f>
        <v>-83.3982285256122</v>
      </c>
      <c r="BI365" s="0" t="n">
        <f aca="false">IF(BH365&gt;180,BH365-360,BH365)</f>
        <v>-83.3982285256122</v>
      </c>
      <c r="BJ365" s="0" t="n">
        <f aca="false">SUM((BF366&lt;0)*(BF365&gt;0))*A365</f>
        <v>0</v>
      </c>
      <c r="BK365" s="0" t="n">
        <f aca="false">IF(BJ365&gt;0,BI365,0)</f>
        <v>0</v>
      </c>
      <c r="BM365" s="0" t="n">
        <f aca="false">20*LOG(J365*F365*C365)</f>
        <v>-30.6093284949454</v>
      </c>
      <c r="BN365" s="0" t="n">
        <f aca="false">(H365+D365)*180/Pi</f>
        <v>-177.667624702817</v>
      </c>
      <c r="BQ365" s="347" t="n">
        <f aca="false">20*LOG(BA365*7)</f>
        <v>32.2858920912217</v>
      </c>
      <c r="BR365" s="353"/>
      <c r="BS365" s="353"/>
      <c r="BT365" s="353" t="n">
        <v>354813.389</v>
      </c>
      <c r="BU365" s="353" t="n">
        <v>15.3028</v>
      </c>
      <c r="BV365" s="353" t="n">
        <v>-203.332</v>
      </c>
      <c r="BW365" s="349"/>
      <c r="BY365" s="353"/>
      <c r="BZ365" s="353"/>
      <c r="CA365" s="353"/>
      <c r="CC365" s="353"/>
    </row>
    <row r="366" customFormat="false" ht="12.75" hidden="false" customHeight="false" outlineLevel="0" collapsed="false">
      <c r="A366" s="0" t="n">
        <f aca="false">A365+5000</f>
        <v>760000</v>
      </c>
      <c r="B366" s="0" t="n">
        <f aca="false">A366/1000</f>
        <v>760</v>
      </c>
      <c r="C366" s="0" t="n">
        <f aca="false">SQRT((A366/Fesr)^2+1)</f>
        <v>1.00001140130198</v>
      </c>
      <c r="D366" s="0" t="n">
        <f aca="false">ATAN(A366/Fesr)</f>
        <v>0.00477518453246654</v>
      </c>
      <c r="F366" s="0" t="n">
        <f aca="false">(Ro/(Ro+Rdcr))/SQRT((A366/(Q*Fo))^2+(1-(A366^2/Fo^2))^2)</f>
        <v>0.00323249448512259</v>
      </c>
      <c r="G366" s="0" t="n">
        <f aca="false">-ATAN(A366*Fo/(Q*(Fo^2-A366^2)))</f>
        <v>0.0357259104284827</v>
      </c>
      <c r="H366" s="0" t="n">
        <f aca="false">IF(G366&gt;0,G366-Pi,G366)</f>
        <v>-3.10586673957152</v>
      </c>
      <c r="J366" s="0" t="n">
        <f aca="false">Vin/Vramp</f>
        <v>9</v>
      </c>
      <c r="M366" s="0" t="n">
        <f aca="false">1/(2*Pi*_Rfb1*(Cc1ea_u+Cc2ea_u)*A366)</f>
        <v>0.0077560888534969</v>
      </c>
      <c r="N366" s="0" t="n">
        <f aca="false">-Pi/2</f>
        <v>-1.570796325</v>
      </c>
      <c r="O366" s="0" t="n">
        <f aca="false">SQRT(1+(A366/Fz1_u)^2)</f>
        <v>18.5929699394331</v>
      </c>
      <c r="P366" s="0" t="n">
        <f aca="false">ATAN2(Fz1_u,A366)</f>
        <v>1.51698659400062</v>
      </c>
      <c r="Q366" s="0" t="n">
        <f aca="false">SQRT(1+(A366/Fz2_u)^2)</f>
        <v>21067.2810709373</v>
      </c>
      <c r="R366" s="0" t="n">
        <f aca="false">ATAN2(Fz2_u,A366)</f>
        <v>1.57074885982481</v>
      </c>
      <c r="S366" s="0" t="n">
        <f aca="false">1/SQRT(1+(A366/Fp1_u)^2)</f>
        <v>0.0177562232016226</v>
      </c>
      <c r="T366" s="0" t="n">
        <f aca="false">-ATAN2(Fp1_u,A366)</f>
        <v>-1.55303917042028</v>
      </c>
      <c r="U366" s="0" t="n">
        <f aca="false">1/SQRT(1+(A366/Fp2_u)^2)</f>
        <v>0.4362057977176</v>
      </c>
      <c r="V366" s="0" t="n">
        <f aca="false">-ATAN2(Fp2_u,A366)</f>
        <v>-1.11941848141397</v>
      </c>
      <c r="X366" s="0" t="n">
        <f aca="false">20*LOG(C366*J366*O366*Q366*F366*M366*S366*U366)</f>
        <v>-3.29145369864925</v>
      </c>
      <c r="Y366" s="0" t="n">
        <f aca="false">(180/Pi)*(D366+H366+N366+P366+R366+T366+V366)</f>
        <v>-243.885792783675</v>
      </c>
      <c r="Z366" s="0" t="n">
        <f aca="false">Y366+180</f>
        <v>-63.8857927836755</v>
      </c>
      <c r="AC366" s="0" t="n">
        <v>1</v>
      </c>
      <c r="AD366" s="0" t="n">
        <f aca="false">Rcea1_u*Cc1ea_u*A366*2*Pi</f>
        <v>18.566058579264</v>
      </c>
      <c r="AE366" s="0" t="n">
        <f aca="false">-Rcea1_u*Cc1ea_u*Cc2ea_u*(A366*2*Pi)^2</f>
        <v>-0.0132985544432354</v>
      </c>
      <c r="AF366" s="0" t="n">
        <f aca="false">(Cc2ea_u+Cc1ea_u)*A366*2*Pi</f>
        <v>0.0064465481178</v>
      </c>
      <c r="AG366" s="0" t="n">
        <f aca="false">AC366*AE366/(AE366^2+AF366^2)+AD366*AF366/(AE366^2+AF366^2)</f>
        <v>487.105274783867</v>
      </c>
      <c r="AH366" s="0" t="n">
        <f aca="false">AD366*AE366/(AE366^2+AF366^2)-AC366*AF366/(AE366^2+AF366^2)</f>
        <v>-1159.96900661502</v>
      </c>
      <c r="AJ366" s="0" t="n">
        <f aca="false">_Rfb1</f>
        <v>20000</v>
      </c>
      <c r="AK366" s="0" t="n">
        <f aca="false">_Rfb1*Rcea2_u*Cc3ea_u*A366*2*Pi</f>
        <v>1126188.08007552</v>
      </c>
      <c r="AL366" s="0" t="n">
        <v>1</v>
      </c>
      <c r="AM366" s="0" t="n">
        <f aca="false">(_Rfb1+Rcea2_u)*Cc3ea_u*A366*2*Pi</f>
        <v>21067.2810472038</v>
      </c>
      <c r="AN366" s="0" t="n">
        <f aca="false">AJ366*AL366/(AL366^2+AM366^2)+AK366*AM366/(AL366^2+AM366^2)</f>
        <v>53.4567808894811</v>
      </c>
      <c r="AO366" s="0" t="n">
        <f aca="false">AK366*AL366/(AL366^2+AM366^2)-AJ366*AM366/(AL366^2+AM366^2)</f>
        <v>-0.946801971000334</v>
      </c>
      <c r="AQ366" s="0" t="n">
        <f aca="false">Eadcg/(1+(Eadcg*A366/GBP)^2)</f>
        <v>0.0197110946478242</v>
      </c>
      <c r="AR366" s="0" t="n">
        <f aca="false">-(A366*Eadcg*Eadcg/GBP)/(1+(Eadcg*A366/GBP)^2)</f>
        <v>-7.89468762834653</v>
      </c>
      <c r="AT366" s="0" t="n">
        <f aca="false">-AR366*AH366+AG366*AQ366</f>
        <v>-9147.99158761432</v>
      </c>
      <c r="AU366" s="0" t="n">
        <f aca="false">AQ366*AH366+AG366*AR366</f>
        <v>-3868.40824541646</v>
      </c>
      <c r="AV366" s="0" t="n">
        <f aca="false">ATAN2(AT366,AU366)</f>
        <v>-2.74152779197169</v>
      </c>
      <c r="AW366" s="0" t="n">
        <f aca="false">AG366-AH366*AO366/_Rfb2+AG366*AN366/_Rfb2+AN366-AO366*AR366+AQ366*AN366</f>
        <v>545.36441008519</v>
      </c>
      <c r="AX366" s="0" t="n">
        <f aca="false">AH366+AH366*AN366/_Rfb2+AG366*AO366/_Rfb2+AO366+AO366*AQ366+AN366*AR366</f>
        <v>-1611.07028839546</v>
      </c>
      <c r="AY366" s="0" t="n">
        <f aca="false">ATAN2(AW366,AX366)</f>
        <v>-1.24439346950248</v>
      </c>
      <c r="BA366" s="0" t="n">
        <f aca="false">SQRT(AT366^2+AU366^2)/SQRT(AW366^2+AX366^2)</f>
        <v>5.83952235691736</v>
      </c>
      <c r="BB366" s="0" t="n">
        <f aca="false">20*LOG(BA366)</f>
        <v>15.3275465099242</v>
      </c>
      <c r="BC366" s="0" t="n">
        <f aca="false">AV366-AY366</f>
        <v>-1.49713432246921</v>
      </c>
      <c r="BD366" s="0" t="n">
        <f aca="false">BC366*180/Pi-180</f>
        <v>-265.779478139681</v>
      </c>
      <c r="BF366" s="0" t="n">
        <f aca="false">20*LOG(BA366*J366*F366*C366)</f>
        <v>-15.3967484191193</v>
      </c>
      <c r="BG366" s="0" t="n">
        <f aca="false">(180/Pi)*(D366+H366+BC366)</f>
        <v>-263.458936330109</v>
      </c>
      <c r="BH366" s="0" t="n">
        <f aca="false">IF(BG366&gt;180,BG366-180,BG366+180)</f>
        <v>-83.4589363301085</v>
      </c>
      <c r="BI366" s="0" t="n">
        <f aca="false">IF(BH366&gt;180,BH366-360,BH366)</f>
        <v>-83.4589363301085</v>
      </c>
      <c r="BJ366" s="0" t="n">
        <f aca="false">SUM((BF367&lt;0)*(BF366&gt;0))*A366</f>
        <v>0</v>
      </c>
      <c r="BK366" s="0" t="n">
        <f aca="false">IF(BJ366&gt;0,BI366,0)</f>
        <v>0</v>
      </c>
      <c r="BM366" s="0" t="n">
        <f aca="false">20*LOG(J366*F366*C366)</f>
        <v>-30.7242949290435</v>
      </c>
      <c r="BN366" s="0" t="n">
        <f aca="false">(H366+D366)*180/Pi</f>
        <v>-177.679458190427</v>
      </c>
      <c r="BQ366" s="347" t="n">
        <f aca="false">20*LOG(BA366*7)</f>
        <v>32.2295073102093</v>
      </c>
      <c r="BR366" s="353"/>
      <c r="BS366" s="353"/>
      <c r="BT366" s="353" t="n">
        <v>363078.055</v>
      </c>
      <c r="BU366" s="353" t="n">
        <v>15.0492</v>
      </c>
      <c r="BV366" s="353" t="n">
        <v>-205.195</v>
      </c>
      <c r="BW366" s="349"/>
      <c r="BY366" s="353"/>
      <c r="BZ366" s="353"/>
      <c r="CA366" s="353"/>
      <c r="CC366" s="353"/>
    </row>
    <row r="367" customFormat="false" ht="12.75" hidden="false" customHeight="false" outlineLevel="0" collapsed="false">
      <c r="A367" s="0" t="n">
        <f aca="false">A366+5000</f>
        <v>765000</v>
      </c>
      <c r="B367" s="0" t="n">
        <f aca="false">A367/1000</f>
        <v>765</v>
      </c>
      <c r="C367" s="0" t="n">
        <f aca="false">SQRT((A367/Fesr)^2+1)</f>
        <v>1.00001155181172</v>
      </c>
      <c r="D367" s="0" t="n">
        <f aca="false">ATAN(A367/Fesr)</f>
        <v>0.00480659973789079</v>
      </c>
      <c r="F367" s="0" t="n">
        <f aca="false">(Ro/(Ro+Rdcr))/SQRT((A367/(Q*Fo))^2+(1-(A367^2/Fo^2))^2)</f>
        <v>0.00319026894958589</v>
      </c>
      <c r="G367" s="0" t="n">
        <f aca="false">-ATAN(A367*Fo/(Q*(Fo^2-A367^2)))</f>
        <v>0.0354910985127968</v>
      </c>
      <c r="H367" s="0" t="n">
        <f aca="false">IF(G367&gt;0,G367-Pi,G367)</f>
        <v>-3.1061015514872</v>
      </c>
      <c r="J367" s="0" t="n">
        <f aca="false">Vin/Vramp</f>
        <v>9</v>
      </c>
      <c r="M367" s="0" t="n">
        <f aca="false">1/(2*Pi*_Rfb1*(Cc1ea_u+Cc2ea_u)*A367)</f>
        <v>0.00770539546229757</v>
      </c>
      <c r="N367" s="0" t="n">
        <f aca="false">-Pi/2</f>
        <v>-1.570796325</v>
      </c>
      <c r="O367" s="0" t="n">
        <f aca="false">SQRT(1+(A367/Fz1_u)^2)</f>
        <v>18.7149394225204</v>
      </c>
      <c r="P367" s="0" t="n">
        <f aca="false">ATAN2(Fz1_u,A367)</f>
        <v>1.51733761972523</v>
      </c>
      <c r="Q367" s="0" t="n">
        <f aca="false">SQRT(1+(A367/Fz2_u)^2)</f>
        <v>21205.8816039874</v>
      </c>
      <c r="R367" s="0" t="n">
        <f aca="false">ATAN2(Fz2_u,A367)</f>
        <v>1.57074917006645</v>
      </c>
      <c r="S367" s="0" t="n">
        <f aca="false">1/SQRT(1+(A367/Fp1_u)^2)</f>
        <v>0.0176402056872032</v>
      </c>
      <c r="T367" s="0" t="n">
        <f aca="false">-ATAN2(Fp1_u,A367)</f>
        <v>-1.55315520610893</v>
      </c>
      <c r="U367" s="0" t="n">
        <f aca="false">1/SQRT(1+(A367/Fp2_u)^2)</f>
        <v>0.433892952380799</v>
      </c>
      <c r="V367" s="0" t="n">
        <f aca="false">-ATAN2(Fp2_u,A367)</f>
        <v>-1.12198715030617</v>
      </c>
      <c r="X367" s="0" t="n">
        <f aca="false">20*LOG(C367*J367*O367*Q367*F367*M367*S367*U367)</f>
        <v>-3.45198490105914</v>
      </c>
      <c r="Y367" s="0" t="n">
        <f aca="false">(180/Pi)*(D367+H367+N367+P367+R367+T367+V367)</f>
        <v>-244.031138730571</v>
      </c>
      <c r="Z367" s="0" t="n">
        <f aca="false">Y367+180</f>
        <v>-64.0311387305713</v>
      </c>
      <c r="AC367" s="0" t="n">
        <v>1</v>
      </c>
      <c r="AD367" s="0" t="n">
        <f aca="false">Rcea1_u*Cc1ea_u*A367*2*Pi</f>
        <v>18.688203701496</v>
      </c>
      <c r="AE367" s="0" t="n">
        <f aca="false">-Rcea1_u*Cc1ea_u*Cc2ea_u*(A367*2*Pi)^2</f>
        <v>-0.013474111018079</v>
      </c>
      <c r="AF367" s="0" t="n">
        <f aca="false">(Cc2ea_u+Cc1ea_u)*A367*2*Pi</f>
        <v>0.006488959618575</v>
      </c>
      <c r="AG367" s="0" t="n">
        <f aca="false">AC367*AE367/(AE367^2+AF367^2)+AD367*AF367/(AE367^2+AF367^2)</f>
        <v>481.95352096186</v>
      </c>
      <c r="AH367" s="0" t="n">
        <f aca="false">AD367*AE367/(AE367^2+AF367^2)-AC367*AF367/(AE367^2+AF367^2)</f>
        <v>-1154.86852862245</v>
      </c>
      <c r="AJ367" s="0" t="n">
        <f aca="false">_Rfb1</f>
        <v>20000</v>
      </c>
      <c r="AK367" s="0" t="n">
        <f aca="false">_Rfb1*Rcea2_u*Cc3ea_u*A367*2*Pi</f>
        <v>1133597.21218128</v>
      </c>
      <c r="AL367" s="0" t="n">
        <v>1</v>
      </c>
      <c r="AM367" s="0" t="n">
        <f aca="false">(_Rfb1+Rcea2_u)*Cc3ea_u*A367*2*Pi</f>
        <v>21205.8815804091</v>
      </c>
      <c r="AN367" s="0" t="n">
        <f aca="false">AJ367*AL367/(AL367^2+AM367^2)+AK367*AM367/(AL367^2+AM367^2)</f>
        <v>53.4567803039262</v>
      </c>
      <c r="AO367" s="0" t="n">
        <f aca="false">AK367*AL367/(AL367^2+AM367^2)-AJ367*AM367/(AL367^2+AM367^2)</f>
        <v>-0.940613722851474</v>
      </c>
      <c r="AQ367" s="0" t="n">
        <f aca="false">Eadcg/(1+(Eadcg*A367/GBP)^2)</f>
        <v>0.0194542768905798</v>
      </c>
      <c r="AR367" s="0" t="n">
        <f aca="false">-(A367*Eadcg*Eadcg/GBP)/(1+(Eadcg*A367/GBP)^2)</f>
        <v>-7.84308899982168</v>
      </c>
      <c r="AT367" s="0" t="n">
        <f aca="false">-AR367*AH367+AG367*AQ367</f>
        <v>-9048.36059583378</v>
      </c>
      <c r="AU367" s="0" t="n">
        <f aca="false">AQ367*AH367+AG367*AR367</f>
        <v>-3802.47149080933</v>
      </c>
      <c r="AV367" s="0" t="n">
        <f aca="false">ATAN2(AT367,AU367)</f>
        <v>-2.74376175369324</v>
      </c>
      <c r="AW367" s="0" t="n">
        <f aca="false">AG367-AH367*AO367/_Rfb2+AG367*AN367/_Rfb2+AN367-AO367*AR367+AQ367*AN367</f>
        <v>540.177776364012</v>
      </c>
      <c r="AX367" s="0" t="n">
        <f aca="false">AH367+AH367*AN367/_Rfb2+AG367*AO367/_Rfb2+AO367+AO367*AQ367+AN367*AR367</f>
        <v>-1603.07872526225</v>
      </c>
      <c r="AY367" s="0" t="n">
        <f aca="false">ATAN2(AW367,AX367)</f>
        <v>-1.24578288378228</v>
      </c>
      <c r="BA367" s="0" t="n">
        <f aca="false">SQRT(AT367^2+AU367^2)/SQRT(AW367^2+AX367^2)</f>
        <v>5.80197578000161</v>
      </c>
      <c r="BB367" s="0" t="n">
        <f aca="false">20*LOG(BA367)</f>
        <v>15.2715182306855</v>
      </c>
      <c r="BC367" s="0" t="n">
        <f aca="false">AV367-AY367</f>
        <v>-1.49797886991096</v>
      </c>
      <c r="BD367" s="0" t="n">
        <f aca="false">BC367*180/Pi-180</f>
        <v>-265.827867143747</v>
      </c>
      <c r="BF367" s="0" t="n">
        <f aca="false">20*LOG(BA367*J367*F367*C367)</f>
        <v>-15.566985303848</v>
      </c>
      <c r="BG367" s="0" t="n">
        <f aca="false">(180/Pi)*(D367+H367+BC367)</f>
        <v>-263.518979107253</v>
      </c>
      <c r="BH367" s="0" t="n">
        <f aca="false">IF(BG367&gt;180,BG367-180,BG367+180)</f>
        <v>-83.5189791072526</v>
      </c>
      <c r="BI367" s="0" t="n">
        <f aca="false">IF(BH367&gt;180,BH367-360,BH367)</f>
        <v>-83.5189791072526</v>
      </c>
      <c r="BJ367" s="0" t="n">
        <f aca="false">SUM((BF368&lt;0)*(BF367&gt;0))*A367</f>
        <v>0</v>
      </c>
      <c r="BK367" s="0" t="n">
        <f aca="false">IF(BJ367&gt;0,BI367,0)</f>
        <v>0</v>
      </c>
      <c r="BM367" s="0" t="n">
        <f aca="false">20*LOG(J367*F367*C367)</f>
        <v>-30.8385035345336</v>
      </c>
      <c r="BN367" s="0" t="n">
        <f aca="false">(H367+D367)*180/Pi</f>
        <v>-177.691111963506</v>
      </c>
      <c r="BQ367" s="347" t="n">
        <f aca="false">20*LOG(BA367*7)</f>
        <v>32.1734790309706</v>
      </c>
      <c r="BR367" s="353"/>
      <c r="BS367" s="353"/>
      <c r="BT367" s="353" t="n">
        <v>371535.229</v>
      </c>
      <c r="BU367" s="353" t="n">
        <v>14.9002</v>
      </c>
      <c r="BV367" s="353" t="n">
        <v>-207.41</v>
      </c>
      <c r="BW367" s="349"/>
      <c r="BY367" s="353"/>
      <c r="BZ367" s="353"/>
      <c r="CA367" s="353"/>
      <c r="CC367" s="353"/>
    </row>
    <row r="368" customFormat="false" ht="12.75" hidden="false" customHeight="false" outlineLevel="0" collapsed="false">
      <c r="A368" s="0" t="n">
        <f aca="false">A367+5000</f>
        <v>770000</v>
      </c>
      <c r="B368" s="0" t="n">
        <f aca="false">A368/1000</f>
        <v>770</v>
      </c>
      <c r="C368" s="0" t="n">
        <f aca="false">SQRT((A368/Fesr)^2+1)</f>
        <v>1.00001170330839</v>
      </c>
      <c r="D368" s="0" t="n">
        <f aca="false">ATAN(A368/Fesr)</f>
        <v>0.00483801493382755</v>
      </c>
      <c r="F368" s="0" t="n">
        <f aca="false">(Ro/(Ro+Rdcr))/SQRT((A368/(Q*Fo))^2+(1-(A368^2/Fo^2))^2)</f>
        <v>0.00314886611024011</v>
      </c>
      <c r="G368" s="0" t="n">
        <f aca="false">-ATAN(A368*Fo/(Q*(Fo^2-A368^2)))</f>
        <v>0.0352593614377981</v>
      </c>
      <c r="H368" s="0" t="n">
        <f aca="false">IF(G368&gt;0,G368-Pi,G368)</f>
        <v>-3.1063332885622</v>
      </c>
      <c r="J368" s="0" t="n">
        <f aca="false">Vin/Vramp</f>
        <v>9</v>
      </c>
      <c r="M368" s="0" t="n">
        <f aca="false">1/(2*Pi*_Rfb1*(Cc1ea_u+Cc2ea_u)*A368)</f>
        <v>0.00765536042682811</v>
      </c>
      <c r="N368" s="0" t="n">
        <f aca="false">-Pi/2</f>
        <v>-1.570796325</v>
      </c>
      <c r="O368" s="0" t="n">
        <f aca="false">SQRT(1+(A368/Fz1_u)^2)</f>
        <v>18.8369111817815</v>
      </c>
      <c r="P368" s="0" t="n">
        <f aca="false">ATAN2(Fz1_u,A368)</f>
        <v>1.51768409960611</v>
      </c>
      <c r="Q368" s="0" t="n">
        <f aca="false">SQRT(1+(A368/Fz2_u)^2)</f>
        <v>21344.4821370396</v>
      </c>
      <c r="R368" s="0" t="n">
        <f aca="false">ATAN2(Fz2_u,A368)</f>
        <v>1.57074947627897</v>
      </c>
      <c r="S368" s="0" t="n">
        <f aca="false">1/SQRT(1+(A368/Fp1_u)^2)</f>
        <v>0.0175256941950099</v>
      </c>
      <c r="T368" s="0" t="n">
        <f aca="false">-ATAN2(Fp1_u,A368)</f>
        <v>-1.55326973530649</v>
      </c>
      <c r="U368" s="0" t="n">
        <f aca="false">1/SQRT(1+(A368/Fp2_u)^2)</f>
        <v>0.431601701147595</v>
      </c>
      <c r="V368" s="0" t="n">
        <f aca="false">-ATAN2(Fp2_u,A368)</f>
        <v>-1.12452870716708</v>
      </c>
      <c r="X368" s="0" t="n">
        <f aca="false">20*LOG(C368*J368*O368*Q368*F368*M368*S368*U368)</f>
        <v>-3.61157761338795</v>
      </c>
      <c r="Y368" s="0" t="n">
        <f aca="false">(180/Pi)*(D368+H368+N368+P368+R368+T368+V368)</f>
        <v>-244.174929470578</v>
      </c>
      <c r="Z368" s="0" t="n">
        <f aca="false">Y368+180</f>
        <v>-64.1749294705783</v>
      </c>
      <c r="AC368" s="0" t="n">
        <v>1</v>
      </c>
      <c r="AD368" s="0" t="n">
        <f aca="false">Rcea1_u*Cc1ea_u*A368*2*Pi</f>
        <v>18.810348823728</v>
      </c>
      <c r="AE368" s="0" t="n">
        <f aca="false">-Rcea1_u*Cc1ea_u*Cc2ea_u*(A368*2*Pi)^2</f>
        <v>-0.0136508187835774</v>
      </c>
      <c r="AF368" s="0" t="n">
        <f aca="false">(Cc2ea_u+Cc1ea_u)*A368*2*Pi</f>
        <v>0.00653137111935</v>
      </c>
      <c r="AG368" s="0" t="n">
        <f aca="false">AC368*AE368/(AE368^2+AF368^2)+AD368*AF368/(AE368^2+AF368^2)</f>
        <v>476.876872789755</v>
      </c>
      <c r="AH368" s="0" t="n">
        <f aca="false">AD368*AE368/(AE368^2+AF368^2)-AC368*AF368/(AE368^2+AF368^2)</f>
        <v>-1149.79835555255</v>
      </c>
      <c r="AJ368" s="0" t="n">
        <f aca="false">_Rfb1</f>
        <v>20000</v>
      </c>
      <c r="AK368" s="0" t="n">
        <f aca="false">_Rfb1*Rcea2_u*Cc3ea_u*A368*2*Pi</f>
        <v>1141006.34428704</v>
      </c>
      <c r="AL368" s="0" t="n">
        <v>1</v>
      </c>
      <c r="AM368" s="0" t="n">
        <f aca="false">(_Rfb1+Rcea2_u)*Cc3ea_u*A368*2*Pi</f>
        <v>21344.4821136143</v>
      </c>
      <c r="AN368" s="0" t="n">
        <f aca="false">AJ368*AL368/(AL368^2+AM368^2)+AK368*AM368/(AL368^2+AM368^2)</f>
        <v>53.4567797297411</v>
      </c>
      <c r="AO368" s="0" t="n">
        <f aca="false">AK368*AL368/(AL368^2+AM368^2)-AJ368*AM368/(AL368^2+AM368^2)</f>
        <v>-0.934505841561158</v>
      </c>
      <c r="AQ368" s="0" t="n">
        <f aca="false">Eadcg/(1+(Eadcg*A368/GBP)^2)</f>
        <v>0.019202445775073</v>
      </c>
      <c r="AR368" s="0" t="n">
        <f aca="false">-(A368*Eadcg*Eadcg/GBP)/(1+(Eadcg*A368/GBP)^2)</f>
        <v>-7.79216047106687</v>
      </c>
      <c r="AT368" s="0" t="n">
        <f aca="false">-AR368*AH368+AG368*AQ368</f>
        <v>-8950.2560935431</v>
      </c>
      <c r="AU368" s="0" t="n">
        <f aca="false">AQ368*AH368+AG368*AR368</f>
        <v>-3737.98005829308</v>
      </c>
      <c r="AV368" s="0" t="n">
        <f aca="false">ATAN2(AT368,AU368)</f>
        <v>-2.74597293729927</v>
      </c>
      <c r="AW368" s="0" t="n">
        <f aca="false">AG368-AH368*AO368/_Rfb2+AG368*AN368/_Rfb2+AN368-AO368*AR368+AQ368*AN368</f>
        <v>535.066347855144</v>
      </c>
      <c r="AX368" s="0" t="n">
        <f aca="false">AH368+AH368*AN368/_Rfb2+AG368*AO368/_Rfb2+AO368+AO368*AQ368+AN368*AR368</f>
        <v>-1595.15418485485</v>
      </c>
      <c r="AY368" s="0" t="n">
        <f aca="false">ATAN2(AW368,AX368)</f>
        <v>-1.24715783099986</v>
      </c>
      <c r="BA368" s="0" t="n">
        <f aca="false">SQRT(AT368^2+AU368^2)/SQRT(AW368^2+AX368^2)</f>
        <v>5.76490429813328</v>
      </c>
      <c r="BB368" s="0" t="n">
        <f aca="false">20*LOG(BA368)</f>
        <v>15.2158420413304</v>
      </c>
      <c r="BC368" s="0" t="n">
        <f aca="false">AV368-AY368</f>
        <v>-1.4988151062994</v>
      </c>
      <c r="BD368" s="0" t="n">
        <f aca="false">BC368*180/Pi-180</f>
        <v>-265.875779959535</v>
      </c>
      <c r="BF368" s="0" t="n">
        <f aca="false">20*LOG(BA368*J368*F368*C368)</f>
        <v>-15.736122220203</v>
      </c>
      <c r="BG368" s="0" t="n">
        <f aca="false">(180/Pi)*(D368+H368+BC368)</f>
        <v>-263.578369521268</v>
      </c>
      <c r="BH368" s="0" t="n">
        <f aca="false">IF(BG368&gt;180,BG368-180,BG368+180)</f>
        <v>-83.578369521268</v>
      </c>
      <c r="BI368" s="0" t="n">
        <f aca="false">IF(BH368&gt;180,BH368-360,BH368)</f>
        <v>-83.578369521268</v>
      </c>
      <c r="BJ368" s="0" t="n">
        <f aca="false">SUM((BF369&lt;0)*(BF368&gt;0))*A368</f>
        <v>0</v>
      </c>
      <c r="BK368" s="0" t="n">
        <f aca="false">IF(BJ368&gt;0,BI368,0)</f>
        <v>0</v>
      </c>
      <c r="BM368" s="0" t="n">
        <f aca="false">20*LOG(J368*F368*C368)</f>
        <v>-30.9519642615334</v>
      </c>
      <c r="BN368" s="0" t="n">
        <f aca="false">(H368+D368)*180/Pi</f>
        <v>-177.702589561733</v>
      </c>
      <c r="BQ368" s="347" t="n">
        <f aca="false">20*LOG(BA368*7)</f>
        <v>32.1178028416155</v>
      </c>
      <c r="BR368" s="353"/>
      <c r="BS368" s="353"/>
      <c r="BT368" s="353" t="n">
        <v>380189.396</v>
      </c>
      <c r="BU368" s="353" t="n">
        <v>14.938</v>
      </c>
      <c r="BV368" s="353" t="n">
        <v>-210.394</v>
      </c>
      <c r="BW368" s="349"/>
      <c r="BY368" s="353"/>
      <c r="BZ368" s="353"/>
      <c r="CA368" s="353"/>
      <c r="CC368" s="353"/>
    </row>
    <row r="369" customFormat="false" ht="12.75" hidden="false" customHeight="false" outlineLevel="0" collapsed="false">
      <c r="A369" s="0" t="n">
        <f aca="false">A368+5000</f>
        <v>775000</v>
      </c>
      <c r="B369" s="0" t="n">
        <f aca="false">A369/1000</f>
        <v>775</v>
      </c>
      <c r="C369" s="0" t="n">
        <f aca="false">SQRT((A369/Fesr)^2+1)</f>
        <v>1.00001185579198</v>
      </c>
      <c r="D369" s="0" t="n">
        <f aca="false">ATAN(A369/Fesr)</f>
        <v>0.00486943012021483</v>
      </c>
      <c r="F369" s="0" t="n">
        <f aca="false">(Ro/(Ro+Rdcr))/SQRT((A369/(Q*Fo))^2+(1-(A369^2/Fo^2))^2)</f>
        <v>0.00310826471567117</v>
      </c>
      <c r="G369" s="0" t="n">
        <f aca="false">-ATAN(A369*Fo/(Q*(Fo^2-A369^2)))</f>
        <v>0.0350306390404496</v>
      </c>
      <c r="H369" s="0" t="n">
        <f aca="false">IF(G369&gt;0,G369-Pi,G369)</f>
        <v>-3.10656201095955</v>
      </c>
      <c r="J369" s="0" t="n">
        <f aca="false">Vin/Vramp</f>
        <v>9</v>
      </c>
      <c r="M369" s="0" t="n">
        <f aca="false">1/(2*Pi*_Rfb1*(Cc1ea_u+Cc2ea_u)*A369)</f>
        <v>0.00760597100471954</v>
      </c>
      <c r="N369" s="0" t="n">
        <f aca="false">-Pi/2</f>
        <v>-1.570796325</v>
      </c>
      <c r="O369" s="0" t="n">
        <f aca="false">SQRT(1+(A369/Fz1_u)^2)</f>
        <v>18.9588851732852</v>
      </c>
      <c r="P369" s="0" t="n">
        <f aca="false">ATAN2(Fz1_u,A369)</f>
        <v>1.51802612129773</v>
      </c>
      <c r="Q369" s="0" t="n">
        <f aca="false">SQRT(1+(A369/Fz2_u)^2)</f>
        <v>21483.0826700938</v>
      </c>
      <c r="R369" s="0" t="n">
        <f aca="false">ATAN2(Fz2_u,A369)</f>
        <v>1.57074977854036</v>
      </c>
      <c r="S369" s="0" t="n">
        <f aca="false">1/SQRT(1+(A369/Fp1_u)^2)</f>
        <v>0.0174126595940765</v>
      </c>
      <c r="T369" s="0" t="n">
        <f aca="false">-ATAN2(Fp1_u,A369)</f>
        <v>-1.55338278715894</v>
      </c>
      <c r="U369" s="0" t="n">
        <f aca="false">1/SQRT(1+(A369/Fp2_u)^2)</f>
        <v>0.429331791830726</v>
      </c>
      <c r="V369" s="0" t="n">
        <f aca="false">-ATAN2(Fp2_u,A369)</f>
        <v>-1.12704354666973</v>
      </c>
      <c r="X369" s="0" t="n">
        <f aca="false">20*LOG(C369*J369*O369*Q369*F369*M369*S369*U369)</f>
        <v>-3.77024245907394</v>
      </c>
      <c r="Y369" s="0" t="n">
        <f aca="false">(180/Pi)*(D369+H369+N369+P369+R369+T369+V369)</f>
        <v>-244.317187707128</v>
      </c>
      <c r="Z369" s="0" t="n">
        <f aca="false">Y369+180</f>
        <v>-64.3171877071278</v>
      </c>
      <c r="AC369" s="0" t="n">
        <v>1</v>
      </c>
      <c r="AD369" s="0" t="n">
        <f aca="false">Rcea1_u*Cc1ea_u*A369*2*Pi</f>
        <v>18.93249394596</v>
      </c>
      <c r="AE369" s="0" t="n">
        <f aca="false">-Rcea1_u*Cc1ea_u*Cc2ea_u*(A369*2*Pi)^2</f>
        <v>-0.0138286777397304</v>
      </c>
      <c r="AF369" s="0" t="n">
        <f aca="false">(Cc2ea_u+Cc1ea_u)*A369*2*Pi</f>
        <v>0.006573782620125</v>
      </c>
      <c r="AG369" s="0" t="n">
        <f aca="false">AC369*AE369/(AE369^2+AF369^2)+AD369*AF369/(AE369^2+AF369^2)</f>
        <v>471.874015940049</v>
      </c>
      <c r="AH369" s="0" t="n">
        <f aca="false">AD369*AE369/(AE369^2+AF369^2)-AC369*AF369/(AE369^2+AF369^2)</f>
        <v>-1144.75852565448</v>
      </c>
      <c r="AJ369" s="0" t="n">
        <f aca="false">_Rfb1</f>
        <v>20000</v>
      </c>
      <c r="AK369" s="0" t="n">
        <f aca="false">_Rfb1*Rcea2_u*Cc3ea_u*A369*2*Pi</f>
        <v>1148415.4763928</v>
      </c>
      <c r="AL369" s="0" t="n">
        <v>1</v>
      </c>
      <c r="AM369" s="0" t="n">
        <f aca="false">(_Rfb1+Rcea2_u)*Cc3ea_u*A369*2*Pi</f>
        <v>21483.0826468196</v>
      </c>
      <c r="AN369" s="0" t="n">
        <f aca="false">AJ369*AL369/(AL369^2+AM369^2)+AK369*AM369/(AL369^2+AM369^2)</f>
        <v>53.4567791666334</v>
      </c>
      <c r="AO369" s="0" t="n">
        <f aca="false">AK369*AL369/(AL369^2+AM369^2)-AJ369*AM369/(AL369^2+AM369^2)</f>
        <v>-0.928476771641813</v>
      </c>
      <c r="AQ369" s="0" t="n">
        <f aca="false">Eadcg/(1+(Eadcg*A369/GBP)^2)</f>
        <v>0.0189554730310906</v>
      </c>
      <c r="AR369" s="0" t="n">
        <f aca="false">-(A369*Eadcg*Eadcg/GBP)/(1+(Eadcg*A369/GBP)^2)</f>
        <v>-7.74188907272319</v>
      </c>
      <c r="AT369" s="0" t="n">
        <f aca="false">-AR369*AH369+AG369*AQ369</f>
        <v>-8853.64892548791</v>
      </c>
      <c r="AU369" s="0" t="n">
        <f aca="false">AQ369*AH369+AG369*AR369</f>
        <v>-3674.89572706843</v>
      </c>
      <c r="AV369" s="0" t="n">
        <f aca="false">ATAN2(AT369,AU369)</f>
        <v>-2.74816165391009</v>
      </c>
      <c r="AW369" s="0" t="n">
        <f aca="false">AG369-AH369*AO369/_Rfb2+AG369*AN369/_Rfb2+AN369-AO369*AR369+AQ369*AN369</f>
        <v>530.02882198382</v>
      </c>
      <c r="AX369" s="0" t="n">
        <f aca="false">AH369+AH369*AN369/_Rfb2+AG369*AO369/_Rfb2+AO369+AO369*AQ369+AN369*AR369</f>
        <v>-1587.29600913125</v>
      </c>
      <c r="AY369" s="0" t="n">
        <f aca="false">ATAN2(AW369,AX369)</f>
        <v>-1.24851846695469</v>
      </c>
      <c r="BA369" s="0" t="n">
        <f aca="false">SQRT(AT369^2+AU369^2)/SQRT(AW369^2+AX369^2)</f>
        <v>5.72829902282316</v>
      </c>
      <c r="BB369" s="0" t="n">
        <f aca="false">20*LOG(BA369)</f>
        <v>15.1605136097826</v>
      </c>
      <c r="BC369" s="0" t="n">
        <f aca="false">AV369-AY369</f>
        <v>-1.49964318695541</v>
      </c>
      <c r="BD369" s="0" t="n">
        <f aca="false">BC369*180/Pi-180</f>
        <v>-265.923225486275</v>
      </c>
      <c r="BF369" s="0" t="n">
        <f aca="false">20*LOG(BA369*J369*F369*C369)</f>
        <v>-15.9041732552135</v>
      </c>
      <c r="BG369" s="0" t="n">
        <f aca="false">(180/Pi)*(D369+H369+BC369)</f>
        <v>-263.637119918476</v>
      </c>
      <c r="BH369" s="0" t="n">
        <f aca="false">IF(BG369&gt;180,BG369-180,BG369+180)</f>
        <v>-83.6371199184762</v>
      </c>
      <c r="BI369" s="0" t="n">
        <f aca="false">IF(BH369&gt;180,BH369-360,BH369)</f>
        <v>-83.6371199184762</v>
      </c>
      <c r="BJ369" s="0" t="n">
        <f aca="false">SUM((BF370&lt;0)*(BF369&gt;0))*A369</f>
        <v>0</v>
      </c>
      <c r="BK369" s="0" t="n">
        <f aca="false">IF(BJ369&gt;0,BI369,0)</f>
        <v>0</v>
      </c>
      <c r="BM369" s="0" t="n">
        <f aca="false">20*LOG(J369*F369*C369)</f>
        <v>-31.0646868649961</v>
      </c>
      <c r="BN369" s="0" t="n">
        <f aca="false">(H369+D369)*180/Pi</f>
        <v>-177.713894432202</v>
      </c>
      <c r="BQ369" s="347" t="n">
        <f aca="false">20*LOG(BA369*7)</f>
        <v>32.0624744100677</v>
      </c>
      <c r="BR369" s="353"/>
      <c r="BS369" s="353"/>
      <c r="BT369" s="353" t="n">
        <v>389045.145</v>
      </c>
      <c r="BU369" s="353" t="n">
        <v>14.7561</v>
      </c>
      <c r="BV369" s="353" t="n">
        <v>-213.043</v>
      </c>
      <c r="BW369" s="349"/>
      <c r="BY369" s="353"/>
      <c r="BZ369" s="353"/>
      <c r="CA369" s="353"/>
      <c r="CC369" s="353"/>
    </row>
    <row r="370" customFormat="false" ht="12.75" hidden="false" customHeight="false" outlineLevel="0" collapsed="false">
      <c r="A370" s="0" t="n">
        <f aca="false">A369+5000</f>
        <v>780000</v>
      </c>
      <c r="B370" s="0" t="n">
        <f aca="false">A370/1000</f>
        <v>780</v>
      </c>
      <c r="C370" s="0" t="n">
        <f aca="false">SQRT((A370/Fesr)^2+1)</f>
        <v>1.0000120092625</v>
      </c>
      <c r="D370" s="0" t="n">
        <f aca="false">ATAN(A370/Fesr)</f>
        <v>0.00490084529699062</v>
      </c>
      <c r="F370" s="0" t="n">
        <f aca="false">(Ro/(Ro+Rdcr))/SQRT((A370/(Q*Fo))^2+(1-(A370^2/Fo^2))^2)</f>
        <v>0.00306844419680459</v>
      </c>
      <c r="G370" s="0" t="n">
        <f aca="false">-ATAN(A370*Fo/(Q*(Fo^2-A370^2)))</f>
        <v>0.0348048727210834</v>
      </c>
      <c r="H370" s="0" t="n">
        <f aca="false">IF(G370&gt;0,G370-Pi,G370)</f>
        <v>-3.10678777727892</v>
      </c>
      <c r="J370" s="0" t="n">
        <f aca="false">Vin/Vramp</f>
        <v>9</v>
      </c>
      <c r="M370" s="0" t="n">
        <f aca="false">1/(2*Pi*_Rfb1*(Cc1ea_u+Cc2ea_u)*A370)</f>
        <v>0.00755721478033031</v>
      </c>
      <c r="N370" s="0" t="n">
        <f aca="false">-Pi/2</f>
        <v>-1.570796325</v>
      </c>
      <c r="O370" s="0" t="n">
        <f aca="false">SQRT(1+(A370/Fz1_u)^2)</f>
        <v>19.0808613542227</v>
      </c>
      <c r="P370" s="0" t="n">
        <f aca="false">ATAN2(Fz1_u,A370)</f>
        <v>1.51836377021749</v>
      </c>
      <c r="Q370" s="0" t="n">
        <f aca="false">SQRT(1+(A370/Fz2_u)^2)</f>
        <v>21621.6832031499</v>
      </c>
      <c r="R370" s="0" t="n">
        <f aca="false">ATAN2(Fz2_u,A370)</f>
        <v>1.57075007692661</v>
      </c>
      <c r="S370" s="0" t="n">
        <f aca="false">1/SQRT(1+(A370/Fp1_u)^2)</f>
        <v>0.0173010734998182</v>
      </c>
      <c r="T370" s="0" t="n">
        <f aca="false">-ATAN2(Fp1_u,A370)</f>
        <v>-1.55349439006531</v>
      </c>
      <c r="U370" s="0" t="n">
        <f aca="false">1/SQRT(1+(A370/Fp2_u)^2)</f>
        <v>0.427082974930266</v>
      </c>
      <c r="V370" s="0" t="n">
        <f aca="false">-ATAN2(Fp2_u,A370)</f>
        <v>-1.12953205658483</v>
      </c>
      <c r="X370" s="0" t="n">
        <f aca="false">20*LOG(C370*J370*O370*Q370*F370*M370*S370*U370)</f>
        <v>-3.92798988221644</v>
      </c>
      <c r="Y370" s="0" t="n">
        <f aca="false">(180/Pi)*(D370+H370+N370+P370+R370+T370+V370)</f>
        <v>-244.457935744099</v>
      </c>
      <c r="Z370" s="0" t="n">
        <f aca="false">Y370+180</f>
        <v>-64.4579357440993</v>
      </c>
      <c r="AC370" s="0" t="n">
        <v>1</v>
      </c>
      <c r="AD370" s="0" t="n">
        <f aca="false">Rcea1_u*Cc1ea_u*A370*2*Pi</f>
        <v>19.054639068192</v>
      </c>
      <c r="AE370" s="0" t="n">
        <f aca="false">-Rcea1_u*Cc1ea_u*Cc2ea_u*(A370*2*Pi)^2</f>
        <v>-0.0140076878865382</v>
      </c>
      <c r="AF370" s="0" t="n">
        <f aca="false">(Cc2ea_u+Cc1ea_u)*A370*2*Pi</f>
        <v>0.0066161941209</v>
      </c>
      <c r="AG370" s="0" t="n">
        <f aca="false">AC370*AE370/(AE370^2+AF370^2)+AD370*AF370/(AE370^2+AF370^2)</f>
        <v>466.943660736733</v>
      </c>
      <c r="AH370" s="0" t="n">
        <f aca="false">AD370*AE370/(AE370^2+AF370^2)-AC370*AF370/(AE370^2+AF370^2)</f>
        <v>-1139.74906455313</v>
      </c>
      <c r="AJ370" s="0" t="n">
        <f aca="false">_Rfb1</f>
        <v>20000</v>
      </c>
      <c r="AK370" s="0" t="n">
        <f aca="false">_Rfb1*Rcea2_u*Cc3ea_u*A370*2*Pi</f>
        <v>1155824.60849856</v>
      </c>
      <c r="AL370" s="0" t="n">
        <v>1</v>
      </c>
      <c r="AM370" s="0" t="n">
        <f aca="false">(_Rfb1+Rcea2_u)*Cc3ea_u*A370*2*Pi</f>
        <v>21621.6831800249</v>
      </c>
      <c r="AN370" s="0" t="n">
        <f aca="false">AJ370*AL370/(AL370^2+AM370^2)+AK370*AM370/(AL370^2+AM370^2)</f>
        <v>53.4567786143199</v>
      </c>
      <c r="AO370" s="0" t="n">
        <f aca="false">AK370*AL370/(AL370^2+AM370^2)-AJ370*AM370/(AL370^2+AM370^2)</f>
        <v>-0.922524997490167</v>
      </c>
      <c r="AQ370" s="0" t="n">
        <f aca="false">Eadcg/(1+(Eadcg*A370/GBP)^2)</f>
        <v>0.0187132344863753</v>
      </c>
      <c r="AR370" s="0" t="n">
        <f aca="false">-(A370*Eadcg*Eadcg/GBP)/(1+(Eadcg*A370/GBP)^2)</f>
        <v>-7.69226216796943</v>
      </c>
      <c r="AT370" s="0" t="n">
        <f aca="false">-AR370*AH370+AG370*AQ370</f>
        <v>-8758.51058402531</v>
      </c>
      <c r="AU370" s="0" t="n">
        <f aca="false">AQ370*AH370+AG370*AR370</f>
        <v>-3613.18144755893</v>
      </c>
      <c r="AV370" s="0" t="n">
        <f aca="false">ATAN2(AT370,AU370)</f>
        <v>-2.7503282098757</v>
      </c>
      <c r="AW370" s="0" t="n">
        <f aca="false">AG370-AH370*AO370/_Rfb2+AG370*AN370/_Rfb2+AN370-AO370*AR370+AQ370*AN370</f>
        <v>525.06392004945</v>
      </c>
      <c r="AX370" s="0" t="n">
        <f aca="false">AH370+AH370*AN370/_Rfb2+AG370*AO370/_Rfb2+AO370+AO370*AQ370+AN370*AR370</f>
        <v>-1579.50354501229</v>
      </c>
      <c r="AY370" s="0" t="n">
        <f aca="false">ATAN2(AW370,AX370)</f>
        <v>-1.24986494648885</v>
      </c>
      <c r="BA370" s="0" t="n">
        <f aca="false">SQRT(AT370^2+AU370^2)/SQRT(AW370^2+AX370^2)</f>
        <v>5.69215128404251</v>
      </c>
      <c r="BB370" s="0" t="n">
        <f aca="false">20*LOG(BA370)</f>
        <v>15.1055286819054</v>
      </c>
      <c r="BC370" s="0" t="n">
        <f aca="false">AV370-AY370</f>
        <v>-1.50046326338684</v>
      </c>
      <c r="BD370" s="0" t="n">
        <f aca="false">BC370*180/Pi-180</f>
        <v>-265.970212404728</v>
      </c>
      <c r="BF370" s="0" t="n">
        <f aca="false">20*LOG(BA370*J370*F370*C370)</f>
        <v>-16.0711522278877</v>
      </c>
      <c r="BG370" s="0" t="n">
        <f aca="false">(180/Pi)*(D370+H370+BC370)</f>
        <v>-263.695242337156</v>
      </c>
      <c r="BH370" s="0" t="n">
        <f aca="false">IF(BG370&gt;180,BG370-180,BG370+180)</f>
        <v>-83.6952423371562</v>
      </c>
      <c r="BI370" s="0" t="n">
        <f aca="false">IF(BH370&gt;180,BH370-360,BH370)</f>
        <v>-83.6952423371562</v>
      </c>
      <c r="BJ370" s="0" t="n">
        <f aca="false">SUM((BF371&lt;0)*(BF370&gt;0))*A370</f>
        <v>0</v>
      </c>
      <c r="BK370" s="0" t="n">
        <f aca="false">IF(BJ370&gt;0,BI370,0)</f>
        <v>0</v>
      </c>
      <c r="BM370" s="0" t="n">
        <f aca="false">20*LOG(J370*F370*C370)</f>
        <v>-31.1766809097931</v>
      </c>
      <c r="BN370" s="0" t="n">
        <f aca="false">(H370+D370)*180/Pi</f>
        <v>-177.725029932428</v>
      </c>
      <c r="BQ370" s="347" t="n">
        <f aca="false">20*LOG(BA370*7)</f>
        <v>32.0074894821905</v>
      </c>
      <c r="BR370" s="353"/>
      <c r="BS370" s="353"/>
      <c r="BT370" s="353" t="n">
        <v>398107.171</v>
      </c>
      <c r="BU370" s="353" t="n">
        <v>14.5255</v>
      </c>
      <c r="BV370" s="353" t="n">
        <v>-214.585</v>
      </c>
      <c r="BW370" s="349"/>
      <c r="BY370" s="353"/>
      <c r="BZ370" s="353"/>
      <c r="CA370" s="353"/>
      <c r="CC370" s="353"/>
    </row>
    <row r="371" customFormat="false" ht="12.75" hidden="false" customHeight="false" outlineLevel="0" collapsed="false">
      <c r="A371" s="0" t="n">
        <f aca="false">A370+5000</f>
        <v>785000</v>
      </c>
      <c r="B371" s="0" t="n">
        <f aca="false">A371/1000</f>
        <v>785</v>
      </c>
      <c r="C371" s="0" t="n">
        <f aca="false">SQRT((A371/Fesr)^2+1)</f>
        <v>1.00001216371994</v>
      </c>
      <c r="D371" s="0" t="n">
        <f aca="false">ATAN(A371/Fesr)</f>
        <v>0.00493226046409292</v>
      </c>
      <c r="F371" s="0" t="n">
        <f aca="false">(Ro/(Ro+Rdcr))/SQRT((A371/(Q*Fo))^2+(1-(A371^2/Fo^2))^2)</f>
        <v>0.00302938464076238</v>
      </c>
      <c r="G371" s="0" t="n">
        <f aca="false">-ATAN(A371*Fo/(Q*(Fo^2-A371^2)))</f>
        <v>0.0345820053928234</v>
      </c>
      <c r="H371" s="0" t="n">
        <f aca="false">IF(G371&gt;0,G371-Pi,G371)</f>
        <v>-3.10701064460718</v>
      </c>
      <c r="J371" s="0" t="n">
        <f aca="false">Vin/Vramp</f>
        <v>9</v>
      </c>
      <c r="M371" s="0" t="n">
        <f aca="false">1/(2*Pi*_Rfb1*(Cc1ea_u+Cc2ea_u)*A371)</f>
        <v>0.00750907965434095</v>
      </c>
      <c r="N371" s="0" t="n">
        <f aca="false">-Pi/2</f>
        <v>-1.570796325</v>
      </c>
      <c r="O371" s="0" t="n">
        <f aca="false">SQRT(1+(A371/Fz1_u)^2)</f>
        <v>19.2028396828723</v>
      </c>
      <c r="P371" s="0" t="n">
        <f aca="false">ATAN2(Fz1_u,A371)</f>
        <v>1.51869712961647</v>
      </c>
      <c r="Q371" s="0" t="n">
        <f aca="false">SQRT(1+(A371/Fz2_u)^2)</f>
        <v>21760.2837362079</v>
      </c>
      <c r="R371" s="0" t="n">
        <f aca="false">ATAN2(Fz2_u,A371)</f>
        <v>1.57075037151175</v>
      </c>
      <c r="S371" s="0" t="n">
        <f aca="false">1/SQRT(1+(A371/Fp1_u)^2)</f>
        <v>0.0171909082502827</v>
      </c>
      <c r="T371" s="0" t="n">
        <f aca="false">-ATAN2(Fp1_u,A371)</f>
        <v>-1.55360457170146</v>
      </c>
      <c r="U371" s="0" t="n">
        <f aca="false">1/SQRT(1+(A371/Fp2_u)^2)</f>
        <v>0.424855003642135</v>
      </c>
      <c r="V371" s="0" t="n">
        <f aca="false">-ATAN2(Fp2_u,A371)</f>
        <v>-1.13199461791041</v>
      </c>
      <c r="X371" s="0" t="n">
        <f aca="false">20*LOG(C371*J371*O371*Q371*F371*M371*S371*U371)</f>
        <v>-4.08483015171785</v>
      </c>
      <c r="Y371" s="0" t="n">
        <f aca="false">(180/Pi)*(D371+H371+N371+P371+R371+T371+V371)</f>
        <v>-244.597195493442</v>
      </c>
      <c r="Z371" s="0" t="n">
        <f aca="false">Y371+180</f>
        <v>-64.5971954934423</v>
      </c>
      <c r="AC371" s="0" t="n">
        <v>1</v>
      </c>
      <c r="AD371" s="0" t="n">
        <f aca="false">Rcea1_u*Cc1ea_u*A371*2*Pi</f>
        <v>19.176784190424</v>
      </c>
      <c r="AE371" s="0" t="n">
        <f aca="false">-Rcea1_u*Cc1ea_u*Cc2ea_u*(A371*2*Pi)^2</f>
        <v>-0.0141878492240006</v>
      </c>
      <c r="AF371" s="0" t="n">
        <f aca="false">(Cc2ea_u+Cc1ea_u)*A371*2*Pi</f>
        <v>0.006658605621675</v>
      </c>
      <c r="AG371" s="0" t="n">
        <f aca="false">AC371*AE371/(AE371^2+AF371^2)+AD371*AF371/(AE371^2+AF371^2)</f>
        <v>462.084541746583</v>
      </c>
      <c r="AH371" s="0" t="n">
        <f aca="false">AD371*AE371/(AE371^2+AF371^2)-AC371*AF371/(AE371^2+AF371^2)</f>
        <v>-1134.76998584295</v>
      </c>
      <c r="AJ371" s="0" t="n">
        <f aca="false">_Rfb1</f>
        <v>20000</v>
      </c>
      <c r="AK371" s="0" t="n">
        <f aca="false">_Rfb1*Rcea2_u*Cc3ea_u*A371*2*Pi</f>
        <v>1163233.74060432</v>
      </c>
      <c r="AL371" s="0" t="n">
        <v>1</v>
      </c>
      <c r="AM371" s="0" t="n">
        <f aca="false">(_Rfb1+Rcea2_u)*Cc3ea_u*A371*2*Pi</f>
        <v>21760.2837132302</v>
      </c>
      <c r="AN371" s="0" t="n">
        <f aca="false">AJ371*AL371/(AL371^2+AM371^2)+AK371*AM371/(AL371^2+AM371^2)</f>
        <v>53.4567780725266</v>
      </c>
      <c r="AO371" s="0" t="n">
        <f aca="false">AK371*AL371/(AL371^2+AM371^2)-AJ371*AM371/(AL371^2+AM371^2)</f>
        <v>-0.916649042117039</v>
      </c>
      <c r="AQ371" s="0" t="n">
        <f aca="false">Eadcg/(1+(Eadcg*A371/GBP)^2)</f>
        <v>0.0184756099105188</v>
      </c>
      <c r="AR371" s="0" t="n">
        <f aca="false">-(A371*Eadcg*Eadcg/GBP)/(1+(Eadcg*A371/GBP)^2)</f>
        <v>-7.64326744193208</v>
      </c>
      <c r="AT371" s="0" t="n">
        <f aca="false">-AR371*AH371+AG371*AQ371</f>
        <v>-8664.81319313615</v>
      </c>
      <c r="AU371" s="0" t="n">
        <f aca="false">AQ371*AH371+AG371*AR371</f>
        <v>-3552.80130094836</v>
      </c>
      <c r="AV371" s="0" t="n">
        <f aca="false">ATAN2(AT371,AU371)</f>
        <v>-2.7524729068378</v>
      </c>
      <c r="AW371" s="0" t="n">
        <f aca="false">AG371-AH371*AO371/_Rfb2+AG371*AN371/_Rfb2+AN371-AO371*AR371+AQ371*AN371</f>
        <v>520.170386858815</v>
      </c>
      <c r="AX371" s="0" t="n">
        <f aca="false">AH371+AH371*AN371/_Rfb2+AG371*AO371/_Rfb2+AO371+AO371*AQ371+AN371*AR371</f>
        <v>-1571.77614441964</v>
      </c>
      <c r="AY371" s="0" t="n">
        <f aca="false">ATAN2(AW371,AX371)</f>
        <v>-1.25119742343402</v>
      </c>
      <c r="BA371" s="0" t="n">
        <f aca="false">SQRT(AT371^2+AU371^2)/SQRT(AW371^2+AX371^2)</f>
        <v>5.65645262361097</v>
      </c>
      <c r="BB371" s="0" t="n">
        <f aca="false">20*LOG(BA371)</f>
        <v>15.0508830796795</v>
      </c>
      <c r="BC371" s="0" t="n">
        <f aca="false">AV371-AY371</f>
        <v>-1.50127548340378</v>
      </c>
      <c r="BD371" s="0" t="n">
        <f aca="false">BC371*180/Pi-180</f>
        <v>-266.016749183788</v>
      </c>
      <c r="BF371" s="0" t="n">
        <f aca="false">20*LOG(BA371*J371*F371*C371)</f>
        <v>-16.2370726959521</v>
      </c>
      <c r="BG371" s="0" t="n">
        <f aca="false">(180/Pi)*(D371+H371+BC371)</f>
        <v>-263.752748517042</v>
      </c>
      <c r="BH371" s="0" t="n">
        <f aca="false">IF(BG371&gt;180,BG371-180,BG371+180)</f>
        <v>-83.7527485170416</v>
      </c>
      <c r="BI371" s="0" t="n">
        <f aca="false">IF(BH371&gt;180,BH371-360,BH371)</f>
        <v>-83.7527485170416</v>
      </c>
      <c r="BJ371" s="0" t="n">
        <f aca="false">SUM((BF372&lt;0)*(BF371&gt;0))*A371</f>
        <v>0</v>
      </c>
      <c r="BK371" s="0" t="n">
        <f aca="false">IF(BJ371&gt;0,BI371,0)</f>
        <v>0</v>
      </c>
      <c r="BM371" s="0" t="n">
        <f aca="false">20*LOG(J371*F371*C371)</f>
        <v>-31.2879557756316</v>
      </c>
      <c r="BN371" s="0" t="n">
        <f aca="false">(H371+D371)*180/Pi</f>
        <v>-177.735999333254</v>
      </c>
      <c r="BQ371" s="347" t="n">
        <f aca="false">20*LOG(BA371*7)</f>
        <v>31.9528438799646</v>
      </c>
      <c r="BR371" s="353"/>
      <c r="BS371" s="353"/>
      <c r="BT371" s="353" t="n">
        <v>407380.278</v>
      </c>
      <c r="BU371" s="353" t="n">
        <v>14.4298</v>
      </c>
      <c r="BV371" s="353" t="n">
        <v>-217.343</v>
      </c>
      <c r="BW371" s="349"/>
      <c r="BY371" s="353"/>
      <c r="BZ371" s="353"/>
      <c r="CA371" s="353"/>
      <c r="CC371" s="353"/>
    </row>
    <row r="372" customFormat="false" ht="12.75" hidden="false" customHeight="false" outlineLevel="0" collapsed="false">
      <c r="A372" s="0" t="n">
        <f aca="false">A371+5000</f>
        <v>790000</v>
      </c>
      <c r="B372" s="0" t="n">
        <f aca="false">A372/1000</f>
        <v>790</v>
      </c>
      <c r="C372" s="0" t="n">
        <f aca="false">SQRT((A372/Fesr)^2+1)</f>
        <v>1.0000123191643</v>
      </c>
      <c r="D372" s="0" t="n">
        <f aca="false">ATAN(A372/Fesr)</f>
        <v>0.00496367562145972</v>
      </c>
      <c r="F372" s="0" t="n">
        <f aca="false">(Ro/(Ro+Rdcr))/SQRT((A372/(Q*Fo))^2+(1-(A372^2/Fo^2))^2)</f>
        <v>0.00299106676588198</v>
      </c>
      <c r="G372" s="0" t="n">
        <f aca="false">-ATAN(A372*Fo/(Q*(Fo^2-A372^2)))</f>
        <v>0.0343619814329635</v>
      </c>
      <c r="H372" s="0" t="n">
        <f aca="false">IF(G372&gt;0,G372-Pi,G372)</f>
        <v>-3.10723066856704</v>
      </c>
      <c r="J372" s="0" t="n">
        <f aca="false">Vin/Vramp</f>
        <v>9</v>
      </c>
      <c r="M372" s="0" t="n">
        <f aca="false">1/(2*Pi*_Rfb1*(Cc1ea_u+Cc2ea_u)*A372)</f>
        <v>0.00746155383374385</v>
      </c>
      <c r="N372" s="0" t="n">
        <f aca="false">-Pi/2</f>
        <v>-1.570796325</v>
      </c>
      <c r="O372" s="0" t="n">
        <f aca="false">SQRT(1+(A372/Fz1_u)^2)</f>
        <v>19.324820118565</v>
      </c>
      <c r="P372" s="0" t="n">
        <f aca="false">ATAN2(Fz1_u,A372)</f>
        <v>1.51902628064769</v>
      </c>
      <c r="Q372" s="0" t="n">
        <f aca="false">SQRT(1+(A372/Fz2_u)^2)</f>
        <v>21898.8842692677</v>
      </c>
      <c r="R372" s="0" t="n">
        <f aca="false">ATAN2(Fz2_u,A372)</f>
        <v>1.57075066236798</v>
      </c>
      <c r="S372" s="0" t="n">
        <f aca="false">1/SQRT(1+(A372/Fp1_u)^2)</f>
        <v>0.0170821368833031</v>
      </c>
      <c r="T372" s="0" t="n">
        <f aca="false">-ATAN2(Fp1_u,A372)</f>
        <v>-1.55371335904294</v>
      </c>
      <c r="U372" s="0" t="n">
        <f aca="false">1/SQRT(1+(A372/Fp2_u)^2)</f>
        <v>0.422647633863907</v>
      </c>
      <c r="V372" s="0" t="n">
        <f aca="false">-ATAN2(Fp2_u,A372)</f>
        <v>-1.13443160499924</v>
      </c>
      <c r="X372" s="0" t="n">
        <f aca="false">20*LOG(C372*J372*O372*Q372*F372*M372*S372*U372)</f>
        <v>-4.24077336529971</v>
      </c>
      <c r="Y372" s="0" t="n">
        <f aca="false">(180/Pi)*(D372+H372+N372+P372+R372+T372+V372)</f>
        <v>-244.734988482665</v>
      </c>
      <c r="Z372" s="0" t="n">
        <f aca="false">Y372+180</f>
        <v>-64.7349884826654</v>
      </c>
      <c r="AC372" s="0" t="n">
        <v>1</v>
      </c>
      <c r="AD372" s="0" t="n">
        <f aca="false">Rcea1_u*Cc1ea_u*A372*2*Pi</f>
        <v>19.298929312656</v>
      </c>
      <c r="AE372" s="0" t="n">
        <f aca="false">-Rcea1_u*Cc1ea_u*Cc2ea_u*(A372*2*Pi)^2</f>
        <v>-0.0143691617521178</v>
      </c>
      <c r="AF372" s="0" t="n">
        <f aca="false">(Cc2ea_u+Cc1ea_u)*A372*2*Pi</f>
        <v>0.00670101712245</v>
      </c>
      <c r="AG372" s="0" t="n">
        <f aca="false">AC372*AE372/(AE372^2+AF372^2)+AD372*AF372/(AE372^2+AF372^2)</f>
        <v>457.295417371544</v>
      </c>
      <c r="AH372" s="0" t="n">
        <f aca="false">AD372*AE372/(AE372^2+AF372^2)-AC372*AF372/(AE372^2+AF372^2)</f>
        <v>-1129.82129165876</v>
      </c>
      <c r="AJ372" s="0" t="n">
        <f aca="false">_Rfb1</f>
        <v>20000</v>
      </c>
      <c r="AK372" s="0" t="n">
        <f aca="false">_Rfb1*Rcea2_u*Cc3ea_u*A372*2*Pi</f>
        <v>1170642.87271008</v>
      </c>
      <c r="AL372" s="0" t="n">
        <v>1</v>
      </c>
      <c r="AM372" s="0" t="n">
        <f aca="false">(_Rfb1+Rcea2_u)*Cc3ea_u*A372*2*Pi</f>
        <v>21898.8842464355</v>
      </c>
      <c r="AN372" s="0" t="n">
        <f aca="false">AJ372*AL372/(AL372^2+AM372^2)+AK372*AM372/(AL372^2+AM372^2)</f>
        <v>53.4567775409878</v>
      </c>
      <c r="AO372" s="0" t="n">
        <f aca="false">AK372*AL372/(AL372^2+AM372^2)-AJ372*AM372/(AL372^2+AM372^2)</f>
        <v>-0.91084746592538</v>
      </c>
      <c r="AQ372" s="0" t="n">
        <f aca="false">Eadcg/(1+(Eadcg*A372/GBP)^2)</f>
        <v>0.0182424828657494</v>
      </c>
      <c r="AR372" s="0" t="n">
        <f aca="false">-(A372*Eadcg*Eadcg/GBP)/(1+(Eadcg*A372/GBP)^2)</f>
        <v>-7.59489289149745</v>
      </c>
      <c r="AT372" s="0" t="n">
        <f aca="false">-AR372*AH372+AG372*AQ372</f>
        <v>-8572.5294928656</v>
      </c>
      <c r="AU372" s="0" t="n">
        <f aca="false">AQ372*AH372+AG372*AR372</f>
        <v>-3493.72046026394</v>
      </c>
      <c r="AV372" s="0" t="n">
        <f aca="false">ATAN2(AT372,AU372)</f>
        <v>-2.75459604179238</v>
      </c>
      <c r="AW372" s="0" t="n">
        <f aca="false">AG372-AH372*AO372/_Rfb2+AG372*AN372/_Rfb2+AN372-AO372*AR372+AQ372*AN372</f>
        <v>515.346990358106</v>
      </c>
      <c r="AX372" s="0" t="n">
        <f aca="false">AH372+AH372*AN372/_Rfb2+AG372*AO372/_Rfb2+AO372+AO372*AQ372+AN372*AR372</f>
        <v>-1564.113164312</v>
      </c>
      <c r="AY372" s="0" t="n">
        <f aca="false">ATAN2(AW372,AX372)</f>
        <v>-1.25251605056281</v>
      </c>
      <c r="BA372" s="0" t="n">
        <f aca="false">SQRT(AT372^2+AU372^2)/SQRT(AW372^2+AX372^2)</f>
        <v>5.62119478882094</v>
      </c>
      <c r="BB372" s="0" t="n">
        <f aca="false">20*LOG(BA372)</f>
        <v>14.996572699434</v>
      </c>
      <c r="BC372" s="0" t="n">
        <f aca="false">AV372-AY372</f>
        <v>-1.50207999122956</v>
      </c>
      <c r="BD372" s="0" t="n">
        <f aca="false">BC372*180/Pi-180</f>
        <v>-266.062844086843</v>
      </c>
      <c r="BF372" s="0" t="n">
        <f aca="false">20*LOG(BA372*J372*F372*C372)</f>
        <v>-16.401947962381</v>
      </c>
      <c r="BG372" s="0" t="n">
        <f aca="false">(180/Pi)*(D372+H372+BC372)</f>
        <v>-263.809649908471</v>
      </c>
      <c r="BH372" s="0" t="n">
        <f aca="false">IF(BG372&gt;180,BG372-180,BG372+180)</f>
        <v>-83.8096499084709</v>
      </c>
      <c r="BI372" s="0" t="n">
        <f aca="false">IF(BH372&gt;180,BH372-360,BH372)</f>
        <v>-83.8096499084709</v>
      </c>
      <c r="BJ372" s="0" t="n">
        <f aca="false">SUM((BF373&lt;0)*(BF372&gt;0))*A372</f>
        <v>0</v>
      </c>
      <c r="BK372" s="0" t="n">
        <f aca="false">IF(BJ372&gt;0,BI372,0)</f>
        <v>0</v>
      </c>
      <c r="BM372" s="0" t="n">
        <f aca="false">20*LOG(J372*F372*C372)</f>
        <v>-31.398520661815</v>
      </c>
      <c r="BN372" s="0" t="n">
        <f aca="false">(H372+D372)*180/Pi</f>
        <v>-177.746805821628</v>
      </c>
      <c r="BQ372" s="347" t="n">
        <f aca="false">20*LOG(BA372*7)</f>
        <v>31.8985334997191</v>
      </c>
      <c r="BR372" s="353"/>
      <c r="BS372" s="353"/>
      <c r="BT372" s="353" t="n">
        <v>416869.383</v>
      </c>
      <c r="BU372" s="353" t="n">
        <v>14.1268</v>
      </c>
      <c r="BV372" s="353" t="n">
        <v>-219.017</v>
      </c>
      <c r="BW372" s="349"/>
      <c r="BY372" s="353"/>
      <c r="BZ372" s="353"/>
      <c r="CA372" s="353"/>
      <c r="CC372" s="353"/>
    </row>
    <row r="373" customFormat="false" ht="12.75" hidden="false" customHeight="false" outlineLevel="0" collapsed="false">
      <c r="A373" s="0" t="n">
        <f aca="false">A372+5000</f>
        <v>795000</v>
      </c>
      <c r="B373" s="0" t="n">
        <f aca="false">A373/1000</f>
        <v>795</v>
      </c>
      <c r="C373" s="0" t="n">
        <f aca="false">SQRT((A373/Fesr)^2+1)</f>
        <v>1.00001247559559</v>
      </c>
      <c r="D373" s="0" t="n">
        <f aca="false">ATAN(A373/Fesr)</f>
        <v>0.00499509076902902</v>
      </c>
      <c r="F373" s="0" t="n">
        <f aca="false">(Ro/(Ro+Rdcr))/SQRT((A373/(Q*Fo))^2+(1-(A373^2/Fo^2))^2)</f>
        <v>0.00295347189783856</v>
      </c>
      <c r="G373" s="0" t="n">
        <f aca="false">-ATAN(A373*Fo/(Q*(Fo^2-A373^2)))</f>
        <v>0.0341447466362127</v>
      </c>
      <c r="H373" s="0" t="n">
        <f aca="false">IF(G373&gt;0,G373-Pi,G373)</f>
        <v>-3.10744790336379</v>
      </c>
      <c r="J373" s="0" t="n">
        <f aca="false">Vin/Vramp</f>
        <v>9</v>
      </c>
      <c r="M373" s="0" t="n">
        <f aca="false">1/(2*Pi*_Rfb1*(Cc1ea_u+Cc2ea_u)*A373)</f>
        <v>0.00741462582221087</v>
      </c>
      <c r="N373" s="0" t="n">
        <f aca="false">-Pi/2</f>
        <v>-1.570796325</v>
      </c>
      <c r="O373" s="0" t="n">
        <f aca="false">SQRT(1+(A373/Fz1_u)^2)</f>
        <v>19.4468026216512</v>
      </c>
      <c r="P373" s="0" t="n">
        <f aca="false">ATAN2(Fz1_u,A373)</f>
        <v>1.51935130243168</v>
      </c>
      <c r="Q373" s="0" t="n">
        <f aca="false">SQRT(1+(A373/Fz2_u)^2)</f>
        <v>22037.4848023294</v>
      </c>
      <c r="R373" s="0" t="n">
        <f aca="false">ATAN2(Fz2_u,A373)</f>
        <v>1.57075094956563</v>
      </c>
      <c r="S373" s="0" t="n">
        <f aca="false">1/SQRT(1+(A373/Fp1_u)^2)</f>
        <v>0.0169747331145107</v>
      </c>
      <c r="T373" s="0" t="n">
        <f aca="false">-ATAN2(Fp1_u,A373)</f>
        <v>-1.55382077838698</v>
      </c>
      <c r="U373" s="0" t="n">
        <f aca="false">1/SQRT(1+(A373/Fp2_u)^2)</f>
        <v>0.420460624198086</v>
      </c>
      <c r="V373" s="0" t="n">
        <f aca="false">-ATAN2(Fp2_u,A373)</f>
        <v>-1.13684338568413</v>
      </c>
      <c r="X373" s="0" t="n">
        <f aca="false">20*LOG(C373*J373*O373*Q373*F373*M373*S373*U373)</f>
        <v>-4.39582945339762</v>
      </c>
      <c r="Y373" s="0" t="n">
        <f aca="false">(180/Pi)*(D373+H373+N373+P373+R373+T373+V373)</f>
        <v>-244.87133586219</v>
      </c>
      <c r="Z373" s="0" t="n">
        <f aca="false">Y373+180</f>
        <v>-64.8713358621903</v>
      </c>
      <c r="AC373" s="0" t="n">
        <v>1</v>
      </c>
      <c r="AD373" s="0" t="n">
        <f aca="false">Rcea1_u*Cc1ea_u*A373*2*Pi</f>
        <v>19.421074434888</v>
      </c>
      <c r="AE373" s="0" t="n">
        <f aca="false">-Rcea1_u*Cc1ea_u*Cc2ea_u*(A373*2*Pi)^2</f>
        <v>-0.0145516254708897</v>
      </c>
      <c r="AF373" s="0" t="n">
        <f aca="false">(Cc2ea_u+Cc1ea_u)*A373*2*Pi</f>
        <v>0.006743428623225</v>
      </c>
      <c r="AG373" s="0" t="n">
        <f aca="false">AC373*AE373/(AE373^2+AF373^2)+AD373*AF373/(AE373^2+AF373^2)</f>
        <v>452.575069442672</v>
      </c>
      <c r="AH373" s="0" t="n">
        <f aca="false">AD373*AE373/(AE373^2+AF373^2)-AC373*AF373/(AE373^2+AF373^2)</f>
        <v>-1124.9029732243</v>
      </c>
      <c r="AJ373" s="0" t="n">
        <f aca="false">_Rfb1</f>
        <v>20000</v>
      </c>
      <c r="AK373" s="0" t="n">
        <f aca="false">_Rfb1*Rcea2_u*Cc3ea_u*A373*2*Pi</f>
        <v>1178052.00481584</v>
      </c>
      <c r="AL373" s="0" t="n">
        <v>1</v>
      </c>
      <c r="AM373" s="0" t="n">
        <f aca="false">(_Rfb1+Rcea2_u)*Cc3ea_u*A373*2*Pi</f>
        <v>22037.4847796408</v>
      </c>
      <c r="AN373" s="0" t="n">
        <f aca="false">AJ373*AL373/(AL373^2+AM373^2)+AK373*AM373/(AL373^2+AM373^2)</f>
        <v>53.4567770194466</v>
      </c>
      <c r="AO373" s="0" t="n">
        <f aca="false">AK373*AL373/(AL373^2+AM373^2)-AJ373*AM373/(AL373^2+AM373^2)</f>
        <v>-0.905118865534421</v>
      </c>
      <c r="AQ373" s="0" t="n">
        <f aca="false">Eadcg/(1+(Eadcg*A373/GBP)^2)</f>
        <v>0.0180137405642674</v>
      </c>
      <c r="AR373" s="0" t="n">
        <f aca="false">-(A373*Eadcg*Eadcg/GBP)/(1+(Eadcg*A373/GBP)^2)</f>
        <v>-7.5471268155083</v>
      </c>
      <c r="AT373" s="0" t="n">
        <f aca="false">-AR373*AH373+AG373*AQ373</f>
        <v>-8481.63282417934</v>
      </c>
      <c r="AU373" s="0" t="n">
        <f aca="false">AQ373*AH373+AG373*AR373</f>
        <v>-3435.90515294096</v>
      </c>
      <c r="AV373" s="0" t="n">
        <f aca="false">ATAN2(AT373,AU373)</f>
        <v>-2.75669790715237</v>
      </c>
      <c r="AW373" s="0" t="n">
        <f aca="false">AG373-AH373*AO373/_Rfb2+AG373*AN373/_Rfb2+AN373-AO373*AR373+AQ373*AN373</f>
        <v>510.59252126441</v>
      </c>
      <c r="AX373" s="0" t="n">
        <f aca="false">AH373+AH373*AN373/_Rfb2+AG373*AO373/_Rfb2+AO373+AO373*AQ373+AN373*AR373</f>
        <v>-1556.51396671909</v>
      </c>
      <c r="AY373" s="0" t="n">
        <f aca="false">ATAN2(AW373,AX373)</f>
        <v>-1.25382097954445</v>
      </c>
      <c r="BA373" s="0" t="n">
        <f aca="false">SQRT(AT373^2+AU373^2)/SQRT(AW373^2+AX373^2)</f>
        <v>5.58636972628888</v>
      </c>
      <c r="BB373" s="0" t="n">
        <f aca="false">20*LOG(BA373)</f>
        <v>14.9425935101261</v>
      </c>
      <c r="BC373" s="0" t="n">
        <f aca="false">AV373-AY373</f>
        <v>-1.50287692760792</v>
      </c>
      <c r="BD373" s="0" t="n">
        <f aca="false">BC373*180/Pi-180</f>
        <v>-266.108505177915</v>
      </c>
      <c r="BF373" s="0" t="n">
        <f aca="false">20*LOG(BA373*J373*F373*C373)</f>
        <v>-16.5657910817239</v>
      </c>
      <c r="BG373" s="0" t="n">
        <f aca="false">(180/Pi)*(D373+H373+BC373)</f>
        <v>-263.865957681204</v>
      </c>
      <c r="BH373" s="0" t="n">
        <f aca="false">IF(BG373&gt;180,BG373-180,BG373+180)</f>
        <v>-83.8659576812041</v>
      </c>
      <c r="BI373" s="0" t="n">
        <f aca="false">IF(BH373&gt;180,BH373-360,BH373)</f>
        <v>-83.8659576812041</v>
      </c>
      <c r="BJ373" s="0" t="n">
        <f aca="false">SUM((BF374&lt;0)*(BF373&gt;0))*A373</f>
        <v>0</v>
      </c>
      <c r="BK373" s="0" t="n">
        <f aca="false">IF(BJ373&gt;0,BI373,0)</f>
        <v>0</v>
      </c>
      <c r="BM373" s="0" t="n">
        <f aca="false">20*LOG(J373*F373*C373)</f>
        <v>-31.50838459185</v>
      </c>
      <c r="BN373" s="0" t="n">
        <f aca="false">(H373+D373)*180/Pi</f>
        <v>-177.757452503289</v>
      </c>
      <c r="BQ373" s="347" t="n">
        <f aca="false">20*LOG(BA373*7)</f>
        <v>31.8445543104112</v>
      </c>
      <c r="BR373" s="353"/>
      <c r="BS373" s="353"/>
      <c r="BT373" s="353" t="n">
        <v>426579.519</v>
      </c>
      <c r="BU373" s="353" t="n">
        <v>14.1063</v>
      </c>
      <c r="BV373" s="353" t="n">
        <v>-221.394</v>
      </c>
      <c r="BW373" s="349"/>
      <c r="BY373" s="353"/>
      <c r="BZ373" s="353"/>
      <c r="CA373" s="353"/>
      <c r="CC373" s="353"/>
    </row>
    <row r="374" customFormat="false" ht="12.75" hidden="false" customHeight="false" outlineLevel="0" collapsed="false">
      <c r="A374" s="0" t="n">
        <f aca="false">A373+5000</f>
        <v>800000</v>
      </c>
      <c r="B374" s="0" t="n">
        <f aca="false">A374/1000</f>
        <v>800</v>
      </c>
      <c r="C374" s="0" t="n">
        <f aca="false">SQRT((A374/Fesr)^2+1)</f>
        <v>1.00001263301381</v>
      </c>
      <c r="D374" s="0" t="n">
        <f aca="false">ATAN(A374/Fesr)</f>
        <v>0.00502650590673881</v>
      </c>
      <c r="F374" s="0" t="n">
        <f aca="false">(Ro/(Ro+Rdcr))/SQRT((A374/(Q*Fo))^2+(1-(A374^2/Fo^2))^2)</f>
        <v>0.0029165819468153</v>
      </c>
      <c r="G374" s="0" t="n">
        <f aca="false">-ATAN(A374*Fo/(Q*(Fo^2-A374^2)))</f>
        <v>0.0339302481697253</v>
      </c>
      <c r="H374" s="0" t="n">
        <f aca="false">IF(G374&gt;0,G374-Pi,G374)</f>
        <v>-3.10766240183027</v>
      </c>
      <c r="J374" s="0" t="n">
        <f aca="false">Vin/Vramp</f>
        <v>9</v>
      </c>
      <c r="M374" s="0" t="n">
        <f aca="false">1/(2*Pi*_Rfb1*(Cc1ea_u+Cc2ea_u)*A374)</f>
        <v>0.00736828441082205</v>
      </c>
      <c r="N374" s="0" t="n">
        <f aca="false">-Pi/2</f>
        <v>-1.570796325</v>
      </c>
      <c r="O374" s="0" t="n">
        <f aca="false">SQRT(1+(A374/Fz1_u)^2)</f>
        <v>19.5687871534696</v>
      </c>
      <c r="P374" s="0" t="n">
        <f aca="false">ATAN2(Fz1_u,A374)</f>
        <v>1.5196722721197</v>
      </c>
      <c r="Q374" s="0" t="n">
        <f aca="false">SQRT(1+(A374/Fz2_u)^2)</f>
        <v>22176.0853353929</v>
      </c>
      <c r="R374" s="0" t="n">
        <f aca="false">ATAN2(Fz2_u,A374)</f>
        <v>1.57075123317331</v>
      </c>
      <c r="S374" s="0" t="n">
        <f aca="false">1/SQRT(1+(A374/Fp1_u)^2)</f>
        <v>0.0168686713161726</v>
      </c>
      <c r="T374" s="0" t="n">
        <f aca="false">-ATAN2(Fp1_u,A374)</f>
        <v>-1.55392685537371</v>
      </c>
      <c r="U374" s="0" t="n">
        <f aca="false">1/SQRT(1+(A374/Fp2_u)^2)</f>
        <v>0.418293735953016</v>
      </c>
      <c r="V374" s="0" t="n">
        <f aca="false">-ATAN2(Fp2_u,A374)</f>
        <v>-1.13923032140103</v>
      </c>
      <c r="X374" s="0" t="n">
        <f aca="false">20*LOG(C374*J374*O374*Q374*F374*M374*S374*U374)</f>
        <v>-4.55000818293964</v>
      </c>
      <c r="Y374" s="0" t="n">
        <f aca="false">(180/Pi)*(D374+H374+N374+P374+R374+T374+V374)</f>
        <v>-245.006258412575</v>
      </c>
      <c r="Z374" s="0" t="n">
        <f aca="false">Y374+180</f>
        <v>-65.0062584125748</v>
      </c>
      <c r="AC374" s="0" t="n">
        <v>1</v>
      </c>
      <c r="AD374" s="0" t="n">
        <f aca="false">Rcea1_u*Cc1ea_u*A374*2*Pi</f>
        <v>19.54321955712</v>
      </c>
      <c r="AE374" s="0" t="n">
        <f aca="false">-Rcea1_u*Cc1ea_u*Cc2ea_u*(A374*2*Pi)^2</f>
        <v>-0.0147352403803163</v>
      </c>
      <c r="AF374" s="0" t="n">
        <f aca="false">(Cc2ea_u+Cc1ea_u)*A374*2*Pi</f>
        <v>0.006785840124</v>
      </c>
      <c r="AG374" s="0" t="n">
        <f aca="false">AC374*AE374/(AE374^2+AF374^2)+AD374*AF374/(AE374^2+AF374^2)</f>
        <v>447.92230281608</v>
      </c>
      <c r="AH374" s="0" t="n">
        <f aca="false">AD374*AE374/(AE374^2+AF374^2)-AC374*AF374/(AE374^2+AF374^2)</f>
        <v>-1120.01501137927</v>
      </c>
      <c r="AJ374" s="0" t="n">
        <f aca="false">_Rfb1</f>
        <v>20000</v>
      </c>
      <c r="AK374" s="0" t="n">
        <f aca="false">_Rfb1*Rcea2_u*Cc3ea_u*A374*2*Pi</f>
        <v>1185461.1369216</v>
      </c>
      <c r="AL374" s="0" t="n">
        <v>1</v>
      </c>
      <c r="AM374" s="0" t="n">
        <f aca="false">(_Rfb1+Rcea2_u)*Cc3ea_u*A374*2*Pi</f>
        <v>22176.0853128461</v>
      </c>
      <c r="AN374" s="0" t="n">
        <f aca="false">AJ374*AL374/(AL374^2+AM374^2)+AK374*AM374/(AL374^2+AM374^2)</f>
        <v>53.4567765076536</v>
      </c>
      <c r="AO374" s="0" t="n">
        <f aca="false">AK374*AL374/(AL374^2+AM374^2)-AJ374*AM374/(AL374^2+AM374^2)</f>
        <v>-0.89946187264791</v>
      </c>
      <c r="AQ374" s="0" t="n">
        <f aca="false">Eadcg/(1+(Eadcg*A374/GBP)^2)</f>
        <v>0.0177892737318026</v>
      </c>
      <c r="AR374" s="0" t="n">
        <f aca="false">-(A374*Eadcg*Eadcg/GBP)/(1+(Eadcg*A374/GBP)^2)</f>
        <v>-7.49995780532796</v>
      </c>
      <c r="AT374" s="0" t="n">
        <f aca="false">-AR374*AH374+AG374*AQ374</f>
        <v>-8392.09711422305</v>
      </c>
      <c r="AU374" s="0" t="n">
        <f aca="false">AQ374*AH374+AG374*AR374</f>
        <v>-3379.32262480708</v>
      </c>
      <c r="AV374" s="0" t="n">
        <f aca="false">ATAN2(AT374,AU374)</f>
        <v>-2.75877879081069</v>
      </c>
      <c r="AW374" s="0" t="n">
        <f aca="false">AG374-AH374*AO374/_Rfb2+AG374*AN374/_Rfb2+AN374-AO374*AR374+AQ374*AN374</f>
        <v>505.905792697194</v>
      </c>
      <c r="AX374" s="0" t="n">
        <f aca="false">AH374+AH374*AN374/_Rfb2+AG374*AO374/_Rfb2+AO374+AO374*AQ374+AN374*AR374</f>
        <v>-1548.97791877344</v>
      </c>
      <c r="AY374" s="0" t="n">
        <f aca="false">ATAN2(AW374,AX374)</f>
        <v>-1.25511236090436</v>
      </c>
      <c r="BA374" s="0" t="n">
        <f aca="false">SQRT(AT374^2+AU374^2)/SQRT(AW374^2+AX374^2)</f>
        <v>5.5519695760241</v>
      </c>
      <c r="BB374" s="0" t="n">
        <f aca="false">20*LOG(BA374)</f>
        <v>14.8889415516699</v>
      </c>
      <c r="BC374" s="0" t="n">
        <f aca="false">AV374-AY374</f>
        <v>-1.50366642990633</v>
      </c>
      <c r="BD374" s="0" t="n">
        <f aca="false">BC374*180/Pi-180</f>
        <v>-266.153740327582</v>
      </c>
      <c r="BF374" s="0" t="n">
        <f aca="false">20*LOG(BA374*J374*F374*C374)</f>
        <v>-16.7286148662371</v>
      </c>
      <c r="BG374" s="0" t="n">
        <f aca="false">(180/Pi)*(D374+H374+BC374)</f>
        <v>-263.921682732921</v>
      </c>
      <c r="BH374" s="0" t="n">
        <f aca="false">IF(BG374&gt;180,BG374-180,BG374+180)</f>
        <v>-83.9216827329209</v>
      </c>
      <c r="BI374" s="0" t="n">
        <f aca="false">IF(BH374&gt;180,BH374-360,BH374)</f>
        <v>-83.9216827329209</v>
      </c>
      <c r="BJ374" s="0" t="n">
        <f aca="false">SUM((BF375&lt;0)*(BF374&gt;0))*A374</f>
        <v>0</v>
      </c>
      <c r="BK374" s="0" t="n">
        <f aca="false">IF(BJ374&gt;0,BI374,0)</f>
        <v>0</v>
      </c>
      <c r="BM374" s="0" t="n">
        <f aca="false">20*LOG(J374*F374*C374)</f>
        <v>-31.617556417907</v>
      </c>
      <c r="BN374" s="0" t="n">
        <f aca="false">(H374+D374)*180/Pi</f>
        <v>-177.767942405339</v>
      </c>
      <c r="BQ374" s="347" t="n">
        <f aca="false">20*LOG(BA374*7)</f>
        <v>31.7909023519551</v>
      </c>
      <c r="BR374" s="353"/>
      <c r="BS374" s="353"/>
      <c r="BT374" s="353" t="n">
        <v>436515.832</v>
      </c>
      <c r="BU374" s="353" t="n">
        <v>13.8226</v>
      </c>
      <c r="BV374" s="353" t="n">
        <v>-223.214</v>
      </c>
      <c r="BW374" s="349"/>
      <c r="BY374" s="353"/>
      <c r="BZ374" s="353"/>
      <c r="CA374" s="353"/>
      <c r="CC374" s="353"/>
    </row>
    <row r="375" customFormat="false" ht="12.75" hidden="false" customHeight="false" outlineLevel="0" collapsed="false">
      <c r="A375" s="0" t="n">
        <f aca="false">A374+5000</f>
        <v>805000</v>
      </c>
      <c r="B375" s="0" t="n">
        <f aca="false">A375/1000</f>
        <v>805</v>
      </c>
      <c r="C375" s="0" t="n">
        <f aca="false">SQRT((A375/Fesr)^2+1)</f>
        <v>1.00001279141894</v>
      </c>
      <c r="D375" s="0" t="n">
        <f aca="false">ATAN(A375/Fesr)</f>
        <v>0.0050579210345271</v>
      </c>
      <c r="F375" s="0" t="n">
        <f aca="false">(Ro/(Ro+Rdcr))/SQRT((A375/(Q*Fo))^2+(1-(A375^2/Fo^2))^2)</f>
        <v>0.00288037938566936</v>
      </c>
      <c r="G375" s="0" t="n">
        <f aca="false">-ATAN(A375*Fo/(Q*(Fo^2-A375^2)))</f>
        <v>0.0337184345298357</v>
      </c>
      <c r="H375" s="0" t="n">
        <f aca="false">IF(G375&gt;0,G375-Pi,G375)</f>
        <v>-3.10787421547016</v>
      </c>
      <c r="J375" s="0" t="n">
        <f aca="false">Vin/Vramp</f>
        <v>9</v>
      </c>
      <c r="M375" s="0" t="n">
        <f aca="false">1/(2*Pi*_Rfb1*(Cc1ea_u+Cc2ea_u)*A375)</f>
        <v>0.00732251866913993</v>
      </c>
      <c r="N375" s="0" t="n">
        <f aca="false">-Pi/2</f>
        <v>-1.570796325</v>
      </c>
      <c r="O375" s="0" t="n">
        <f aca="false">SQRT(1+(A375/Fz1_u)^2)</f>
        <v>19.6907736763162</v>
      </c>
      <c r="P375" s="0" t="n">
        <f aca="false">ATAN2(Fz1_u,A375)</f>
        <v>1.51998926495454</v>
      </c>
      <c r="Q375" s="0" t="n">
        <f aca="false">SQRT(1+(A375/Fz2_u)^2)</f>
        <v>22314.6858684581</v>
      </c>
      <c r="R375" s="0" t="n">
        <f aca="false">ATAN2(Fz2_u,A375)</f>
        <v>1.57075151325792</v>
      </c>
      <c r="S375" s="0" t="n">
        <f aca="false">1/SQRT(1+(A375/Fp1_u)^2)</f>
        <v>0.0167639264968168</v>
      </c>
      <c r="T375" s="0" t="n">
        <f aca="false">-ATAN2(Fp1_u,A375)</f>
        <v>-1.55403161500654</v>
      </c>
      <c r="U375" s="0" t="n">
        <f aca="false">1/SQRT(1+(A375/Fp2_u)^2)</f>
        <v>0.416146733141578</v>
      </c>
      <c r="V375" s="0" t="n">
        <f aca="false">-ATAN2(Fp2_u,A375)</f>
        <v>-1.14159276731008</v>
      </c>
      <c r="X375" s="0" t="n">
        <f aca="false">20*LOG(C375*J375*O375*Q375*F375*M375*S375*U375)</f>
        <v>-4.70331916101262</v>
      </c>
      <c r="Y375" s="0" t="n">
        <f aca="false">(180/Pi)*(D375+H375+N375+P375+R375+T375+V375)</f>
        <v>-245.139776551604</v>
      </c>
      <c r="Z375" s="0" t="n">
        <f aca="false">Y375+180</f>
        <v>-65.1397765516041</v>
      </c>
      <c r="AC375" s="0" t="n">
        <v>1</v>
      </c>
      <c r="AD375" s="0" t="n">
        <f aca="false">Rcea1_u*Cc1ea_u*A375*2*Pi</f>
        <v>19.665364679352</v>
      </c>
      <c r="AE375" s="0" t="n">
        <f aca="false">-Rcea1_u*Cc1ea_u*Cc2ea_u*(A375*2*Pi)^2</f>
        <v>-0.0149200064803976</v>
      </c>
      <c r="AF375" s="0" t="n">
        <f aca="false">(Cc2ea_u+Cc1ea_u)*A375*2*Pi</f>
        <v>0.006828251624775</v>
      </c>
      <c r="AG375" s="0" t="n">
        <f aca="false">AC375*AE375/(AE375^2+AF375^2)+AD375*AF375/(AE375^2+AF375^2)</f>
        <v>443.335944971284</v>
      </c>
      <c r="AH375" s="0" t="n">
        <f aca="false">AD375*AE375/(AE375^2+AF375^2)-AC375*AF375/(AE375^2+AF375^2)</f>
        <v>-1115.15737708562</v>
      </c>
      <c r="AJ375" s="0" t="n">
        <f aca="false">_Rfb1</f>
        <v>20000</v>
      </c>
      <c r="AK375" s="0" t="n">
        <f aca="false">_Rfb1*Rcea2_u*Cc3ea_u*A375*2*Pi</f>
        <v>1192870.26902736</v>
      </c>
      <c r="AL375" s="0" t="n">
        <v>1</v>
      </c>
      <c r="AM375" s="0" t="n">
        <f aca="false">(_Rfb1+Rcea2_u)*Cc3ea_u*A375*2*Pi</f>
        <v>22314.6858460514</v>
      </c>
      <c r="AN375" s="0" t="n">
        <f aca="false">AJ375*AL375/(AL375^2+AM375^2)+AK375*AM375/(AL375^2+AM375^2)</f>
        <v>53.4567760053675</v>
      </c>
      <c r="AO375" s="0" t="n">
        <f aca="false">AK375*AL375/(AL375^2+AM375^2)-AJ375*AM375/(AL375^2+AM375^2)</f>
        <v>-0.893875152964531</v>
      </c>
      <c r="AQ375" s="0" t="n">
        <f aca="false">Eadcg/(1+(Eadcg*A375/GBP)^2)</f>
        <v>0.0175689764770851</v>
      </c>
      <c r="AR375" s="0" t="n">
        <f aca="false">-(A375*Eadcg*Eadcg/GBP)/(1+(Eadcg*A375/GBP)^2)</f>
        <v>-7.45337473575618</v>
      </c>
      <c r="AT375" s="0" t="n">
        <f aca="false">-AR375*AH375+AG375*AQ375</f>
        <v>-8303.89686197347</v>
      </c>
      <c r="AU375" s="0" t="n">
        <f aca="false">AQ375*AH375+AG375*AR375</f>
        <v>-3323.94110542782</v>
      </c>
      <c r="AV375" s="0" t="n">
        <f aca="false">ATAN2(AT375,AU375)</f>
        <v>-2.7608389762032</v>
      </c>
      <c r="AW375" s="0" t="n">
        <f aca="false">AG375-AH375*AO375/_Rfb2+AG375*AN375/_Rfb2+AN375-AO375*AR375+AQ375*AN375</f>
        <v>501.285639810301</v>
      </c>
      <c r="AX375" s="0" t="n">
        <f aca="false">AH375+AH375*AN375/_Rfb2+AG375*AO375/_Rfb2+AO375+AO375*AQ375+AN375*AR375</f>
        <v>-1541.50439273996</v>
      </c>
      <c r="AY375" s="0" t="n">
        <f aca="false">ATAN2(AW375,AX375)</f>
        <v>-1.25639034398744</v>
      </c>
      <c r="BA375" s="0" t="n">
        <f aca="false">SQRT(AT375^2+AU375^2)/SQRT(AW375^2+AX375^2)</f>
        <v>5.51798666570632</v>
      </c>
      <c r="BB375" s="0" t="n">
        <f aca="false">20*LOG(BA375)</f>
        <v>14.8356129333122</v>
      </c>
      <c r="BC375" s="0" t="n">
        <f aca="false">AV375-AY375</f>
        <v>-1.50444863221576</v>
      </c>
      <c r="BD375" s="0" t="n">
        <f aca="false">BC375*180/Pi-180</f>
        <v>-266.198557218689</v>
      </c>
      <c r="BF375" s="0" t="n">
        <f aca="false">20*LOG(BA375*J375*F375*C375)</f>
        <v>-16.8904318918287</v>
      </c>
      <c r="BG375" s="0" t="n">
        <f aca="false">(180/Pi)*(D375+H375+BC375)</f>
        <v>-263.976835697414</v>
      </c>
      <c r="BH375" s="0" t="n">
        <f aca="false">IF(BG375&gt;180,BG375-180,BG375+180)</f>
        <v>-83.9768356974136</v>
      </c>
      <c r="BI375" s="0" t="n">
        <f aca="false">IF(BH375&gt;180,BH375-360,BH375)</f>
        <v>-83.9768356974136</v>
      </c>
      <c r="BJ375" s="0" t="n">
        <f aca="false">SUM((BF376&lt;0)*(BF375&gt;0))*A375</f>
        <v>0</v>
      </c>
      <c r="BK375" s="0" t="n">
        <f aca="false">IF(BJ375&gt;0,BI375,0)</f>
        <v>0</v>
      </c>
      <c r="BM375" s="0" t="n">
        <f aca="false">20*LOG(J375*F375*C375)</f>
        <v>-31.7260448251409</v>
      </c>
      <c r="BN375" s="0" t="n">
        <f aca="false">(H375+D375)*180/Pi</f>
        <v>-177.778278478725</v>
      </c>
      <c r="BQ375" s="347" t="n">
        <f aca="false">20*LOG(BA375*7)</f>
        <v>31.7375737335973</v>
      </c>
      <c r="BR375" s="353"/>
      <c r="BS375" s="353"/>
      <c r="BT375" s="353" t="n">
        <v>446683.592</v>
      </c>
      <c r="BU375" s="353" t="n">
        <v>13.5995</v>
      </c>
      <c r="BV375" s="353" t="n">
        <v>-225.053</v>
      </c>
      <c r="BW375" s="349"/>
      <c r="BY375" s="353"/>
      <c r="BZ375" s="353"/>
      <c r="CA375" s="353"/>
      <c r="CC375" s="353"/>
    </row>
    <row r="376" customFormat="false" ht="12.75" hidden="false" customHeight="false" outlineLevel="0" collapsed="false">
      <c r="A376" s="0" t="n">
        <f aca="false">A375+5000</f>
        <v>810000</v>
      </c>
      <c r="B376" s="0" t="n">
        <f aca="false">A376/1000</f>
        <v>810</v>
      </c>
      <c r="C376" s="0" t="n">
        <f aca="false">SQRT((A376/Fesr)^2+1)</f>
        <v>1.000012950811</v>
      </c>
      <c r="D376" s="0" t="n">
        <f aca="false">ATAN(A376/Fesr)</f>
        <v>0.00508933615233187</v>
      </c>
      <c r="F376" s="0" t="n">
        <f aca="false">(Ro/(Ro+Rdcr))/SQRT((A376/(Q*Fo))^2+(1-(A376^2/Fo^2))^2)</f>
        <v>0.00284484722904424</v>
      </c>
      <c r="G376" s="0" t="n">
        <f aca="false">-ATAN(A376*Fo/(Q*(Fo^2-A376^2)))</f>
        <v>0.033509255500424</v>
      </c>
      <c r="H376" s="0" t="n">
        <f aca="false">IF(G376&gt;0,G376-Pi,G376)</f>
        <v>-3.10808339449958</v>
      </c>
      <c r="J376" s="0" t="n">
        <f aca="false">Vin/Vramp</f>
        <v>9</v>
      </c>
      <c r="M376" s="0" t="n">
        <f aca="false">1/(2*Pi*_Rfb1*(Cc1ea_u+Cc2ea_u)*A376)</f>
        <v>0.00727731793661438</v>
      </c>
      <c r="N376" s="0" t="n">
        <f aca="false">-Pi/2</f>
        <v>-1.570796325</v>
      </c>
      <c r="O376" s="0" t="n">
        <f aca="false">SQRT(1+(A376/Fz1_u)^2)</f>
        <v>19.8127621534147</v>
      </c>
      <c r="P376" s="0" t="n">
        <f aca="false">ATAN2(Fz1_u,A376)</f>
        <v>1.52030235432914</v>
      </c>
      <c r="Q376" s="0" t="n">
        <f aca="false">SQRT(1+(A376/Fz2_u)^2)</f>
        <v>22453.2864015251</v>
      </c>
      <c r="R376" s="0" t="n">
        <f aca="false">ATAN2(Fz2_u,A376)</f>
        <v>1.57075178988469</v>
      </c>
      <c r="S376" s="0" t="n">
        <f aca="false">1/SQRT(1+(A376/Fp1_u)^2)</f>
        <v>0.0166604742816109</v>
      </c>
      <c r="T376" s="0" t="n">
        <f aca="false">-ATAN2(Fp1_u,A376)</f>
        <v>-1.55413508167179</v>
      </c>
      <c r="U376" s="0" t="n">
        <f aca="false">1/SQRT(1+(A376/Fp2_u)^2)</f>
        <v>0.414019382477817</v>
      </c>
      <c r="V376" s="0" t="n">
        <f aca="false">-ATAN2(Fp2_u,A376)</f>
        <v>-1.14393107241444</v>
      </c>
      <c r="X376" s="0" t="n">
        <f aca="false">20*LOG(C376*J376*O376*Q376*F376*M376*S376*U376)</f>
        <v>-4.85577183842079</v>
      </c>
      <c r="Y376" s="0" t="n">
        <f aca="false">(180/Pi)*(D376+H376+N376+P376+R376+T376+V376)</f>
        <v>-245.271910341252</v>
      </c>
      <c r="Z376" s="0" t="n">
        <f aca="false">Y376+180</f>
        <v>-65.2719103412523</v>
      </c>
      <c r="AC376" s="0" t="n">
        <v>1</v>
      </c>
      <c r="AD376" s="0" t="n">
        <f aca="false">Rcea1_u*Cc1ea_u*A376*2*Pi</f>
        <v>19.787509801584</v>
      </c>
      <c r="AE376" s="0" t="n">
        <f aca="false">-Rcea1_u*Cc1ea_u*Cc2ea_u*(A376*2*Pi)^2</f>
        <v>-0.0151059237711336</v>
      </c>
      <c r="AF376" s="0" t="n">
        <f aca="false">(Cc2ea_u+Cc1ea_u)*A376*2*Pi</f>
        <v>0.00687066312555</v>
      </c>
      <c r="AG376" s="0" t="n">
        <f aca="false">AC376*AE376/(AE376^2+AF376^2)+AD376*AF376/(AE376^2+AF376^2)</f>
        <v>438.814845612322</v>
      </c>
      <c r="AH376" s="0" t="n">
        <f aca="false">AD376*AE376/(AE376^2+AF376^2)-AC376*AF376/(AE376^2+AF376^2)</f>
        <v>-1110.33003191389</v>
      </c>
      <c r="AJ376" s="0" t="n">
        <f aca="false">_Rfb1</f>
        <v>20000</v>
      </c>
      <c r="AK376" s="0" t="n">
        <f aca="false">_Rfb1*Rcea2_u*Cc3ea_u*A376*2*Pi</f>
        <v>1200279.40113312</v>
      </c>
      <c r="AL376" s="0" t="n">
        <v>1</v>
      </c>
      <c r="AM376" s="0" t="n">
        <f aca="false">(_Rfb1+Rcea2_u)*Cc3ea_u*A376*2*Pi</f>
        <v>22453.2863792567</v>
      </c>
      <c r="AN376" s="0" t="n">
        <f aca="false">AJ376*AL376/(AL376^2+AM376^2)+AK376*AM376/(AL376^2+AM376^2)</f>
        <v>53.4567755123543</v>
      </c>
      <c r="AO376" s="0" t="n">
        <f aca="false">AK376*AL376/(AL376^2+AM376^2)-AJ376*AM376/(AL376^2+AM376^2)</f>
        <v>-0.888357405128683</v>
      </c>
      <c r="AQ376" s="0" t="n">
        <f aca="false">Eadcg/(1+(Eadcg*A376/GBP)^2)</f>
        <v>0.0173527461669393</v>
      </c>
      <c r="AR376" s="0" t="n">
        <f aca="false">-(A376*Eadcg*Eadcg/GBP)/(1+(Eadcg*A376/GBP)^2)</f>
        <v>-7.40736675628138</v>
      </c>
      <c r="AT376" s="0" t="n">
        <f aca="false">-AR376*AH376+AG376*AQ376</f>
        <v>-8217.00712426957</v>
      </c>
      <c r="AU376" s="0" t="n">
        <f aca="false">AQ376*AH376+AG376*AR376</f>
        <v>-3269.72977475679</v>
      </c>
      <c r="AV376" s="0" t="n">
        <f aca="false">ATAN2(AT376,AU376)</f>
        <v>-2.76287874237181</v>
      </c>
      <c r="AW376" s="0" t="n">
        <f aca="false">AG376-AH376*AO376/_Rfb2+AG376*AN376/_Rfb2+AN376-AO376*AR376+AQ376*AN376</f>
        <v>496.730919424928</v>
      </c>
      <c r="AX376" s="0" t="n">
        <f aca="false">AH376+AH376*AN376/_Rfb2+AG376*AO376/_Rfb2+AO376+AO376*AQ376+AN376*AR376</f>
        <v>-1534.09276604298</v>
      </c>
      <c r="AY376" s="0" t="n">
        <f aca="false">ATAN2(AW376,AX376)</f>
        <v>-1.25765507692491</v>
      </c>
      <c r="BA376" s="0" t="n">
        <f aca="false">SQRT(AT376^2+AU376^2)/SQRT(AW376^2+AX376^2)</f>
        <v>5.48441350516337</v>
      </c>
      <c r="BB376" s="0" t="n">
        <f aca="false">20*LOG(BA376)</f>
        <v>14.7826038320525</v>
      </c>
      <c r="BC376" s="0" t="n">
        <f aca="false">AV376-AY376</f>
        <v>-1.50522366544689</v>
      </c>
      <c r="BD376" s="0" t="n">
        <f aca="false">BC376*180/Pi-180</f>
        <v>-266.242963351866</v>
      </c>
      <c r="BF376" s="0" t="n">
        <f aca="false">20*LOG(BA376*J376*F376*C376)</f>
        <v>-17.0512545038225</v>
      </c>
      <c r="BG376" s="0" t="n">
        <f aca="false">(180/Pi)*(D376+H376+BC376)</f>
        <v>-264.031426952487</v>
      </c>
      <c r="BH376" s="0" t="n">
        <f aca="false">IF(BG376&gt;180,BG376-180,BG376+180)</f>
        <v>-84.0314269524869</v>
      </c>
      <c r="BI376" s="0" t="n">
        <f aca="false">IF(BH376&gt;180,BH376-360,BH376)</f>
        <v>-84.0314269524869</v>
      </c>
      <c r="BJ376" s="0" t="n">
        <f aca="false">SUM((BF377&lt;0)*(BF376&gt;0))*A376</f>
        <v>0</v>
      </c>
      <c r="BK376" s="0" t="n">
        <f aca="false">IF(BJ376&gt;0,BI376,0)</f>
        <v>0</v>
      </c>
      <c r="BM376" s="0" t="n">
        <f aca="false">20*LOG(J376*F376*C376)</f>
        <v>-31.833858335875</v>
      </c>
      <c r="BN376" s="0" t="n">
        <f aca="false">(H376+D376)*180/Pi</f>
        <v>-177.788463600621</v>
      </c>
      <c r="BQ376" s="347" t="n">
        <f aca="false">20*LOG(BA376*7)</f>
        <v>31.6845646323376</v>
      </c>
      <c r="BR376" s="353"/>
      <c r="BS376" s="353"/>
      <c r="BT376" s="353" t="n">
        <v>457088.19</v>
      </c>
      <c r="BU376" s="353" t="n">
        <v>13.3674</v>
      </c>
      <c r="BV376" s="353" t="n">
        <v>-226.502</v>
      </c>
      <c r="BW376" s="349"/>
      <c r="BY376" s="353"/>
      <c r="BZ376" s="353"/>
      <c r="CA376" s="353"/>
      <c r="CC376" s="353"/>
    </row>
    <row r="377" customFormat="false" ht="12.75" hidden="false" customHeight="false" outlineLevel="0" collapsed="false">
      <c r="A377" s="0" t="n">
        <f aca="false">A376+5000</f>
        <v>815000</v>
      </c>
      <c r="B377" s="0" t="n">
        <f aca="false">A377/1000</f>
        <v>815</v>
      </c>
      <c r="C377" s="0" t="n">
        <f aca="false">SQRT((A377/Fesr)^2+1)</f>
        <v>1.00001311118999</v>
      </c>
      <c r="D377" s="0" t="n">
        <f aca="false">ATAN(A377/Fesr)</f>
        <v>0.00512075126009114</v>
      </c>
      <c r="F377" s="0" t="n">
        <f aca="false">(Ro/(Ro+Rdcr))/SQRT((A377/(Q*Fo))^2+(1-(A377^2/Fo^2))^2)</f>
        <v>0.0028099690133818</v>
      </c>
      <c r="G377" s="0" t="n">
        <f aca="false">-ATAN(A377*Fo/(Q*(Fo^2-A377^2)))</f>
        <v>0.0333026621128396</v>
      </c>
      <c r="H377" s="0" t="n">
        <f aca="false">IF(G377&gt;0,G377-Pi,G377)</f>
        <v>-3.10828998788716</v>
      </c>
      <c r="J377" s="0" t="n">
        <f aca="false">Vin/Vramp</f>
        <v>9</v>
      </c>
      <c r="M377" s="0" t="n">
        <f aca="false">1/(2*Pi*_Rfb1*(Cc1ea_u+Cc2ea_u)*A377)</f>
        <v>0.00723267181430386</v>
      </c>
      <c r="N377" s="0" t="n">
        <f aca="false">-Pi/2</f>
        <v>-1.570796325</v>
      </c>
      <c r="O377" s="0" t="n">
        <f aca="false">SQRT(1+(A377/Fz1_u)^2)</f>
        <v>19.9347525488889</v>
      </c>
      <c r="P377" s="0" t="n">
        <f aca="false">ATAN2(Fz1_u,A377)</f>
        <v>1.52061161184302</v>
      </c>
      <c r="Q377" s="0" t="n">
        <f aca="false">SQRT(1+(A377/Fz2_u)^2)</f>
        <v>22591.8869345938</v>
      </c>
      <c r="R377" s="0" t="n">
        <f aca="false">ATAN2(Fz2_u,A377)</f>
        <v>1.57075206311727</v>
      </c>
      <c r="S377" s="0" t="n">
        <f aca="false">1/SQRT(1+(A377/Fp1_u)^2)</f>
        <v>0.0165582908934626</v>
      </c>
      <c r="T377" s="0" t="n">
        <f aca="false">-ATAN2(Fp1_u,A377)</f>
        <v>-1.55423727915765</v>
      </c>
      <c r="U377" s="0" t="n">
        <f aca="false">1/SQRT(1+(A377/Fp2_u)^2)</f>
        <v>0.41191145337164</v>
      </c>
      <c r="V377" s="0" t="n">
        <f aca="false">-ATAN2(Fp2_u,A377)</f>
        <v>-1.1462455796771</v>
      </c>
      <c r="X377" s="0" t="n">
        <f aca="false">20*LOG(C377*J377*O377*Q377*F377*M377*S377*U377)</f>
        <v>-5.00737551314051</v>
      </c>
      <c r="Y377" s="0" t="n">
        <f aca="false">(180/Pi)*(D377+H377+N377+P377+R377+T377+V377)</f>
        <v>-245.402679494516</v>
      </c>
      <c r="Z377" s="0" t="n">
        <f aca="false">Y377+180</f>
        <v>-65.4026794945157</v>
      </c>
      <c r="AC377" s="0" t="n">
        <v>1</v>
      </c>
      <c r="AD377" s="0" t="n">
        <f aca="false">Rcea1_u*Cc1ea_u*A377*2*Pi</f>
        <v>19.909654923816</v>
      </c>
      <c r="AE377" s="0" t="n">
        <f aca="false">-Rcea1_u*Cc1ea_u*Cc2ea_u*(A377*2*Pi)^2</f>
        <v>-0.0152929922525243</v>
      </c>
      <c r="AF377" s="0" t="n">
        <f aca="false">(Cc2ea_u+Cc1ea_u)*A377*2*Pi</f>
        <v>0.006913074626325</v>
      </c>
      <c r="AG377" s="0" t="n">
        <f aca="false">AC377*AE377/(AE377^2+AF377^2)+AD377*AF377/(AE377^2+AF377^2)</f>
        <v>434.357876271966</v>
      </c>
      <c r="AH377" s="0" t="n">
        <f aca="false">AD377*AE377/(AE377^2+AF377^2)-AC377*AF377/(AE377^2+AF377^2)</f>
        <v>-1105.53292851012</v>
      </c>
      <c r="AJ377" s="0" t="n">
        <f aca="false">_Rfb1</f>
        <v>20000</v>
      </c>
      <c r="AK377" s="0" t="n">
        <f aca="false">_Rfb1*Rcea2_u*Cc3ea_u*A377*2*Pi</f>
        <v>1207688.53323888</v>
      </c>
      <c r="AL377" s="0" t="n">
        <v>1</v>
      </c>
      <c r="AM377" s="0" t="n">
        <f aca="false">(_Rfb1+Rcea2_u)*Cc3ea_u*A377*2*Pi</f>
        <v>22591.8869124619</v>
      </c>
      <c r="AN377" s="0" t="n">
        <f aca="false">AJ377*AL377/(AL377^2+AM377^2)+AK377*AM377/(AL377^2+AM377^2)</f>
        <v>53.4567750283871</v>
      </c>
      <c r="AO377" s="0" t="n">
        <f aca="false">AK377*AL377/(AL377^2+AM377^2)-AJ377*AM377/(AL377^2+AM377^2)</f>
        <v>-0.882907359719868</v>
      </c>
      <c r="AQ377" s="0" t="n">
        <f aca="false">Eadcg/(1+(Eadcg*A377/GBP)^2)</f>
        <v>0.017140483306725</v>
      </c>
      <c r="AR377" s="0" t="n">
        <f aca="false">-(A377*Eadcg*Eadcg/GBP)/(1+(Eadcg*A377/GBP)^2)</f>
        <v>-7.3619232826549</v>
      </c>
      <c r="AT377" s="0" t="n">
        <f aca="false">-AR377*AH377+AG377*AQ377</f>
        <v>-8131.40350221295</v>
      </c>
      <c r="AU377" s="0" t="n">
        <f aca="false">AQ377*AH377+AG377*AR377</f>
        <v>-3216.65873103729</v>
      </c>
      <c r="AV377" s="0" t="n">
        <f aca="false">ATAN2(AT377,AU377)</f>
        <v>-2.7648983640274</v>
      </c>
      <c r="AW377" s="0" t="n">
        <f aca="false">AG377-AH377*AO377/_Rfb2+AG377*AN377/_Rfb2+AN377-AO377*AR377+AQ377*AN377</f>
        <v>492.240509664018</v>
      </c>
      <c r="AX377" s="0" t="n">
        <f aca="false">AH377+AH377*AN377/_Rfb2+AG377*AO377/_Rfb2+AO377+AO377*AQ377+AN377*AR377</f>
        <v>-1526.74242129103</v>
      </c>
      <c r="AY377" s="0" t="n">
        <f aca="false">ATAN2(AW377,AX377)</f>
        <v>-1.25890670660439</v>
      </c>
      <c r="BA377" s="0" t="n">
        <f aca="false">SQRT(AT377^2+AU377^2)/SQRT(AW377^2+AX377^2)</f>
        <v>5.45124278104123</v>
      </c>
      <c r="BB377" s="0" t="n">
        <f aca="false">20*LOG(BA377)</f>
        <v>14.7299104911081</v>
      </c>
      <c r="BC377" s="0" t="n">
        <f aca="false">AV377-AY377</f>
        <v>-1.50599165742302</v>
      </c>
      <c r="BD377" s="0" t="n">
        <f aca="false">BC377*180/Pi-180</f>
        <v>-266.286966050848</v>
      </c>
      <c r="BF377" s="0" t="n">
        <f aca="false">20*LOG(BA377*J377*F377*C377)</f>
        <v>-17.211094822547</v>
      </c>
      <c r="BG377" s="0" t="n">
        <f aca="false">(180/Pi)*(D377+H377+BC377)</f>
        <v>-264.085466627577</v>
      </c>
      <c r="BH377" s="0" t="n">
        <f aca="false">IF(BG377&gt;180,BG377-180,BG377+180)</f>
        <v>-84.0854666275768</v>
      </c>
      <c r="BI377" s="0" t="n">
        <f aca="false">IF(BH377&gt;180,BH377-360,BH377)</f>
        <v>-84.0854666275768</v>
      </c>
      <c r="BJ377" s="0" t="n">
        <f aca="false">SUM((BF378&lt;0)*(BF377&gt;0))*A377</f>
        <v>0</v>
      </c>
      <c r="BK377" s="0" t="n">
        <f aca="false">IF(BJ377&gt;0,BI377,0)</f>
        <v>0</v>
      </c>
      <c r="BM377" s="0" t="n">
        <f aca="false">20*LOG(J377*F377*C377)</f>
        <v>-31.9410053136551</v>
      </c>
      <c r="BN377" s="0" t="n">
        <f aca="false">(H377+D377)*180/Pi</f>
        <v>-177.798500576729</v>
      </c>
      <c r="BQ377" s="347" t="n">
        <f aca="false">20*LOG(BA377*7)</f>
        <v>31.6318712913932</v>
      </c>
      <c r="BR377" s="353"/>
      <c r="BS377" s="353"/>
      <c r="BT377" s="353" t="n">
        <v>467735.141</v>
      </c>
      <c r="BU377" s="353" t="n">
        <v>13.1959</v>
      </c>
      <c r="BV377" s="353" t="n">
        <v>131.817</v>
      </c>
      <c r="BY377" s="353"/>
      <c r="BZ377" s="353"/>
      <c r="CA377" s="353"/>
      <c r="CC377" s="353"/>
    </row>
    <row r="378" customFormat="false" ht="12.75" hidden="false" customHeight="false" outlineLevel="0" collapsed="false">
      <c r="A378" s="0" t="n">
        <f aca="false">A377+5000</f>
        <v>820000</v>
      </c>
      <c r="B378" s="0" t="n">
        <f aca="false">A378/1000</f>
        <v>820</v>
      </c>
      <c r="C378" s="0" t="n">
        <f aca="false">SQRT((A378/Fesr)^2+1)</f>
        <v>1.00001327255589</v>
      </c>
      <c r="D378" s="0" t="n">
        <f aca="false">ATAN(A378/Fesr)</f>
        <v>0.00515216635774288</v>
      </c>
      <c r="F378" s="0" t="n">
        <f aca="false">(Ro/(Ro+Rdcr))/SQRT((A378/(Q*Fo))^2+(1-(A378^2/Fo^2))^2)</f>
        <v>0.00277572877778997</v>
      </c>
      <c r="G378" s="0" t="n">
        <f aca="false">-ATAN(A378*Fo/(Q*(Fo^2-A378^2)))</f>
        <v>0.0330986066073155</v>
      </c>
      <c r="H378" s="0" t="n">
        <f aca="false">IF(G378&gt;0,G378-Pi,G378)</f>
        <v>-3.10849404339268</v>
      </c>
      <c r="J378" s="0" t="n">
        <f aca="false">Vin/Vramp</f>
        <v>9</v>
      </c>
      <c r="M378" s="0" t="n">
        <f aca="false">1/(2*Pi*_Rfb1*(Cc1ea_u+Cc2ea_u)*A378)</f>
        <v>0.00718857015689957</v>
      </c>
      <c r="N378" s="0" t="n">
        <f aca="false">-Pi/2</f>
        <v>-1.570796325</v>
      </c>
      <c r="O378" s="0" t="n">
        <f aca="false">SQRT(1+(A378/Fz1_u)^2)</f>
        <v>20.0567448277344</v>
      </c>
      <c r="P378" s="0" t="n">
        <f aca="false">ATAN2(Fz1_u,A378)</f>
        <v>1.52091710735673</v>
      </c>
      <c r="Q378" s="0" t="n">
        <f aca="false">SQRT(1+(A378/Fz2_u)^2)</f>
        <v>22730.4874676641</v>
      </c>
      <c r="R378" s="0" t="n">
        <f aca="false">ATAN2(Fz2_u,A378)</f>
        <v>1.57075233301774</v>
      </c>
      <c r="S378" s="0" t="n">
        <f aca="false">1/SQRT(1+(A378/Fp1_u)^2)</f>
        <v>0.0164573531348111</v>
      </c>
      <c r="T378" s="0" t="n">
        <f aca="false">-ATAN2(Fp1_u,A378)</f>
        <v>-1.55433823067234</v>
      </c>
      <c r="U378" s="0" t="n">
        <f aca="false">1/SQRT(1+(A378/Fp2_u)^2)</f>
        <v>0.409822717921713</v>
      </c>
      <c r="V378" s="0" t="n">
        <f aca="false">-ATAN2(Fp2_u,A378)</f>
        <v>-1.14853662613555</v>
      </c>
      <c r="X378" s="0" t="n">
        <f aca="false">20*LOG(C378*J378*O378*Q378*F378*M378*S378*U378)</f>
        <v>-5.15813933367505</v>
      </c>
      <c r="Y378" s="0" t="n">
        <f aca="false">(180/Pi)*(D378+H378+N378+P378+R378+T378+V378)</f>
        <v>-245.532103382119</v>
      </c>
      <c r="Z378" s="0" t="n">
        <f aca="false">Y378+180</f>
        <v>-65.5321033821191</v>
      </c>
      <c r="AC378" s="0" t="n">
        <v>1</v>
      </c>
      <c r="AD378" s="0" t="n">
        <f aca="false">Rcea1_u*Cc1ea_u*A378*2*Pi</f>
        <v>20.031800046048</v>
      </c>
      <c r="AE378" s="0" t="n">
        <f aca="false">-Rcea1_u*Cc1ea_u*Cc2ea_u*(A378*2*Pi)^2</f>
        <v>-0.0154812119245698</v>
      </c>
      <c r="AF378" s="0" t="n">
        <f aca="false">(Cc2ea_u+Cc1ea_u)*A378*2*Pi</f>
        <v>0.0069554861271</v>
      </c>
      <c r="AG378" s="0" t="n">
        <f aca="false">AC378*AE378/(AE378^2+AF378^2)+AD378*AF378/(AE378^2+AF378^2)</f>
        <v>429.963929919334</v>
      </c>
      <c r="AH378" s="0" t="n">
        <f aca="false">AD378*AE378/(AE378^2+AF378^2)-AC378*AF378/(AE378^2+AF378^2)</f>
        <v>-1100.76601104434</v>
      </c>
      <c r="AJ378" s="0" t="n">
        <f aca="false">_Rfb1</f>
        <v>20000</v>
      </c>
      <c r="AK378" s="0" t="n">
        <f aca="false">_Rfb1*Rcea2_u*Cc3ea_u*A378*2*Pi</f>
        <v>1215097.66534464</v>
      </c>
      <c r="AL378" s="0" t="n">
        <v>1</v>
      </c>
      <c r="AM378" s="0" t="n">
        <f aca="false">(_Rfb1+Rcea2_u)*Cc3ea_u*A378*2*Pi</f>
        <v>22730.4874456672</v>
      </c>
      <c r="AN378" s="0" t="n">
        <f aca="false">AJ378*AL378/(AL378^2+AM378^2)+AK378*AM378/(AL378^2+AM378^2)</f>
        <v>53.4567745532459</v>
      </c>
      <c r="AO378" s="0" t="n">
        <f aca="false">AK378*AL378/(AL378^2+AM378^2)-AJ378*AM378/(AL378^2+AM378^2)</f>
        <v>-0.877523778279065</v>
      </c>
      <c r="AQ378" s="0" t="n">
        <f aca="false">Eadcg/(1+(Eadcg*A378/GBP)^2)</f>
        <v>0.0169320914258654</v>
      </c>
      <c r="AR378" s="0" t="n">
        <f aca="false">-(A378*Eadcg*Eadcg/GBP)/(1+(Eadcg*A378/GBP)^2)</f>
        <v>-7.31703398877349</v>
      </c>
      <c r="AT378" s="0" t="n">
        <f aca="false">-AR378*AH378+AG378*AQ378</f>
        <v>-8047.06212792679</v>
      </c>
      <c r="AU378" s="0" t="n">
        <f aca="false">AQ378*AH378+AG378*AR378</f>
        <v>-3164.69895990388</v>
      </c>
      <c r="AV378" s="0" t="n">
        <f aca="false">ATAN2(AT378,AU378)</f>
        <v>-2.76689811161275</v>
      </c>
      <c r="AW378" s="0" t="n">
        <f aca="false">AG378-AH378*AO378/_Rfb2+AG378*AN378/_Rfb2+AN378-AO378*AR378+AQ378*AN378</f>
        <v>487.813309588443</v>
      </c>
      <c r="AX378" s="0" t="n">
        <f aca="false">AH378+AH378*AN378/_Rfb2+AG378*AO378/_Rfb2+AO378+AO378*AQ378+AN378*AR378</f>
        <v>-1519.45274629902</v>
      </c>
      <c r="AY378" s="0" t="n">
        <f aca="false">ATAN2(AW378,AX378)</f>
        <v>-1.26014537864299</v>
      </c>
      <c r="BA378" s="0" t="n">
        <f aca="false">SQRT(AT378^2+AU378^2)/SQRT(AW378^2+AX378^2)</f>
        <v>5.41846735165853</v>
      </c>
      <c r="BB378" s="0" t="n">
        <f aca="false">20*LOG(BA378)</f>
        <v>14.6775292184206</v>
      </c>
      <c r="BC378" s="0" t="n">
        <f aca="false">AV378-AY378</f>
        <v>-1.50675273296976</v>
      </c>
      <c r="BD378" s="0" t="n">
        <f aca="false">BC378*180/Pi-180</f>
        <v>-266.330572467616</v>
      </c>
      <c r="BF378" s="0" t="n">
        <f aca="false">20*LOG(BA378*J378*F378*C378)</f>
        <v>-17.3699647487569</v>
      </c>
      <c r="BG378" s="0" t="n">
        <f aca="false">(180/Pi)*(D378+H378+BC378)</f>
        <v>-264.138964611101</v>
      </c>
      <c r="BH378" s="0" t="n">
        <f aca="false">IF(BG378&gt;180,BG378-180,BG378+180)</f>
        <v>-84.1389646111012</v>
      </c>
      <c r="BI378" s="0" t="n">
        <f aca="false">IF(BH378&gt;180,BH378-360,BH378)</f>
        <v>-84.1389646111012</v>
      </c>
      <c r="BJ378" s="0" t="n">
        <f aca="false">SUM((BF379&lt;0)*(BF378&gt;0))*A378</f>
        <v>0</v>
      </c>
      <c r="BK378" s="0" t="n">
        <f aca="false">IF(BJ378&gt;0,BI378,0)</f>
        <v>0</v>
      </c>
      <c r="BM378" s="0" t="n">
        <f aca="false">20*LOG(J378*F378*C378)</f>
        <v>-32.0474939671775</v>
      </c>
      <c r="BN378" s="0" t="n">
        <f aca="false">(H378+D378)*180/Pi</f>
        <v>-177.808392143485</v>
      </c>
      <c r="BQ378" s="347" t="n">
        <f aca="false">20*LOG(BA378*7)</f>
        <v>31.5794900187057</v>
      </c>
      <c r="BR378" s="353"/>
      <c r="BS378" s="353"/>
      <c r="BT378" s="353" t="n">
        <v>478630.092</v>
      </c>
      <c r="BU378" s="353" t="n">
        <v>13.0069</v>
      </c>
      <c r="BV378" s="353" t="n">
        <v>129.957</v>
      </c>
      <c r="BY378" s="353"/>
      <c r="BZ378" s="353"/>
      <c r="CA378" s="353"/>
      <c r="CC378" s="353"/>
    </row>
    <row r="379" customFormat="false" ht="12.75" hidden="false" customHeight="false" outlineLevel="0" collapsed="false">
      <c r="A379" s="0" t="n">
        <f aca="false">A378+5000</f>
        <v>825000</v>
      </c>
      <c r="B379" s="0" t="n">
        <f aca="false">A379/1000</f>
        <v>825</v>
      </c>
      <c r="C379" s="0" t="n">
        <f aca="false">SQRT((A379/Fesr)^2+1)</f>
        <v>1.00001343490871</v>
      </c>
      <c r="D379" s="0" t="n">
        <f aca="false">ATAN(A379/Fesr)</f>
        <v>0.00518358144522511</v>
      </c>
      <c r="F379" s="0" t="n">
        <f aca="false">(Ro/(Ro+Rdcr))/SQRT((A379/(Q*Fo))^2+(1-(A379^2/Fo^2))^2)</f>
        <v>0.00274211104572451</v>
      </c>
      <c r="G379" s="0" t="n">
        <f aca="false">-ATAN(A379*Fo/(Q*(Fo^2-A379^2)))</f>
        <v>0.0328970423958105</v>
      </c>
      <c r="H379" s="0" t="n">
        <f aca="false">IF(G379&gt;0,G379-Pi,G379)</f>
        <v>-3.10869560760419</v>
      </c>
      <c r="J379" s="0" t="n">
        <f aca="false">Vin/Vramp</f>
        <v>9</v>
      </c>
      <c r="M379" s="0" t="n">
        <f aca="false">1/(2*Pi*_Rfb1*(Cc1ea_u+Cc2ea_u)*A379)</f>
        <v>0.00714500306503957</v>
      </c>
      <c r="N379" s="0" t="n">
        <f aca="false">-Pi/2</f>
        <v>-1.570796325</v>
      </c>
      <c r="O379" s="0" t="n">
        <f aca="false">SQRT(1+(A379/Fz1_u)^2)</f>
        <v>20.178738955793</v>
      </c>
      <c r="P379" s="0" t="n">
        <f aca="false">ATAN2(Fz1_u,A379)</f>
        <v>1.52121890904421</v>
      </c>
      <c r="Q379" s="0" t="n">
        <f aca="false">SQRT(1+(A379/Fz2_u)^2)</f>
        <v>22869.0880007361</v>
      </c>
      <c r="R379" s="0" t="n">
        <f aca="false">ATAN2(Fz2_u,A379)</f>
        <v>1.57075259964669</v>
      </c>
      <c r="S379" s="0" t="n">
        <f aca="false">1/SQRT(1+(A379/Fp1_u)^2)</f>
        <v>0.0163576383700799</v>
      </c>
      <c r="T379" s="0" t="n">
        <f aca="false">-ATAN2(Fp1_u,A379)</f>
        <v>-1.55443795886172</v>
      </c>
      <c r="U379" s="0" t="n">
        <f aca="false">1/SQRT(1+(A379/Fp2_u)^2)</f>
        <v>0.407752950906686</v>
      </c>
      <c r="V379" s="0" t="n">
        <f aca="false">-ATAN2(Fp2_u,A379)</f>
        <v>-1.15080454301436</v>
      </c>
      <c r="X379" s="0" t="n">
        <f aca="false">20*LOG(C379*J379*O379*Q379*F379*M379*S379*U379)</f>
        <v>-5.30807230231326</v>
      </c>
      <c r="Y379" s="0" t="n">
        <f aca="false">(180/Pi)*(D379+H379+N379+P379+R379+T379+V379)</f>
        <v>-245.660201039096</v>
      </c>
      <c r="Z379" s="0" t="n">
        <f aca="false">Y379+180</f>
        <v>-65.6602010390959</v>
      </c>
      <c r="AC379" s="0" t="n">
        <v>1</v>
      </c>
      <c r="AD379" s="0" t="n">
        <f aca="false">Rcea1_u*Cc1ea_u*A379*2*Pi</f>
        <v>20.15394516828</v>
      </c>
      <c r="AE379" s="0" t="n">
        <f aca="false">-Rcea1_u*Cc1ea_u*Cc2ea_u*(A379*2*Pi)^2</f>
        <v>-0.0156705827872699</v>
      </c>
      <c r="AF379" s="0" t="n">
        <f aca="false">(Cc2ea_u+Cc1ea_u)*A379*2*Pi</f>
        <v>0.006997897627875</v>
      </c>
      <c r="AG379" s="0" t="n">
        <f aca="false">AC379*AE379/(AE379^2+AF379^2)+AD379*AF379/(AE379^2+AF379^2)</f>
        <v>425.631920571163</v>
      </c>
      <c r="AH379" s="0" t="n">
        <f aca="false">AD379*AE379/(AE379^2+AF379^2)-AC379*AF379/(AE379^2+AF379^2)</f>
        <v>-1096.02921564089</v>
      </c>
      <c r="AJ379" s="0" t="n">
        <f aca="false">_Rfb1</f>
        <v>20000</v>
      </c>
      <c r="AK379" s="0" t="n">
        <f aca="false">_Rfb1*Rcea2_u*Cc3ea_u*A379*2*Pi</f>
        <v>1222506.7974504</v>
      </c>
      <c r="AL379" s="0" t="n">
        <v>1</v>
      </c>
      <c r="AM379" s="0" t="n">
        <f aca="false">(_Rfb1+Rcea2_u)*Cc3ea_u*A379*2*Pi</f>
        <v>22869.0879788725</v>
      </c>
      <c r="AN379" s="0" t="n">
        <f aca="false">AJ379*AL379/(AL379^2+AM379^2)+AK379*AM379/(AL379^2+AM379^2)</f>
        <v>53.4567740867174</v>
      </c>
      <c r="AO379" s="0" t="n">
        <f aca="false">AK379*AL379/(AL379^2+AM379^2)-AJ379*AM379/(AL379^2+AM379^2)</f>
        <v>-0.8722054523705</v>
      </c>
      <c r="AQ379" s="0" t="n">
        <f aca="false">Eadcg/(1+(Eadcg*A379/GBP)^2)</f>
        <v>0.0167274769682179</v>
      </c>
      <c r="AR379" s="0" t="n">
        <f aca="false">-(A379*Eadcg*Eadcg/GBP)/(1+(Eadcg*A379/GBP)^2)</f>
        <v>-7.27268879885695</v>
      </c>
      <c r="AT379" s="0" t="n">
        <f aca="false">-AR379*AH379+AG379*AQ379</f>
        <v>-7963.95965166322</v>
      </c>
      <c r="AU379" s="0" t="n">
        <f aca="false">AQ379*AH379+AG379*AR379</f>
        <v>-3113.822304635</v>
      </c>
      <c r="AV379" s="0" t="n">
        <f aca="false">ATAN2(AT379,AU379)</f>
        <v>-2.7688782513651</v>
      </c>
      <c r="AW379" s="0" t="n">
        <f aca="false">AG379-AH379*AO379/_Rfb2+AG379*AN379/_Rfb2+AN379-AO379*AR379+AQ379*AN379</f>
        <v>483.448238835357</v>
      </c>
      <c r="AX379" s="0" t="n">
        <f aca="false">AH379+AH379*AN379/_Rfb2+AG379*AO379/_Rfb2+AO379+AO379*AQ379+AN379*AR379</f>
        <v>-1512.22313410803</v>
      </c>
      <c r="AY379" s="0" t="n">
        <f aca="false">ATAN2(AW379,AX379)</f>
        <v>-1.26137123736345</v>
      </c>
      <c r="BA379" s="0" t="n">
        <f aca="false">SQRT(AT379^2+AU379^2)/SQRT(AW379^2+AX379^2)</f>
        <v>5.38608024203824</v>
      </c>
      <c r="BB379" s="0" t="n">
        <f aca="false">20*LOG(BA379)</f>
        <v>14.625456385204</v>
      </c>
      <c r="BC379" s="0" t="n">
        <f aca="false">AV379-AY379</f>
        <v>-1.50750701400166</v>
      </c>
      <c r="BD379" s="0" t="n">
        <f aca="false">BC379*180/Pi-180</f>
        <v>-266.37378958736</v>
      </c>
      <c r="BF379" s="0" t="n">
        <f aca="false">20*LOG(BA379*J379*F379*C379)</f>
        <v>-17.5278759688927</v>
      </c>
      <c r="BG379" s="0" t="n">
        <f aca="false">(180/Pi)*(D379+H379+BC379)</f>
        <v>-264.191930557551</v>
      </c>
      <c r="BH379" s="0" t="n">
        <f aca="false">IF(BG379&gt;180,BG379-180,BG379+180)</f>
        <v>-84.1919305575507</v>
      </c>
      <c r="BI379" s="0" t="n">
        <f aca="false">IF(BH379&gt;180,BH379-360,BH379)</f>
        <v>-84.1919305575507</v>
      </c>
      <c r="BJ379" s="0" t="n">
        <f aca="false">SUM((BF380&lt;0)*(BF379&gt;0))*A379</f>
        <v>0</v>
      </c>
      <c r="BK379" s="0" t="n">
        <f aca="false">IF(BJ379&gt;0,BI379,0)</f>
        <v>0</v>
      </c>
      <c r="BM379" s="0" t="n">
        <f aca="false">20*LOG(J379*F379*C379)</f>
        <v>-32.1533323540967</v>
      </c>
      <c r="BN379" s="0" t="n">
        <f aca="false">(H379+D379)*180/Pi</f>
        <v>-177.81814097019</v>
      </c>
      <c r="BQ379" s="347" t="n">
        <f aca="false">20*LOG(BA379*7)</f>
        <v>31.5274171854891</v>
      </c>
      <c r="BR379" s="353"/>
      <c r="BS379" s="353"/>
      <c r="BT379" s="353" t="n">
        <v>489778.819</v>
      </c>
      <c r="BU379" s="353" t="n">
        <v>12.7394</v>
      </c>
      <c r="BV379" s="353" t="n">
        <v>126.418</v>
      </c>
      <c r="BY379" s="353"/>
      <c r="BZ379" s="353"/>
      <c r="CA379" s="353"/>
      <c r="CC379" s="353"/>
    </row>
    <row r="380" customFormat="false" ht="12.75" hidden="false" customHeight="false" outlineLevel="0" collapsed="false">
      <c r="A380" s="0" t="n">
        <f aca="false">A379+5000</f>
        <v>830000</v>
      </c>
      <c r="B380" s="0" t="n">
        <f aca="false">A380/1000</f>
        <v>830</v>
      </c>
      <c r="C380" s="0" t="n">
        <f aca="false">SQRT((A380/Fesr)^2+1)</f>
        <v>1.00001359824846</v>
      </c>
      <c r="D380" s="0" t="n">
        <f aca="false">ATAN(A380/Fesr)</f>
        <v>0.00521499652247582</v>
      </c>
      <c r="F380" s="0" t="n">
        <f aca="false">(Ro/(Ro+Rdcr))/SQRT((A380/(Q*Fo))^2+(1-(A380^2/Fo^2))^2)</f>
        <v>0.0027091008074454</v>
      </c>
      <c r="G380" s="0" t="n">
        <f aca="false">-ATAN(A380*Fo/(Q*(Fo^2-A380^2)))</f>
        <v>0.0326979240262145</v>
      </c>
      <c r="H380" s="0" t="n">
        <f aca="false">IF(G380&gt;0,G380-Pi,G380)</f>
        <v>-3.10889472597379</v>
      </c>
      <c r="J380" s="0" t="n">
        <f aca="false">Vin/Vramp</f>
        <v>9</v>
      </c>
      <c r="M380" s="0" t="n">
        <f aca="false">1/(2*Pi*_Rfb1*(Cc1ea_u+Cc2ea_u)*A380)</f>
        <v>0.00710196087790078</v>
      </c>
      <c r="N380" s="0" t="n">
        <f aca="false">-Pi/2</f>
        <v>-1.570796325</v>
      </c>
      <c r="O380" s="0" t="n">
        <f aca="false">SQRT(1+(A380/Fz1_u)^2)</f>
        <v>20.300734899727</v>
      </c>
      <c r="P380" s="0" t="n">
        <f aca="false">ATAN2(Fz1_u,A380)</f>
        <v>1.52151708344342</v>
      </c>
      <c r="Q380" s="0" t="n">
        <f aca="false">SQRT(1+(A380/Fz2_u)^2)</f>
        <v>23007.6885338097</v>
      </c>
      <c r="R380" s="0" t="n">
        <f aca="false">ATAN2(Fz2_u,A380)</f>
        <v>1.57075286306325</v>
      </c>
      <c r="S380" s="0" t="n">
        <f aca="false">1/SQRT(1+(A380/Fp1_u)^2)</f>
        <v>0.016259124508763</v>
      </c>
      <c r="T380" s="0" t="n">
        <f aca="false">-ATAN2(Fp1_u,A380)</f>
        <v>-1.55453648582623</v>
      </c>
      <c r="U380" s="0" t="n">
        <f aca="false">1/SQRT(1+(A380/Fp2_u)^2)</f>
        <v>0.40570192977486</v>
      </c>
      <c r="V380" s="0" t="n">
        <f aca="false">-ATAN2(Fp2_u,A380)</f>
        <v>-1.15304965583579</v>
      </c>
      <c r="X380" s="0" t="n">
        <f aca="false">20*LOG(C380*J380*O380*Q380*F380*M380*S380*U380)</f>
        <v>-5.45718327829528</v>
      </c>
      <c r="Y380" s="0" t="n">
        <f aca="false">(180/Pi)*(D380+H380+N380+P380+R380+T380+V380)</f>
        <v>-245.786991171245</v>
      </c>
      <c r="Z380" s="0" t="n">
        <f aca="false">Y380+180</f>
        <v>-65.7869911712453</v>
      </c>
      <c r="AC380" s="0" t="n">
        <v>1</v>
      </c>
      <c r="AD380" s="0" t="n">
        <f aca="false">Rcea1_u*Cc1ea_u*A380*2*Pi</f>
        <v>20.276090290512</v>
      </c>
      <c r="AE380" s="0" t="n">
        <f aca="false">-Rcea1_u*Cc1ea_u*Cc2ea_u*(A380*2*Pi)^2</f>
        <v>-0.0158611048406248</v>
      </c>
      <c r="AF380" s="0" t="n">
        <f aca="false">(Cc2ea_u+Cc1ea_u)*A380*2*Pi</f>
        <v>0.00704030912865</v>
      </c>
      <c r="AG380" s="0" t="n">
        <f aca="false">AC380*AE380/(AE380^2+AF380^2)+AD380*AF380/(AE380^2+AF380^2)</f>
        <v>421.360782906997</v>
      </c>
      <c r="AH380" s="0" t="n">
        <f aca="false">AD380*AE380/(AE380^2+AF380^2)-AC380*AF380/(AE380^2+AF380^2)</f>
        <v>-1091.32247079169</v>
      </c>
      <c r="AJ380" s="0" t="n">
        <f aca="false">_Rfb1</f>
        <v>20000</v>
      </c>
      <c r="AK380" s="0" t="n">
        <f aca="false">_Rfb1*Rcea2_u*Cc3ea_u*A380*2*Pi</f>
        <v>1229915.92955616</v>
      </c>
      <c r="AL380" s="0" t="n">
        <v>1</v>
      </c>
      <c r="AM380" s="0" t="n">
        <f aca="false">(_Rfb1+Rcea2_u)*Cc3ea_u*A380*2*Pi</f>
        <v>23007.6885120778</v>
      </c>
      <c r="AN380" s="0" t="n">
        <f aca="false">AJ380*AL380/(AL380^2+AM380^2)+AK380*AM380/(AL380^2+AM380^2)</f>
        <v>53.4567736285947</v>
      </c>
      <c r="AO380" s="0" t="n">
        <f aca="false">AK380*AL380/(AL380^2+AM380^2)-AJ380*AM380/(AL380^2+AM380^2)</f>
        <v>-0.866951202677337</v>
      </c>
      <c r="AQ380" s="0" t="n">
        <f aca="false">Eadcg/(1+(Eadcg*A380/GBP)^2)</f>
        <v>0.0165265491870524</v>
      </c>
      <c r="AR380" s="0" t="n">
        <f aca="false">-(A380*Eadcg*Eadcg/GBP)/(1+(Eadcg*A380/GBP)^2)</f>
        <v>-7.22887787990858</v>
      </c>
      <c r="AT380" s="0" t="n">
        <f aca="false">-AR380*AH380+AG380*AQ380</f>
        <v>-7882.07322924904</v>
      </c>
      <c r="AU380" s="0" t="n">
        <f aca="false">AQ380*AH380+AG380*AR380</f>
        <v>-3064.00143750983</v>
      </c>
      <c r="AV380" s="0" t="n">
        <f aca="false">ATAN2(AT380,AU380)</f>
        <v>-2.77083904537862</v>
      </c>
      <c r="AW380" s="0" t="n">
        <f aca="false">AG380-AH380*AO380/_Rfb2+AG380*AN380/_Rfb2+AN380-AO380*AR380+AQ380*AN380</f>
        <v>479.144237259021</v>
      </c>
      <c r="AX380" s="0" t="n">
        <f aca="false">AH380+AH380*AN380/_Rfb2+AG380*AO380/_Rfb2+AO380+AO380*AQ380+AN380*AR380</f>
        <v>-1505.05298300258</v>
      </c>
      <c r="AY380" s="0" t="n">
        <f aca="false">ATAN2(AW380,AX380)</f>
        <v>-1.26258442577277</v>
      </c>
      <c r="BA380" s="0" t="n">
        <f aca="false">SQRT(AT380^2+AU380^2)/SQRT(AW380^2+AX380^2)</f>
        <v>5.35407463910944</v>
      </c>
      <c r="BB380" s="0" t="n">
        <f aca="false">20*LOG(BA380)</f>
        <v>14.573688424532</v>
      </c>
      <c r="BC380" s="0" t="n">
        <f aca="false">AV380-AY380</f>
        <v>-1.50825461960585</v>
      </c>
      <c r="BD380" s="0" t="n">
        <f aca="false">BC380*180/Pi-180</f>
        <v>-266.41662423327</v>
      </c>
      <c r="BF380" s="0" t="n">
        <f aca="false">20*LOG(BA380*J380*F380*C380)</f>
        <v>-17.6848399601838</v>
      </c>
      <c r="BG380" s="0" t="n">
        <f aca="false">(180/Pi)*(D380+H380+BC380)</f>
        <v>-264.244373894333</v>
      </c>
      <c r="BH380" s="0" t="n">
        <f aca="false">IF(BG380&gt;180,BG380-180,BG380+180)</f>
        <v>-84.2443738943333</v>
      </c>
      <c r="BI380" s="0" t="n">
        <f aca="false">IF(BH380&gt;180,BH380-360,BH380)</f>
        <v>-84.2443738943333</v>
      </c>
      <c r="BJ380" s="0" t="n">
        <f aca="false">SUM((BF381&lt;0)*(BF380&gt;0))*A380</f>
        <v>0</v>
      </c>
      <c r="BK380" s="0" t="n">
        <f aca="false">IF(BJ380&gt;0,BI380,0)</f>
        <v>0</v>
      </c>
      <c r="BM380" s="0" t="n">
        <f aca="false">20*LOG(J380*F380*C380)</f>
        <v>-32.2585283847158</v>
      </c>
      <c r="BN380" s="0" t="n">
        <f aca="false">(H380+D380)*180/Pi</f>
        <v>-177.827749661063</v>
      </c>
      <c r="BQ380" s="347" t="n">
        <f aca="false">20*LOG(BA380*7)</f>
        <v>31.4756492248171</v>
      </c>
      <c r="BR380" s="353"/>
      <c r="BS380" s="353"/>
      <c r="BT380" s="353" t="n">
        <v>501187.234</v>
      </c>
      <c r="BU380" s="353" t="n">
        <v>12.4757</v>
      </c>
      <c r="BV380" s="353" t="n">
        <v>125.409</v>
      </c>
      <c r="BY380" s="353"/>
      <c r="BZ380" s="353"/>
      <c r="CA380" s="353"/>
      <c r="CC380" s="353"/>
    </row>
    <row r="381" customFormat="false" ht="12.75" hidden="false" customHeight="false" outlineLevel="0" collapsed="false">
      <c r="A381" s="0" t="n">
        <f aca="false">A380+5000</f>
        <v>835000</v>
      </c>
      <c r="B381" s="0" t="n">
        <f aca="false">A381/1000</f>
        <v>835</v>
      </c>
      <c r="C381" s="0" t="n">
        <f aca="false">SQRT((A381/Fesr)^2+1)</f>
        <v>1.00001376257512</v>
      </c>
      <c r="D381" s="0" t="n">
        <f aca="false">ATAN(A381/Fesr)</f>
        <v>0.005246411589433</v>
      </c>
      <c r="F381" s="0" t="n">
        <f aca="false">(Ro/(Ro+Rdcr))/SQRT((A381/(Q*Fo))^2+(1-(A381^2/Fo^2))^2)</f>
        <v>0.00267668350321068</v>
      </c>
      <c r="G381" s="0" t="n">
        <f aca="false">-ATAN(A381*Fo/(Q*(Fo^2-A381^2)))</f>
        <v>0.0325012071478626</v>
      </c>
      <c r="H381" s="0" t="n">
        <f aca="false">IF(G381&gt;0,G381-Pi,G381)</f>
        <v>-3.10909144285214</v>
      </c>
      <c r="J381" s="0" t="n">
        <f aca="false">Vin/Vramp</f>
        <v>9</v>
      </c>
      <c r="M381" s="0" t="n">
        <f aca="false">1/(2*Pi*_Rfb1*(Cc1ea_u+Cc2ea_u)*A381)</f>
        <v>0.00705943416605706</v>
      </c>
      <c r="N381" s="0" t="n">
        <f aca="false">-Pi/2</f>
        <v>-1.570796325</v>
      </c>
      <c r="O381" s="0" t="n">
        <f aca="false">SQRT(1+(A381/Fz1_u)^2)</f>
        <v>20.4227326269949</v>
      </c>
      <c r="P381" s="0" t="n">
        <f aca="false">ATAN2(Fz1_u,A381)</f>
        <v>1.52181169550503</v>
      </c>
      <c r="Q381" s="0" t="n">
        <f aca="false">SQRT(1+(A381/Fz2_u)^2)</f>
        <v>23146.2890668848</v>
      </c>
      <c r="R381" s="0" t="n">
        <f aca="false">ATAN2(Fz2_u,A381)</f>
        <v>1.57075312332511</v>
      </c>
      <c r="S381" s="0" t="n">
        <f aca="false">1/SQRT(1+(A381/Fp1_u)^2)</f>
        <v>0.0161617899891185</v>
      </c>
      <c r="T381" s="0" t="n">
        <f aca="false">-ATAN2(Fp1_u,A381)</f>
        <v>-1.55463383313717</v>
      </c>
      <c r="U381" s="0" t="n">
        <f aca="false">1/SQRT(1+(A381/Fp2_u)^2)</f>
        <v>0.403669434632403</v>
      </c>
      <c r="V381" s="0" t="n">
        <f aca="false">-ATAN2(Fp2_u,A381)</f>
        <v>-1.1552722845283</v>
      </c>
      <c r="X381" s="0" t="n">
        <f aca="false">20*LOG(C381*J381*O381*Q381*F381*M381*S381*U381)</f>
        <v>-5.60548098088907</v>
      </c>
      <c r="Y381" s="0" t="n">
        <f aca="false">(180/Pi)*(D381+H381+N381+P381+R381+T381+V381)</f>
        <v>-245.912492161466</v>
      </c>
      <c r="Z381" s="0" t="n">
        <f aca="false">Y381+180</f>
        <v>-65.9124921614662</v>
      </c>
      <c r="AC381" s="0" t="n">
        <v>1</v>
      </c>
      <c r="AD381" s="0" t="n">
        <f aca="false">Rcea1_u*Cc1ea_u*A381*2*Pi</f>
        <v>20.398235412744</v>
      </c>
      <c r="AE381" s="0" t="n">
        <f aca="false">-Rcea1_u*Cc1ea_u*Cc2ea_u*(A381*2*Pi)^2</f>
        <v>-0.0160527780846344</v>
      </c>
      <c r="AF381" s="0" t="n">
        <f aca="false">(Cc2ea_u+Cc1ea_u)*A381*2*Pi</f>
        <v>0.007082720629425</v>
      </c>
      <c r="AG381" s="0" t="n">
        <f aca="false">AC381*AE381/(AE381^2+AF381^2)+AD381*AF381/(AE381^2+AF381^2)</f>
        <v>417.149471888495</v>
      </c>
      <c r="AH381" s="0" t="n">
        <f aca="false">AD381*AE381/(AE381^2+AF381^2)-AC381*AF381/(AE381^2+AF381^2)</f>
        <v>-1086.64569775263</v>
      </c>
      <c r="AJ381" s="0" t="n">
        <f aca="false">_Rfb1</f>
        <v>20000</v>
      </c>
      <c r="AK381" s="0" t="n">
        <f aca="false">_Rfb1*Rcea2_u*Cc3ea_u*A381*2*Pi</f>
        <v>1237325.06166192</v>
      </c>
      <c r="AL381" s="0" t="n">
        <v>1</v>
      </c>
      <c r="AM381" s="0" t="n">
        <f aca="false">(_Rfb1+Rcea2_u)*Cc3ea_u*A381*2*Pi</f>
        <v>23146.2890452831</v>
      </c>
      <c r="AN381" s="0" t="n">
        <f aca="false">AJ381*AL381/(AL381^2+AM381^2)+AK381*AM381/(AL381^2+AM381^2)</f>
        <v>53.4567731786772</v>
      </c>
      <c r="AO381" s="0" t="n">
        <f aca="false">AK381*AL381/(AL381^2+AM381^2)-AJ381*AM381/(AL381^2+AM381^2)</f>
        <v>-0.861759878129845</v>
      </c>
      <c r="AQ381" s="0" t="n">
        <f aca="false">Eadcg/(1+(Eadcg*A381/GBP)^2)</f>
        <v>0.016329220044419</v>
      </c>
      <c r="AR381" s="0" t="n">
        <f aca="false">-(A381*Eadcg*Eadcg/GBP)/(1+(Eadcg*A381/GBP)^2)</f>
        <v>-7.18559163444638</v>
      </c>
      <c r="AT381" s="0" t="n">
        <f aca="false">-AR381*AH381+AG381*AQ381</f>
        <v>-7801.38050986054</v>
      </c>
      <c r="AU381" s="0" t="n">
        <f aca="false">AQ381*AH381+AG381*AR381</f>
        <v>-3015.20983222462</v>
      </c>
      <c r="AV381" s="0" t="n">
        <f aca="false">ATAN2(AT381,AU381)</f>
        <v>-2.77278075166647</v>
      </c>
      <c r="AW381" s="0" t="n">
        <f aca="false">AG381-AH381*AO381/_Rfb2+AG381*AN381/_Rfb2+AN381-AO381*AR381+AQ381*AN381</f>
        <v>474.900264574408</v>
      </c>
      <c r="AX381" s="0" t="n">
        <f aca="false">AH381+AH381*AN381/_Rfb2+AG381*AO381/_Rfb2+AO381+AO381*AQ381+AN381*AR381</f>
        <v>-1497.94169652541</v>
      </c>
      <c r="AY381" s="0" t="n">
        <f aca="false">ATAN2(AW381,AX381)</f>
        <v>-1.26378508554359</v>
      </c>
      <c r="BA381" s="0" t="n">
        <f aca="false">SQRT(AT381^2+AU381^2)/SQRT(AW381^2+AX381^2)</f>
        <v>5.32244388707269</v>
      </c>
      <c r="BB381" s="0" t="n">
        <f aca="false">20*LOG(BA381)</f>
        <v>14.5222218299643</v>
      </c>
      <c r="BC381" s="0" t="n">
        <f aca="false">AV381-AY381</f>
        <v>-1.50899566612288</v>
      </c>
      <c r="BD381" s="0" t="n">
        <f aca="false">BC381*180/Pi-180</f>
        <v>-266.459083071167</v>
      </c>
      <c r="BF381" s="0" t="n">
        <f aca="false">20*LOG(BA381*J381*F381*C381)</f>
        <v>-17.8408679956006</v>
      </c>
      <c r="BG381" s="0" t="n">
        <f aca="false">(180/Pi)*(D381+H381+BC381)</f>
        <v>-264.29630382838</v>
      </c>
      <c r="BH381" s="0" t="n">
        <f aca="false">IF(BG381&gt;180,BG381-180,BG381+180)</f>
        <v>-84.2963038283799</v>
      </c>
      <c r="BI381" s="0" t="n">
        <f aca="false">IF(BH381&gt;180,BH381-360,BH381)</f>
        <v>-84.2963038283799</v>
      </c>
      <c r="BJ381" s="0" t="n">
        <f aca="false">SUM((BF382&lt;0)*(BF381&gt;0))*A381</f>
        <v>0</v>
      </c>
      <c r="BK381" s="0" t="n">
        <f aca="false">IF(BJ381&gt;0,BI381,0)</f>
        <v>0</v>
      </c>
      <c r="BM381" s="0" t="n">
        <f aca="false">20*LOG(J381*F381*C381)</f>
        <v>-32.3630898255649</v>
      </c>
      <c r="BN381" s="0" t="n">
        <f aca="false">(H381+D381)*180/Pi</f>
        <v>-177.837220757213</v>
      </c>
      <c r="BQ381" s="347" t="n">
        <f aca="false">20*LOG(BA381*7)</f>
        <v>31.4241826302494</v>
      </c>
      <c r="BR381" s="353"/>
      <c r="BS381" s="353"/>
      <c r="BT381" s="353" t="n">
        <v>512861.384</v>
      </c>
      <c r="BU381" s="353" t="n">
        <v>12.1639</v>
      </c>
      <c r="BV381" s="353" t="n">
        <v>124.027</v>
      </c>
      <c r="BY381" s="353"/>
      <c r="BZ381" s="353"/>
      <c r="CA381" s="353"/>
      <c r="CC381" s="353"/>
    </row>
    <row r="382" customFormat="false" ht="12.75" hidden="false" customHeight="false" outlineLevel="0" collapsed="false">
      <c r="A382" s="0" t="n">
        <f aca="false">A381+5000</f>
        <v>840000</v>
      </c>
      <c r="B382" s="0" t="n">
        <f aca="false">A382/1000</f>
        <v>840</v>
      </c>
      <c r="C382" s="0" t="n">
        <f aca="false">SQRT((A382/Fesr)^2+1)</f>
        <v>1.00001392788871</v>
      </c>
      <c r="D382" s="0" t="n">
        <f aca="false">ATAN(A382/Fesr)</f>
        <v>0.00527782664603466</v>
      </c>
      <c r="F382" s="0" t="n">
        <f aca="false">(Ro/(Ro+Rdcr))/SQRT((A382/(Q*Fo))^2+(1-(A382^2/Fo^2))^2)</f>
        <v>0.00264484500717245</v>
      </c>
      <c r="G382" s="0" t="n">
        <f aca="false">-ATAN(A382*Fo/(Q*(Fo^2-A382^2)))</f>
        <v>0.0323068484782996</v>
      </c>
      <c r="H382" s="0" t="n">
        <f aca="false">IF(G382&gt;0,G382-Pi,G382)</f>
        <v>-3.1092858015217</v>
      </c>
      <c r="J382" s="0" t="n">
        <f aca="false">Vin/Vramp</f>
        <v>9</v>
      </c>
      <c r="M382" s="0" t="n">
        <f aca="false">1/(2*Pi*_Rfb1*(Cc1ea_u+Cc2ea_u)*A382)</f>
        <v>0.00701741372459243</v>
      </c>
      <c r="N382" s="0" t="n">
        <f aca="false">-Pi/2</f>
        <v>-1.570796325</v>
      </c>
      <c r="O382" s="0" t="n">
        <f aca="false">SQRT(1+(A382/Fz1_u)^2)</f>
        <v>20.5447321058276</v>
      </c>
      <c r="P382" s="0" t="n">
        <f aca="false">ATAN2(Fz1_u,A382)</f>
        <v>1.52210280863944</v>
      </c>
      <c r="Q382" s="0" t="n">
        <f aca="false">SQRT(1+(A382/Fz2_u)^2)</f>
        <v>23284.8895999615</v>
      </c>
      <c r="R382" s="0" t="n">
        <f aca="false">ATAN2(Fz2_u,A382)</f>
        <v>1.57075338048862</v>
      </c>
      <c r="S382" s="0" t="n">
        <f aca="false">1/SQRT(1+(A382/Fp1_u)^2)</f>
        <v>0.0160656137624441</v>
      </c>
      <c r="T382" s="0" t="n">
        <f aca="false">-ATAN2(Fp1_u,A382)</f>
        <v>-1.55473002185245</v>
      </c>
      <c r="U382" s="0" t="n">
        <f aca="false">1/SQRT(1+(A382/Fp2_u)^2)</f>
        <v>0.401655248230224</v>
      </c>
      <c r="V382" s="0" t="n">
        <f aca="false">-ATAN2(Fp2_u,A382)</f>
        <v>-1.15747274353306</v>
      </c>
      <c r="X382" s="0" t="n">
        <f aca="false">20*LOG(C382*J382*O382*Q382*F382*M382*S382*U382)</f>
        <v>-5.75297399238061</v>
      </c>
      <c r="Y382" s="0" t="n">
        <f aca="false">(180/Pi)*(D382+H382+N382+P382+R382+T382+V382)</f>
        <v>-246.036722075971</v>
      </c>
      <c r="Z382" s="0" t="n">
        <f aca="false">Y382+180</f>
        <v>-66.0367220759705</v>
      </c>
      <c r="AC382" s="0" t="n">
        <v>1</v>
      </c>
      <c r="AD382" s="0" t="n">
        <f aca="false">Rcea1_u*Cc1ea_u*A382*2*Pi</f>
        <v>20.520380534976</v>
      </c>
      <c r="AE382" s="0" t="n">
        <f aca="false">-Rcea1_u*Cc1ea_u*Cc2ea_u*(A382*2*Pi)^2</f>
        <v>-0.0162456025192987</v>
      </c>
      <c r="AF382" s="0" t="n">
        <f aca="false">(Cc2ea_u+Cc1ea_u)*A382*2*Pi</f>
        <v>0.0071251321302</v>
      </c>
      <c r="AG382" s="0" t="n">
        <f aca="false">AC382*AE382/(AE382^2+AF382^2)+AD382*AF382/(AE382^2+AF382^2)</f>
        <v>412.99696238306</v>
      </c>
      <c r="AH382" s="0" t="n">
        <f aca="false">AD382*AE382/(AE382^2+AF382^2)-AC382*AF382/(AE382^2+AF382^2)</f>
        <v>-1081.99881092402</v>
      </c>
      <c r="AJ382" s="0" t="n">
        <f aca="false">_Rfb1</f>
        <v>20000</v>
      </c>
      <c r="AK382" s="0" t="n">
        <f aca="false">_Rfb1*Rcea2_u*Cc3ea_u*A382*2*Pi</f>
        <v>1244734.19376768</v>
      </c>
      <c r="AL382" s="0" t="n">
        <v>1</v>
      </c>
      <c r="AM382" s="0" t="n">
        <f aca="false">(_Rfb1+Rcea2_u)*Cc3ea_u*A382*2*Pi</f>
        <v>23284.8895784884</v>
      </c>
      <c r="AN382" s="0" t="n">
        <f aca="false">AJ382*AL382/(AL382^2+AM382^2)+AK382*AM382/(AL382^2+AM382^2)</f>
        <v>53.4567727367699</v>
      </c>
      <c r="AO382" s="0" t="n">
        <f aca="false">AK382*AL382/(AL382^2+AM382^2)-AJ382*AM382/(AL382^2+AM382^2)</f>
        <v>-0.856630355064717</v>
      </c>
      <c r="AQ382" s="0" t="n">
        <f aca="false">Eadcg/(1+(Eadcg*A382/GBP)^2)</f>
        <v>0.0161354041146966</v>
      </c>
      <c r="AR382" s="0" t="n">
        <f aca="false">-(A382*Eadcg*Eadcg/GBP)/(1+(Eadcg*A382/GBP)^2)</f>
        <v>-7.14282069349391</v>
      </c>
      <c r="AT382" s="0" t="n">
        <f aca="false">-AR382*AH382+AG382*AQ382</f>
        <v>-7721.85962411771</v>
      </c>
      <c r="AU382" s="0" t="n">
        <f aca="false">AQ382*AH382+AG382*AR382</f>
        <v>-2967.42173732573</v>
      </c>
      <c r="AV382" s="0" t="n">
        <f aca="false">ATAN2(AT382,AU382)</f>
        <v>-2.77470362422249</v>
      </c>
      <c r="AW382" s="0" t="n">
        <f aca="false">AG382-AH382*AO382/_Rfb2+AG382*AN382/_Rfb2+AN382-AO382*AR382+AQ382*AN382</f>
        <v>470.715300003851</v>
      </c>
      <c r="AX382" s="0" t="n">
        <f aca="false">AH382+AH382*AN382/_Rfb2+AG382*AO382/_Rfb2+AO382+AO382*AQ382+AN382*AR382</f>
        <v>-1490.88868348984</v>
      </c>
      <c r="AY382" s="0" t="n">
        <f aca="false">ATAN2(AW382,AX382)</f>
        <v>-1.26497335699774</v>
      </c>
      <c r="BA382" s="0" t="n">
        <f aca="false">SQRT(AT382^2+AU382^2)/SQRT(AW382^2+AX382^2)</f>
        <v>5.2911814829223</v>
      </c>
      <c r="BB382" s="0" t="n">
        <f aca="false">20*LOG(BA382)</f>
        <v>14.4710531542095</v>
      </c>
      <c r="BC382" s="0" t="n">
        <f aca="false">AV382-AY382</f>
        <v>-1.50973026722475</v>
      </c>
      <c r="BD382" s="0" t="n">
        <f aca="false">BC382*180/Pi-180</f>
        <v>-266.501172613978</v>
      </c>
      <c r="BF382" s="0" t="n">
        <f aca="false">20*LOG(BA382*J382*F382*C382)</f>
        <v>-17.9959711486624</v>
      </c>
      <c r="BG382" s="0" t="n">
        <f aca="false">(180/Pi)*(D382+H382+BC382)</f>
        <v>-264.347729352523</v>
      </c>
      <c r="BH382" s="0" t="n">
        <f aca="false">IF(BG382&gt;180,BG382-180,BG382+180)</f>
        <v>-84.3477293525228</v>
      </c>
      <c r="BI382" s="0" t="n">
        <f aca="false">IF(BH382&gt;180,BH382-360,BH382)</f>
        <v>-84.3477293525228</v>
      </c>
      <c r="BJ382" s="0" t="n">
        <f aca="false">SUM((BF383&lt;0)*(BF382&gt;0))*A382</f>
        <v>0</v>
      </c>
      <c r="BK382" s="0" t="n">
        <f aca="false">IF(BJ382&gt;0,BI382,0)</f>
        <v>0</v>
      </c>
      <c r="BM382" s="0" t="n">
        <f aca="false">20*LOG(J382*F382*C382)</f>
        <v>-32.4670243028719</v>
      </c>
      <c r="BN382" s="0" t="n">
        <f aca="false">(H382+D382)*180/Pi</f>
        <v>-177.846556738545</v>
      </c>
      <c r="BQ382" s="347" t="n">
        <f aca="false">20*LOG(BA382*7)</f>
        <v>31.3730139544947</v>
      </c>
      <c r="BR382" s="353"/>
      <c r="BS382" s="353"/>
      <c r="BT382" s="353" t="n">
        <v>524807.46</v>
      </c>
      <c r="BU382" s="353" t="n">
        <v>11.9579</v>
      </c>
      <c r="BV382" s="353" t="n">
        <v>122.795</v>
      </c>
      <c r="BY382" s="353"/>
      <c r="BZ382" s="353"/>
      <c r="CA382" s="353"/>
      <c r="CC382" s="353"/>
    </row>
    <row r="383" customFormat="false" ht="12.75" hidden="false" customHeight="false" outlineLevel="0" collapsed="false">
      <c r="A383" s="0" t="n">
        <f aca="false">A382+5000</f>
        <v>845000</v>
      </c>
      <c r="B383" s="0" t="n">
        <f aca="false">A383/1000</f>
        <v>845</v>
      </c>
      <c r="C383" s="0" t="n">
        <f aca="false">SQRT((A383/Fesr)^2+1)</f>
        <v>1.00001409418921</v>
      </c>
      <c r="D383" s="0" t="n">
        <f aca="false">ATAN(A383/Fesr)</f>
        <v>0.00530924169221879</v>
      </c>
      <c r="F383" s="0" t="n">
        <f aca="false">(Ro/(Ro+Rdcr))/SQRT((A383/(Q*Fo))^2+(1-(A383^2/Fo^2))^2)</f>
        <v>0.00261357161194167</v>
      </c>
      <c r="G383" s="0" t="n">
        <f aca="false">-ATAN(A383*Fo/(Q*(Fo^2-A383^2)))</f>
        <v>0.0321148057712434</v>
      </c>
      <c r="H383" s="0" t="n">
        <f aca="false">IF(G383&gt;0,G383-Pi,G383)</f>
        <v>-3.10947784422876</v>
      </c>
      <c r="J383" s="0" t="n">
        <f aca="false">Vin/Vramp</f>
        <v>9</v>
      </c>
      <c r="M383" s="0" t="n">
        <f aca="false">1/(2*Pi*_Rfb1*(Cc1ea_u+Cc2ea_u)*A383)</f>
        <v>0.00697589056645875</v>
      </c>
      <c r="N383" s="0" t="n">
        <f aca="false">-Pi/2</f>
        <v>-1.570796325</v>
      </c>
      <c r="O383" s="0" t="n">
        <f aca="false">SQRT(1+(A383/Fz1_u)^2)</f>
        <v>20.6667333052055</v>
      </c>
      <c r="P383" s="0" t="n">
        <f aca="false">ATAN2(Fz1_u,A383)</f>
        <v>1.52239048476214</v>
      </c>
      <c r="Q383" s="0" t="n">
        <f aca="false">SQRT(1+(A383/Fz2_u)^2)</f>
        <v>23423.4901330398</v>
      </c>
      <c r="R383" s="0" t="n">
        <f aca="false">ATAN2(Fz2_u,A383)</f>
        <v>1.57075363460878</v>
      </c>
      <c r="S383" s="0" t="n">
        <f aca="false">1/SQRT(1+(A383/Fp1_u)^2)</f>
        <v>0.0159705752779098</v>
      </c>
      <c r="T383" s="0" t="n">
        <f aca="false">-ATAN2(Fp1_u,A383)</f>
        <v>-1.55482507253183</v>
      </c>
      <c r="U383" s="0" t="n">
        <f aca="false">1/SQRT(1+(A383/Fp2_u)^2)</f>
        <v>0.399659155949611</v>
      </c>
      <c r="V383" s="0" t="n">
        <f aca="false">-ATAN2(Fp2_u,A383)</f>
        <v>-1.15965134190853</v>
      </c>
      <c r="X383" s="0" t="n">
        <f aca="false">20*LOG(C383*J383*O383*Q383*F383*M383*S383*U383)</f>
        <v>-5.899670760981</v>
      </c>
      <c r="Y383" s="0" t="n">
        <f aca="false">(180/Pi)*(D383+H383+N383+P383+R383+T383+V383)</f>
        <v>-246.159698670378</v>
      </c>
      <c r="Z383" s="0" t="n">
        <f aca="false">Y383+180</f>
        <v>-66.159698670378</v>
      </c>
      <c r="AC383" s="0" t="n">
        <v>1</v>
      </c>
      <c r="AD383" s="0" t="n">
        <f aca="false">Rcea1_u*Cc1ea_u*A383*2*Pi</f>
        <v>20.642525657208</v>
      </c>
      <c r="AE383" s="0" t="n">
        <f aca="false">-Rcea1_u*Cc1ea_u*Cc2ea_u*(A383*2*Pi)^2</f>
        <v>-0.0164395781446177</v>
      </c>
      <c r="AF383" s="0" t="n">
        <f aca="false">(Cc2ea_u+Cc1ea_u)*A383*2*Pi</f>
        <v>0.007167543630975</v>
      </c>
      <c r="AG383" s="0" t="n">
        <f aca="false">AC383*AE383/(AE383^2+AF383^2)+AD383*AF383/(AE383^2+AF383^2)</f>
        <v>408.902248791949</v>
      </c>
      <c r="AH383" s="0" t="n">
        <f aca="false">AD383*AE383/(AE383^2+AF383^2)-AC383*AF383/(AE383^2+AF383^2)</f>
        <v>-1077.3817182156</v>
      </c>
      <c r="AJ383" s="0" t="n">
        <f aca="false">_Rfb1</f>
        <v>20000</v>
      </c>
      <c r="AK383" s="0" t="n">
        <f aca="false">_Rfb1*Rcea2_u*Cc3ea_u*A383*2*Pi</f>
        <v>1252143.32587344</v>
      </c>
      <c r="AL383" s="0" t="n">
        <v>1</v>
      </c>
      <c r="AM383" s="0" t="n">
        <f aca="false">(_Rfb1+Rcea2_u)*Cc3ea_u*A383*2*Pi</f>
        <v>23423.4901116937</v>
      </c>
      <c r="AN383" s="0" t="n">
        <f aca="false">AJ383*AL383/(AL383^2+AM383^2)+AK383*AM383/(AL383^2+AM383^2)</f>
        <v>53.4567723026839</v>
      </c>
      <c r="AO383" s="0" t="n">
        <f aca="false">AK383*AL383/(AL383^2+AM383^2)-AJ383*AM383/(AL383^2+AM383^2)</f>
        <v>-0.851561536414227</v>
      </c>
      <c r="AQ383" s="0" t="n">
        <f aca="false">Eadcg/(1+(Eadcg*A383/GBP)^2)</f>
        <v>0.0159450184921236</v>
      </c>
      <c r="AR383" s="0" t="n">
        <f aca="false">-(A383*Eadcg*Eadcg/GBP)/(1+(Eadcg*A383/GBP)^2)</f>
        <v>-7.10055590982003</v>
      </c>
      <c r="AT383" s="0" t="n">
        <f aca="false">-AR383*AH383+AG383*AQ383</f>
        <v>-7643.48917248941</v>
      </c>
      <c r="AU383" s="0" t="n">
        <f aca="false">AQ383*AH383+AG383*AR383</f>
        <v>-2920.6121506184</v>
      </c>
      <c r="AV383" s="0" t="n">
        <f aca="false">ATAN2(AT383,AU383)</f>
        <v>-2.77660791308261</v>
      </c>
      <c r="AW383" s="0" t="n">
        <f aca="false">AG383-AH383*AO383/_Rfb2+AG383*AN383/_Rfb2+AN383-AO383*AR383+AQ383*AN383</f>
        <v>466.588341926974</v>
      </c>
      <c r="AX383" s="0" t="n">
        <f aca="false">AH383+AH383*AN383/_Rfb2+AG383*AO383/_Rfb2+AO383+AO383*AQ383+AN383*AR383</f>
        <v>-1483.89335798962</v>
      </c>
      <c r="AY383" s="0" t="n">
        <f aca="false">ATAN2(AW383,AX383)</f>
        <v>-1.2661493790922</v>
      </c>
      <c r="BA383" s="0" t="n">
        <f aca="false">SQRT(AT383^2+AU383^2)/SQRT(AW383^2+AX383^2)</f>
        <v>5.26028107211961</v>
      </c>
      <c r="BB383" s="0" t="n">
        <f aca="false">20*LOG(BA383)</f>
        <v>14.4201790078249</v>
      </c>
      <c r="BC383" s="0" t="n">
        <f aca="false">AV383-AY383</f>
        <v>-1.51045853399041</v>
      </c>
      <c r="BD383" s="0" t="n">
        <f aca="false">BC383*180/Pi-180</f>
        <v>-266.542899226058</v>
      </c>
      <c r="BF383" s="0" t="n">
        <f aca="false">20*LOG(BA383*J383*F383*C383)</f>
        <v>-18.150160298103</v>
      </c>
      <c r="BG383" s="0" t="n">
        <f aca="false">(180/Pi)*(D383+H383+BC383)</f>
        <v>-264.398659251654</v>
      </c>
      <c r="BH383" s="0" t="n">
        <f aca="false">IF(BG383&gt;180,BG383-180,BG383+180)</f>
        <v>-84.3986592516539</v>
      </c>
      <c r="BI383" s="0" t="n">
        <f aca="false">IF(BH383&gt;180,BH383-360,BH383)</f>
        <v>-84.3986592516539</v>
      </c>
      <c r="BJ383" s="0" t="n">
        <f aca="false">SUM((BF384&lt;0)*(BF383&gt;0))*A383</f>
        <v>0</v>
      </c>
      <c r="BK383" s="0" t="n">
        <f aca="false">IF(BJ383&gt;0,BI383,0)</f>
        <v>0</v>
      </c>
      <c r="BM383" s="0" t="n">
        <f aca="false">20*LOG(J383*F383*C383)</f>
        <v>-32.5703393059279</v>
      </c>
      <c r="BN383" s="0" t="n">
        <f aca="false">(H383+D383)*180/Pi</f>
        <v>-177.855760025596</v>
      </c>
      <c r="BQ383" s="347" t="n">
        <f aca="false">20*LOG(BA383*7)</f>
        <v>31.32213980811</v>
      </c>
      <c r="BR383" s="353"/>
      <c r="BS383" s="353"/>
      <c r="BT383" s="353" t="n">
        <v>537031.796</v>
      </c>
      <c r="BU383" s="353" t="n">
        <v>11.6902</v>
      </c>
      <c r="BV383" s="353" t="n">
        <v>121.763</v>
      </c>
      <c r="BY383" s="353"/>
      <c r="BZ383" s="353"/>
      <c r="CA383" s="353"/>
      <c r="CC383" s="353"/>
    </row>
    <row r="384" customFormat="false" ht="12.75" hidden="false" customHeight="false" outlineLevel="0" collapsed="false">
      <c r="A384" s="0" t="n">
        <f aca="false">A383+5000</f>
        <v>850000</v>
      </c>
      <c r="B384" s="0" t="n">
        <f aca="false">A384/1000</f>
        <v>850</v>
      </c>
      <c r="C384" s="0" t="n">
        <f aca="false">SQRT((A384/Fesr)^2+1)</f>
        <v>1.00001426147663</v>
      </c>
      <c r="D384" s="0" t="n">
        <f aca="false">ATAN(A384/Fesr)</f>
        <v>0.00534065672792339</v>
      </c>
      <c r="F384" s="0" t="n">
        <f aca="false">(Ro/(Ro+Rdcr))/SQRT((A384/(Q*Fo))^2+(1-(A384^2/Fo^2))^2)</f>
        <v>0.00258285001379032</v>
      </c>
      <c r="G384" s="0" t="n">
        <f aca="false">-ATAN(A384*Fo/(Q*(Fo^2-A384^2)))</f>
        <v>0.0319250377856967</v>
      </c>
      <c r="H384" s="0" t="n">
        <f aca="false">IF(G384&gt;0,G384-Pi,G384)</f>
        <v>-3.1096676122143</v>
      </c>
      <c r="J384" s="0" t="n">
        <f aca="false">Vin/Vramp</f>
        <v>9</v>
      </c>
      <c r="M384" s="0" t="n">
        <f aca="false">1/(2*Pi*_Rfb1*(Cc1ea_u+Cc2ea_u)*A384)</f>
        <v>0.00693485591606782</v>
      </c>
      <c r="N384" s="0" t="n">
        <f aca="false">-Pi/2</f>
        <v>-1.570796325</v>
      </c>
      <c r="O384" s="0" t="n">
        <f aca="false">SQRT(1+(A384/Fz1_u)^2)</f>
        <v>20.7887361948371</v>
      </c>
      <c r="P384" s="0" t="n">
        <f aca="false">ATAN2(Fz1_u,A384)</f>
        <v>1.5226747843375</v>
      </c>
      <c r="Q384" s="0" t="n">
        <f aca="false">SQRT(1+(A384/Fz2_u)^2)</f>
        <v>23562.0906661195</v>
      </c>
      <c r="R384" s="0" t="n">
        <f aca="false">ATAN2(Fz2_u,A384)</f>
        <v>1.57075388573928</v>
      </c>
      <c r="S384" s="0" t="n">
        <f aca="false">1/SQRT(1+(A384/Fp1_u)^2)</f>
        <v>0.0158766544679264</v>
      </c>
      <c r="T384" s="0" t="n">
        <f aca="false">-ATAN2(Fp1_u,A384)</f>
        <v>-1.55491900525146</v>
      </c>
      <c r="U384" s="0" t="n">
        <f aca="false">1/SQRT(1+(A384/Fp2_u)^2)</f>
        <v>0.397680945786709</v>
      </c>
      <c r="V384" s="0" t="n">
        <f aca="false">-ATAN2(Fp2_u,A384)</f>
        <v>-1.16180838343298</v>
      </c>
      <c r="X384" s="0" t="n">
        <f aca="false">20*LOG(C384*J384*O384*Q384*F384*M384*S384*U384)</f>
        <v>-6.04557960365343</v>
      </c>
      <c r="Y384" s="0" t="n">
        <f aca="false">(180/Pi)*(D384+H384+N384+P384+R384+T384+V384)</f>
        <v>-246.281439395692</v>
      </c>
      <c r="Z384" s="0" t="n">
        <f aca="false">Y384+180</f>
        <v>-66.2814393956923</v>
      </c>
      <c r="AC384" s="0" t="n">
        <v>1</v>
      </c>
      <c r="AD384" s="0" t="n">
        <f aca="false">Rcea1_u*Cc1ea_u*A384*2*Pi</f>
        <v>20.76467077944</v>
      </c>
      <c r="AE384" s="0" t="n">
        <f aca="false">-Rcea1_u*Cc1ea_u*Cc2ea_u*(A384*2*Pi)^2</f>
        <v>-0.0166347049605914</v>
      </c>
      <c r="AF384" s="0" t="n">
        <f aca="false">(Cc2ea_u+Cc1ea_u)*A384*2*Pi</f>
        <v>0.00720995513175</v>
      </c>
      <c r="AG384" s="0" t="n">
        <f aca="false">AC384*AE384/(AE384^2+AF384^2)+AD384*AF384/(AE384^2+AF384^2)</f>
        <v>404.864344683037</v>
      </c>
      <c r="AH384" s="0" t="n">
        <f aca="false">AD384*AE384/(AE384^2+AF384^2)-AC384*AF384/(AE384^2+AF384^2)</f>
        <v>-1072.79432139658</v>
      </c>
      <c r="AJ384" s="0" t="n">
        <f aca="false">_Rfb1</f>
        <v>20000</v>
      </c>
      <c r="AK384" s="0" t="n">
        <f aca="false">_Rfb1*Rcea2_u*Cc3ea_u*A384*2*Pi</f>
        <v>1259552.4579792</v>
      </c>
      <c r="AL384" s="0" t="n">
        <v>1</v>
      </c>
      <c r="AM384" s="0" t="n">
        <f aca="false">(_Rfb1+Rcea2_u)*Cc3ea_u*A384*2*Pi</f>
        <v>23562.090644899</v>
      </c>
      <c r="AN384" s="0" t="n">
        <f aca="false">AJ384*AL384/(AL384^2+AM384^2)+AK384*AM384/(AL384^2+AM384^2)</f>
        <v>53.4567718762357</v>
      </c>
      <c r="AO384" s="0" t="n">
        <f aca="false">AK384*AL384/(AL384^2+AM384^2)-AJ384*AM384/(AL384^2+AM384^2)</f>
        <v>-0.846552350924007</v>
      </c>
      <c r="AQ384" s="0" t="n">
        <f aca="false">Eadcg/(1+(Eadcg*A384/GBP)^2)</f>
        <v>0.0157579827021255</v>
      </c>
      <c r="AR384" s="0" t="n">
        <f aca="false">-(A384*Eadcg*Eadcg/GBP)/(1+(Eadcg*A384/GBP)^2)</f>
        <v>-7.05878835141712</v>
      </c>
      <c r="AT384" s="0" t="n">
        <f aca="false">-AR384*AH384+AG384*AQ384</f>
        <v>-7566.24821400037</v>
      </c>
      <c r="AU384" s="0" t="n">
        <f aca="false">AQ384*AH384+AG384*AR384</f>
        <v>-2874.75679451225</v>
      </c>
      <c r="AV384" s="0" t="n">
        <f aca="false">ATAN2(AT384,AU384)</f>
        <v>-2.77849386438566</v>
      </c>
      <c r="AW384" s="0" t="n">
        <f aca="false">AG384-AH384*AO384/_Rfb2+AG384*AN384/_Rfb2+AN384-AO384*AR384+AQ384*AN384</f>
        <v>462.518407534111</v>
      </c>
      <c r="AX384" s="0" t="n">
        <f aca="false">AH384+AH384*AN384/_Rfb2+AG384*AO384/_Rfb2+AO384+AO384*AQ384+AN384*AR384</f>
        <v>-1476.95513940645</v>
      </c>
      <c r="AY384" s="0" t="n">
        <f aca="false">ATAN2(AW384,AX384)</f>
        <v>-1.26731328940699</v>
      </c>
      <c r="BA384" s="0" t="n">
        <f aca="false">SQRT(AT384^2+AU384^2)/SQRT(AW384^2+AX384^2)</f>
        <v>5.22973644441131</v>
      </c>
      <c r="BB384" s="0" t="n">
        <f aca="false">20*LOG(BA384)</f>
        <v>14.3695960579499</v>
      </c>
      <c r="BC384" s="0" t="n">
        <f aca="false">AV384-AY384</f>
        <v>-1.51118057497866</v>
      </c>
      <c r="BD384" s="0" t="n">
        <f aca="false">BC384*180/Pi-180</f>
        <v>-266.584269127367</v>
      </c>
      <c r="BF384" s="0" t="n">
        <f aca="false">20*LOG(BA384*J384*F384*C384)</f>
        <v>-18.3034461324032</v>
      </c>
      <c r="BG384" s="0" t="n">
        <f aca="false">(180/Pi)*(D384+H384+BC384)</f>
        <v>-264.449102108673</v>
      </c>
      <c r="BH384" s="0" t="n">
        <f aca="false">IF(BG384&gt;180,BG384-180,BG384+180)</f>
        <v>-84.4491021086734</v>
      </c>
      <c r="BI384" s="0" t="n">
        <f aca="false">IF(BH384&gt;180,BH384-360,BH384)</f>
        <v>-84.4491021086734</v>
      </c>
      <c r="BJ384" s="0" t="n">
        <f aca="false">SUM((BF385&lt;0)*(BF384&gt;0))*A384</f>
        <v>0</v>
      </c>
      <c r="BK384" s="0" t="n">
        <f aca="false">IF(BJ384&gt;0,BI384,0)</f>
        <v>0</v>
      </c>
      <c r="BM384" s="0" t="n">
        <f aca="false">20*LOG(J384*F384*C384)</f>
        <v>-32.6730421903531</v>
      </c>
      <c r="BN384" s="0" t="n">
        <f aca="false">(H384+D384)*180/Pi</f>
        <v>-177.864832981306</v>
      </c>
      <c r="BQ384" s="347" t="n">
        <f aca="false">20*LOG(BA384*7)</f>
        <v>31.271556858235</v>
      </c>
      <c r="BR384" s="353"/>
      <c r="BS384" s="353"/>
      <c r="BT384" s="353" t="n">
        <v>549540.874</v>
      </c>
      <c r="BU384" s="353" t="n">
        <v>11.5758</v>
      </c>
      <c r="BV384" s="353" t="n">
        <v>121.762</v>
      </c>
      <c r="BY384" s="353"/>
      <c r="BZ384" s="353"/>
      <c r="CA384" s="353"/>
      <c r="CC384" s="353"/>
    </row>
    <row r="385" customFormat="false" ht="12.75" hidden="false" customHeight="false" outlineLevel="0" collapsed="false">
      <c r="A385" s="0" t="n">
        <f aca="false">A384+5000</f>
        <v>855000</v>
      </c>
      <c r="B385" s="0" t="n">
        <f aca="false">A385/1000</f>
        <v>855</v>
      </c>
      <c r="C385" s="0" t="n">
        <f aca="false">SQRT((A385/Fesr)^2+1)</f>
        <v>1.00001442975097</v>
      </c>
      <c r="D385" s="0" t="n">
        <f aca="false">ATAN(A385/Fesr)</f>
        <v>0.00537207175308645</v>
      </c>
      <c r="F385" s="0" t="n">
        <f aca="false">(Ro/(Ro+Rdcr))/SQRT((A385/(Q*Fo))^2+(1-(A385^2/Fo^2))^2)</f>
        <v>0.00255266729846074</v>
      </c>
      <c r="G385" s="0" t="n">
        <f aca="false">-ATAN(A385*Fo/(Q*(Fo^2-A385^2)))</f>
        <v>0.03173750425616</v>
      </c>
      <c r="H385" s="0" t="n">
        <f aca="false">IF(G385&gt;0,G385-Pi,G385)</f>
        <v>-3.10985514574384</v>
      </c>
      <c r="J385" s="0" t="n">
        <f aca="false">Vin/Vramp</f>
        <v>9</v>
      </c>
      <c r="M385" s="0" t="n">
        <f aca="false">1/(2*Pi*_Rfb1*(Cc1ea_u+Cc2ea_u)*A385)</f>
        <v>0.00689430120310835</v>
      </c>
      <c r="N385" s="0" t="n">
        <f aca="false">-Pi/2</f>
        <v>-1.570796325</v>
      </c>
      <c r="O385" s="0" t="n">
        <f aca="false">SQRT(1+(A385/Fz1_u)^2)</f>
        <v>20.9107407451371</v>
      </c>
      <c r="P385" s="0" t="n">
        <f aca="false">ATAN2(Fz1_u,A385)</f>
        <v>1.52295576642094</v>
      </c>
      <c r="Q385" s="0" t="n">
        <f aca="false">SQRT(1+(A385/Fz2_u)^2)</f>
        <v>23700.6911992007</v>
      </c>
      <c r="R385" s="0" t="n">
        <f aca="false">ATAN2(Fz2_u,A385)</f>
        <v>1.57075413393259</v>
      </c>
      <c r="S385" s="0" t="n">
        <f aca="false">1/SQRT(1+(A385/Fp1_u)^2)</f>
        <v>0.015783831734026</v>
      </c>
      <c r="T385" s="0" t="n">
        <f aca="false">-ATAN2(Fp1_u,A385)</f>
        <v>-1.55501183961811</v>
      </c>
      <c r="U385" s="0" t="n">
        <f aca="false">1/SQRT(1+(A385/Fp2_u)^2)</f>
        <v>0.395720408335945</v>
      </c>
      <c r="V385" s="0" t="n">
        <f aca="false">-ATAN2(Fp2_u,A385)</f>
        <v>-1.16394416670521</v>
      </c>
      <c r="X385" s="0" t="n">
        <f aca="false">20*LOG(C385*J385*O385*Q385*F385*M385*S385*U385)</f>
        <v>-6.19070870886269</v>
      </c>
      <c r="Y385" s="0" t="n">
        <f aca="false">(180/Pi)*(D385+H385+N385+P385+R385+T385+V385)</f>
        <v>-246.401961404162</v>
      </c>
      <c r="Z385" s="0" t="n">
        <f aca="false">Y385+180</f>
        <v>-66.4019614041622</v>
      </c>
      <c r="AC385" s="0" t="n">
        <v>1</v>
      </c>
      <c r="AD385" s="0" t="n">
        <f aca="false">Rcea1_u*Cc1ea_u*A385*2*Pi</f>
        <v>20.886815901672</v>
      </c>
      <c r="AE385" s="0" t="n">
        <f aca="false">-Rcea1_u*Cc1ea_u*Cc2ea_u*(A385*2*Pi)^2</f>
        <v>-0.0168309829672198</v>
      </c>
      <c r="AF385" s="0" t="n">
        <f aca="false">(Cc2ea_u+Cc1ea_u)*A385*2*Pi</f>
        <v>0.007252366632525</v>
      </c>
      <c r="AG385" s="0" t="n">
        <f aca="false">AC385*AE385/(AE385^2+AF385^2)+AD385*AF385/(AE385^2+AF385^2)</f>
        <v>400.882282428332</v>
      </c>
      <c r="AH385" s="0" t="n">
        <f aca="false">AD385*AE385/(AE385^2+AF385^2)-AC385*AF385/(AE385^2+AF385^2)</f>
        <v>-1068.23651643135</v>
      </c>
      <c r="AJ385" s="0" t="n">
        <f aca="false">_Rfb1</f>
        <v>20000</v>
      </c>
      <c r="AK385" s="0" t="n">
        <f aca="false">_Rfb1*Rcea2_u*Cc3ea_u*A385*2*Pi</f>
        <v>1266961.59008496</v>
      </c>
      <c r="AL385" s="0" t="n">
        <v>1</v>
      </c>
      <c r="AM385" s="0" t="n">
        <f aca="false">(_Rfb1+Rcea2_u)*Cc3ea_u*A385*2*Pi</f>
        <v>23700.6911781042</v>
      </c>
      <c r="AN385" s="0" t="n">
        <f aca="false">AJ385*AL385/(AL385^2+AM385^2)+AK385*AM385/(AL385^2+AM385^2)</f>
        <v>53.4567714572472</v>
      </c>
      <c r="AO385" s="0" t="n">
        <f aca="false">AK385*AL385/(AL385^2+AM385^2)-AJ385*AM385/(AL385^2+AM385^2)</f>
        <v>-0.84160175239827</v>
      </c>
      <c r="AQ385" s="0" t="n">
        <f aca="false">Eadcg/(1+(Eadcg*A385/GBP)^2)</f>
        <v>0.0155742186162615</v>
      </c>
      <c r="AR385" s="0" t="n">
        <f aca="false">-(A385*Eadcg*Eadcg/GBP)/(1+(Eadcg*A385/GBP)^2)</f>
        <v>-7.01750929520819</v>
      </c>
      <c r="AT385" s="0" t="n">
        <f aca="false">-AR385*AH385+AG385*AQ385</f>
        <v>-7490.11625523189</v>
      </c>
      <c r="AU385" s="0" t="n">
        <f aca="false">AQ385*AH385+AG385*AR385</f>
        <v>-2829.83209226587</v>
      </c>
      <c r="AV385" s="0" t="n">
        <f aca="false">ATAN2(AT385,AU385)</f>
        <v>-2.7803617204338</v>
      </c>
      <c r="AW385" s="0" t="n">
        <f aca="false">AG385-AH385*AO385/_Rfb2+AG385*AN385/_Rfb2+AN385-AO385*AR385+AQ385*AN385</f>
        <v>458.504532483427</v>
      </c>
      <c r="AX385" s="0" t="n">
        <f aca="false">AH385+AH385*AN385/_Rfb2+AG385*AO385/_Rfb2+AO385+AO385*AQ385+AN385*AR385</f>
        <v>-1470.07345241513</v>
      </c>
      <c r="AY385" s="0" t="n">
        <f aca="false">ATAN2(AW385,AX385)</f>
        <v>-1.26846522413511</v>
      </c>
      <c r="BA385" s="0" t="n">
        <f aca="false">SQRT(AT385^2+AU385^2)/SQRT(AW385^2+AX385^2)</f>
        <v>5.19954152978725</v>
      </c>
      <c r="BB385" s="0" t="n">
        <f aca="false">20*LOG(BA385)</f>
        <v>14.3193010270745</v>
      </c>
      <c r="BC385" s="0" t="n">
        <f aca="false">AV385-AY385</f>
        <v>-1.51189649629869</v>
      </c>
      <c r="BD385" s="0" t="n">
        <f aca="false">BC385*180/Pi-180</f>
        <v>-266.625288397515</v>
      </c>
      <c r="BF385" s="0" t="n">
        <f aca="false">20*LOG(BA385*J385*F385*C385)</f>
        <v>-18.4558391541904</v>
      </c>
      <c r="BG385" s="0" t="n">
        <f aca="false">(180/Pi)*(D385+H385+BC385)</f>
        <v>-264.499066310236</v>
      </c>
      <c r="BH385" s="0" t="n">
        <f aca="false">IF(BG385&gt;180,BG385-180,BG385+180)</f>
        <v>-84.4990663102361</v>
      </c>
      <c r="BI385" s="0" t="n">
        <f aca="false">IF(BH385&gt;180,BH385-360,BH385)</f>
        <v>-84.4990663102361</v>
      </c>
      <c r="BJ385" s="0" t="n">
        <f aca="false">SUM((BF386&lt;0)*(BF385&gt;0))*A385</f>
        <v>0</v>
      </c>
      <c r="BK385" s="0" t="n">
        <f aca="false">IF(BJ385&gt;0,BI385,0)</f>
        <v>0</v>
      </c>
      <c r="BM385" s="0" t="n">
        <f aca="false">20*LOG(J385*F385*C385)</f>
        <v>-32.7751401812649</v>
      </c>
      <c r="BN385" s="0" t="n">
        <f aca="false">(H385+D385)*180/Pi</f>
        <v>-177.873777912721</v>
      </c>
      <c r="BQ385" s="347" t="n">
        <f aca="false">20*LOG(BA385*7)</f>
        <v>31.2212618273597</v>
      </c>
      <c r="BR385" s="353"/>
      <c r="BS385" s="353"/>
      <c r="BT385" s="353" t="n">
        <v>562341.325</v>
      </c>
      <c r="BU385" s="353" t="n">
        <v>11.314</v>
      </c>
      <c r="BV385" s="353" t="n">
        <v>119.894</v>
      </c>
      <c r="BY385" s="353"/>
      <c r="BZ385" s="353"/>
      <c r="CA385" s="353"/>
      <c r="CC385" s="353"/>
    </row>
    <row r="386" customFormat="false" ht="12.75" hidden="false" customHeight="false" outlineLevel="0" collapsed="false">
      <c r="A386" s="0" t="n">
        <f aca="false">A385+5000</f>
        <v>860000</v>
      </c>
      <c r="B386" s="0" t="n">
        <f aca="false">A386/1000</f>
        <v>860</v>
      </c>
      <c r="C386" s="0" t="n">
        <f aca="false">SQRT((A386/Fesr)^2+1)</f>
        <v>1.00001459901223</v>
      </c>
      <c r="D386" s="0" t="n">
        <f aca="false">ATAN(A386/Fesr)</f>
        <v>0.00540348676764598</v>
      </c>
      <c r="F386" s="0" t="n">
        <f aca="false">(Ro/(Ro+Rdcr))/SQRT((A386/(Q*Fo))^2+(1-(A386^2/Fo^2))^2)</f>
        <v>0.00252301092755412</v>
      </c>
      <c r="G386" s="0" t="n">
        <f aca="false">-ATAN(A386*Fo/(Q*(Fo^2-A386^2)))</f>
        <v>0.0315521658638989</v>
      </c>
      <c r="H386" s="0" t="n">
        <f aca="false">IF(G386&gt;0,G386-Pi,G386)</f>
        <v>-3.1100404841361</v>
      </c>
      <c r="J386" s="0" t="n">
        <f aca="false">Vin/Vramp</f>
        <v>9</v>
      </c>
      <c r="M386" s="0" t="n">
        <f aca="false">1/(2*Pi*_Rfb1*(Cc1ea_u+Cc2ea_u)*A386)</f>
        <v>0.00685421805657865</v>
      </c>
      <c r="N386" s="0" t="n">
        <f aca="false">-Pi/2</f>
        <v>-1.570796325</v>
      </c>
      <c r="O386" s="0" t="n">
        <f aca="false">SQRT(1+(A386/Fz1_u)^2)</f>
        <v>21.0327469272066</v>
      </c>
      <c r="P386" s="0" t="n">
        <f aca="false">ATAN2(Fz1_u,A386)</f>
        <v>1.52323348869975</v>
      </c>
      <c r="Q386" s="0" t="n">
        <f aca="false">SQRT(1+(A386/Fz2_u)^2)</f>
        <v>23839.2917322833</v>
      </c>
      <c r="R386" s="0" t="n">
        <f aca="false">ATAN2(Fz2_u,A386)</f>
        <v>1.57075437923993</v>
      </c>
      <c r="S386" s="0" t="n">
        <f aca="false">1/SQRT(1+(A386/Fp1_u)^2)</f>
        <v>0.015692087933235</v>
      </c>
      <c r="T386" s="0" t="n">
        <f aca="false">-ATAN2(Fp1_u,A386)</f>
        <v>-1.55510359478275</v>
      </c>
      <c r="U386" s="0" t="n">
        <f aca="false">1/SQRT(1+(A386/Fp2_u)^2)</f>
        <v>0.39377733677247</v>
      </c>
      <c r="V386" s="0" t="n">
        <f aca="false">-ATAN2(Fp2_u,A386)</f>
        <v>-1.16605898524325</v>
      </c>
      <c r="X386" s="0" t="n">
        <f aca="false">20*LOG(C386*J386*O386*Q386*F386*M386*S386*U386)</f>
        <v>-6.33506613924998</v>
      </c>
      <c r="Y386" s="0" t="n">
        <f aca="false">(180/Pi)*(D386+H386+N386+P386+R386+T386+V386)</f>
        <v>-246.521281555029</v>
      </c>
      <c r="Z386" s="0" t="n">
        <f aca="false">Y386+180</f>
        <v>-66.5212815550292</v>
      </c>
      <c r="AC386" s="0" t="n">
        <v>1</v>
      </c>
      <c r="AD386" s="0" t="n">
        <f aca="false">Rcea1_u*Cc1ea_u*A386*2*Pi</f>
        <v>21.008961023904</v>
      </c>
      <c r="AE386" s="0" t="n">
        <f aca="false">-Rcea1_u*Cc1ea_u*Cc2ea_u*(A386*2*Pi)^2</f>
        <v>-0.017028412164503</v>
      </c>
      <c r="AF386" s="0" t="n">
        <f aca="false">(Cc2ea_u+Cc1ea_u)*A386*2*Pi</f>
        <v>0.0072947781333</v>
      </c>
      <c r="AG386" s="0" t="n">
        <f aca="false">AC386*AE386/(AE386^2+AF386^2)+AD386*AF386/(AE386^2+AF386^2)</f>
        <v>396.955112846386</v>
      </c>
      <c r="AH386" s="0" t="n">
        <f aca="false">AD386*AE386/(AE386^2+AF386^2)-AC386*AF386/(AE386^2+AF386^2)</f>
        <v>-1063.70819380148</v>
      </c>
      <c r="AJ386" s="0" t="n">
        <f aca="false">_Rfb1</f>
        <v>20000</v>
      </c>
      <c r="AK386" s="0" t="n">
        <f aca="false">_Rfb1*Rcea2_u*Cc3ea_u*A386*2*Pi</f>
        <v>1274370.72219072</v>
      </c>
      <c r="AL386" s="0" t="n">
        <v>1</v>
      </c>
      <c r="AM386" s="0" t="n">
        <f aca="false">(_Rfb1+Rcea2_u)*Cc3ea_u*A386*2*Pi</f>
        <v>23839.2917113095</v>
      </c>
      <c r="AN386" s="0" t="n">
        <f aca="false">AJ386*AL386/(AL386^2+AM386^2)+AK386*AM386/(AL386^2+AM386^2)</f>
        <v>53.4567710455453</v>
      </c>
      <c r="AO386" s="0" t="n">
        <f aca="false">AK386*AL386/(AL386^2+AM386^2)-AJ386*AM386/(AL386^2+AM386^2)</f>
        <v>-0.836708718971364</v>
      </c>
      <c r="AQ386" s="0" t="n">
        <f aca="false">Eadcg/(1+(Eadcg*A386/GBP)^2)</f>
        <v>0.0153936503706225</v>
      </c>
      <c r="AR386" s="0" t="n">
        <f aca="false">-(A386*Eadcg*Eadcg/GBP)/(1+(Eadcg*A386/GBP)^2)</f>
        <v>-6.97671022097354</v>
      </c>
      <c r="AT386" s="0" t="n">
        <f aca="false">-AR386*AH386+AG386*AQ386</f>
        <v>-7415.07323960808</v>
      </c>
      <c r="AU386" s="0" t="n">
        <f aca="false">AQ386*AH386+AG386*AR386</f>
        <v>-2785.81514509483</v>
      </c>
      <c r="AV386" s="0" t="n">
        <f aca="false">ATAN2(AT386,AU386)</f>
        <v>-2.78221171975242</v>
      </c>
      <c r="AW386" s="0" t="n">
        <f aca="false">AG386-AH386*AO386/_Rfb2+AG386*AN386/_Rfb2+AN386-AO386*AR386+AQ386*AN386</f>
        <v>454.54577056189</v>
      </c>
      <c r="AX386" s="0" t="n">
        <f aca="false">AH386+AH386*AN386/_Rfb2+AG386*AO386/_Rfb2+AO386+AO386*AQ386+AN386*AR386</f>
        <v>-1463.2477269863</v>
      </c>
      <c r="AY386" s="0" t="n">
        <f aca="false">ATAN2(AW386,AX386)</f>
        <v>-1.26960531807421</v>
      </c>
      <c r="BA386" s="0" t="n">
        <f aca="false">SQRT(AT386^2+AU386^2)/SQRT(AW386^2+AX386^2)</f>
        <v>5.16969039457234</v>
      </c>
      <c r="BB386" s="0" t="n">
        <f aca="false">20*LOG(BA386)</f>
        <v>14.2692906918401</v>
      </c>
      <c r="BC386" s="0" t="n">
        <f aca="false">AV386-AY386</f>
        <v>-1.51260640167821</v>
      </c>
      <c r="BD386" s="0" t="n">
        <f aca="false">BC386*180/Pi-180</f>
        <v>-266.665962979662</v>
      </c>
      <c r="BF386" s="0" t="n">
        <f aca="false">20*LOG(BA386*J386*F386*C386)</f>
        <v>-18.6073496845133</v>
      </c>
      <c r="BG386" s="0" t="n">
        <f aca="false">(180/Pi)*(D386+H386+BC386)</f>
        <v>-264.548560052303</v>
      </c>
      <c r="BH386" s="0" t="n">
        <f aca="false">IF(BG386&gt;180,BG386-180,BG386+180)</f>
        <v>-84.5485600523031</v>
      </c>
      <c r="BI386" s="0" t="n">
        <f aca="false">IF(BH386&gt;180,BH386-360,BH386)</f>
        <v>-84.5485600523031</v>
      </c>
      <c r="BJ386" s="0" t="n">
        <f aca="false">SUM((BF387&lt;0)*(BF386&gt;0))*A386</f>
        <v>0</v>
      </c>
      <c r="BK386" s="0" t="n">
        <f aca="false">IF(BJ386&gt;0,BI386,0)</f>
        <v>0</v>
      </c>
      <c r="BM386" s="0" t="n">
        <f aca="false">20*LOG(J386*F386*C386)</f>
        <v>-32.8766403763534</v>
      </c>
      <c r="BN386" s="0" t="n">
        <f aca="false">(H386+D386)*180/Pi</f>
        <v>-177.882597072641</v>
      </c>
      <c r="BQ386" s="347" t="n">
        <f aca="false">20*LOG(BA386*7)</f>
        <v>31.1712514921252</v>
      </c>
      <c r="BR386" s="353"/>
      <c r="BS386" s="353"/>
      <c r="BT386" s="353" t="n">
        <v>575439.937</v>
      </c>
      <c r="BU386" s="353" t="n">
        <v>11.0791</v>
      </c>
      <c r="BV386" s="353" t="n">
        <v>119.196</v>
      </c>
      <c r="BY386" s="353"/>
      <c r="BZ386" s="353"/>
      <c r="CA386" s="353"/>
      <c r="CC386" s="353"/>
    </row>
    <row r="387" customFormat="false" ht="12.75" hidden="false" customHeight="false" outlineLevel="0" collapsed="false">
      <c r="A387" s="0" t="n">
        <f aca="false">A386+5000</f>
        <v>865000</v>
      </c>
      <c r="B387" s="0" t="n">
        <f aca="false">A387/1000</f>
        <v>865</v>
      </c>
      <c r="C387" s="0" t="n">
        <f aca="false">SQRT((A387/Fesr)^2+1)</f>
        <v>1.00001476926041</v>
      </c>
      <c r="D387" s="0" t="n">
        <f aca="false">ATAN(A387/Fesr)</f>
        <v>0.00543490177153998</v>
      </c>
      <c r="F387" s="0" t="n">
        <f aca="false">(Ro/(Ro+Rdcr))/SQRT((A387/(Q*Fo))^2+(1-(A387^2/Fo^2))^2)</f>
        <v>0.00249386872547101</v>
      </c>
      <c r="G387" s="0" t="n">
        <f aca="false">-ATAN(A387*Fo/(Q*(Fo^2-A387^2)))</f>
        <v>0.0313689842092231</v>
      </c>
      <c r="H387" s="0" t="n">
        <f aca="false">IF(G387&gt;0,G387-Pi,G387)</f>
        <v>-3.11022366579078</v>
      </c>
      <c r="J387" s="0" t="n">
        <f aca="false">Vin/Vramp</f>
        <v>9</v>
      </c>
      <c r="M387" s="0" t="n">
        <f aca="false">1/(2*Pi*_Rfb1*(Cc1ea_u+Cc2ea_u)*A387)</f>
        <v>0.00681459829902618</v>
      </c>
      <c r="N387" s="0" t="n">
        <f aca="false">-Pi/2</f>
        <v>-1.570796325</v>
      </c>
      <c r="O387" s="0" t="n">
        <f aca="false">SQRT(1+(A387/Fz1_u)^2)</f>
        <v>21.1547547128126</v>
      </c>
      <c r="P387" s="0" t="n">
        <f aca="false">ATAN2(Fz1_u,A387)</f>
        <v>1.52350800753244</v>
      </c>
      <c r="Q387" s="0" t="n">
        <f aca="false">SQRT(1+(A387/Fz2_u)^2)</f>
        <v>23977.8922653674</v>
      </c>
      <c r="R387" s="0" t="n">
        <f aca="false">ATAN2(Fz2_u,A387)</f>
        <v>1.57075462171135</v>
      </c>
      <c r="S387" s="0" t="n">
        <f aca="false">1/SQRT(1+(A387/Fp1_u)^2)</f>
        <v>0.0156014043649194</v>
      </c>
      <c r="T387" s="0" t="n">
        <f aca="false">-ATAN2(Fp1_u,A387)</f>
        <v>-1.55519428945375</v>
      </c>
      <c r="U387" s="0" t="n">
        <f aca="false">1/SQRT(1+(A387/Fp2_u)^2)</f>
        <v>0.391851526833707</v>
      </c>
      <c r="V387" s="0" t="n">
        <f aca="false">-ATAN2(Fp2_u,A387)</f>
        <v>-1.16815312758119</v>
      </c>
      <c r="X387" s="0" t="n">
        <f aca="false">20*LOG(C387*J387*O387*Q387*F387*M387*S387*U387)</f>
        <v>-6.47865983423562</v>
      </c>
      <c r="Y387" s="0" t="n">
        <f aca="false">(180/Pi)*(D387+H387+N387+P387+R387+T387+V387)</f>
        <v>-246.639416420162</v>
      </c>
      <c r="Z387" s="0" t="n">
        <f aca="false">Y387+180</f>
        <v>-66.639416420162</v>
      </c>
      <c r="AC387" s="0" t="n">
        <v>1</v>
      </c>
      <c r="AD387" s="0" t="n">
        <f aca="false">Rcea1_u*Cc1ea_u*A387*2*Pi</f>
        <v>21.131106146136</v>
      </c>
      <c r="AE387" s="0" t="n">
        <f aca="false">-Rcea1_u*Cc1ea_u*Cc2ea_u*(A387*2*Pi)^2</f>
        <v>-0.0172269925524408</v>
      </c>
      <c r="AF387" s="0" t="n">
        <f aca="false">(Cc2ea_u+Cc1ea_u)*A387*2*Pi</f>
        <v>0.007337189634075</v>
      </c>
      <c r="AG387" s="0" t="n">
        <f aca="false">AC387*AE387/(AE387^2+AF387^2)+AD387*AF387/(AE387^2+AF387^2)</f>
        <v>393.081904849683</v>
      </c>
      <c r="AH387" s="0" t="n">
        <f aca="false">AD387*AE387/(AE387^2+AF387^2)-AC387*AF387/(AE387^2+AF387^2)</f>
        <v>-1059.2092388143</v>
      </c>
      <c r="AJ387" s="0" t="n">
        <f aca="false">_Rfb1</f>
        <v>20000</v>
      </c>
      <c r="AK387" s="0" t="n">
        <f aca="false">_Rfb1*Rcea2_u*Cc3ea_u*A387*2*Pi</f>
        <v>1281779.85429648</v>
      </c>
      <c r="AL387" s="0" t="n">
        <v>1</v>
      </c>
      <c r="AM387" s="0" t="n">
        <f aca="false">(_Rfb1+Rcea2_u)*Cc3ea_u*A387*2*Pi</f>
        <v>23977.8922445148</v>
      </c>
      <c r="AN387" s="0" t="n">
        <f aca="false">AJ387*AL387/(AL387^2+AM387^2)+AK387*AM387/(AL387^2+AM387^2)</f>
        <v>53.4567706409621</v>
      </c>
      <c r="AO387" s="0" t="n">
        <f aca="false">AK387*AL387/(AL387^2+AM387^2)-AJ387*AM387/(AL387^2+AM387^2)</f>
        <v>-0.831872252404587</v>
      </c>
      <c r="AQ387" s="0" t="n">
        <f aca="false">Eadcg/(1+(Eadcg*A387/GBP)^2)</f>
        <v>0.0152162042875212</v>
      </c>
      <c r="AR387" s="0" t="n">
        <f aca="false">-(A387*Eadcg*Eadcg/GBP)/(1+(Eadcg*A387/GBP)^2)</f>
        <v>-6.93638280548796</v>
      </c>
      <c r="AT387" s="0" t="n">
        <f aca="false">-AR387*AH387+AG387*AQ387</f>
        <v>-7341.09953695956</v>
      </c>
      <c r="AU387" s="0" t="n">
        <f aca="false">AQ387*AH387+AG387*AR387</f>
        <v>-2742.68371010882</v>
      </c>
      <c r="AV387" s="0" t="n">
        <f aca="false">ATAN2(AT387,AU387)</f>
        <v>-2.78404409714947</v>
      </c>
      <c r="AW387" s="0" t="n">
        <f aca="false">AG387-AH387*AO387/_Rfb2+AG387*AN387/_Rfb2+AN387-AO387*AR387+AQ387*AN387</f>
        <v>450.641193350258</v>
      </c>
      <c r="AX387" s="0" t="n">
        <f aca="false">AH387+AH387*AN387/_Rfb2+AG387*AO387/_Rfb2+AO387+AO387*AQ387+AN387*AR387</f>
        <v>-1456.47739838706</v>
      </c>
      <c r="AY387" s="0" t="n">
        <f aca="false">ATAN2(AW387,AX387)</f>
        <v>-1.2707337046201</v>
      </c>
      <c r="BA387" s="0" t="n">
        <f aca="false">SQRT(AT387^2+AU387^2)/SQRT(AW387^2+AX387^2)</f>
        <v>5.1401772376475</v>
      </c>
      <c r="BB387" s="0" t="n">
        <f aca="false">20*LOG(BA387)</f>
        <v>14.2195618818714</v>
      </c>
      <c r="BC387" s="0" t="n">
        <f aca="false">AV387-AY387</f>
        <v>-1.51331039252937</v>
      </c>
      <c r="BD387" s="0" t="n">
        <f aca="false">BC387*180/Pi-180</f>
        <v>-266.706298684295</v>
      </c>
      <c r="BF387" s="0" t="n">
        <f aca="false">20*LOG(BA387*J387*F387*C387)</f>
        <v>-18.7579878669944</v>
      </c>
      <c r="BG387" s="0" t="n">
        <f aca="false">(180/Pi)*(D387+H387+BC387)</f>
        <v>-264.597591345507</v>
      </c>
      <c r="BH387" s="0" t="n">
        <f aca="false">IF(BG387&gt;180,BG387-180,BG387+180)</f>
        <v>-84.5975913455072</v>
      </c>
      <c r="BI387" s="0" t="n">
        <f aca="false">IF(BH387&gt;180,BH387-360,BH387)</f>
        <v>-84.5975913455072</v>
      </c>
      <c r="BJ387" s="0" t="n">
        <f aca="false">SUM((BF388&lt;0)*(BF387&gt;0))*A387</f>
        <v>0</v>
      </c>
      <c r="BK387" s="0" t="n">
        <f aca="false">IF(BJ387&gt;0,BI387,0)</f>
        <v>0</v>
      </c>
      <c r="BM387" s="0" t="n">
        <f aca="false">20*LOG(J387*F387*C387)</f>
        <v>-32.9775497488657</v>
      </c>
      <c r="BN387" s="0" t="n">
        <f aca="false">(H387+D387)*180/Pi</f>
        <v>-177.891292661212</v>
      </c>
      <c r="BQ387" s="347" t="n">
        <f aca="false">20*LOG(BA387*7)</f>
        <v>31.1215226821565</v>
      </c>
      <c r="BR387" s="353"/>
      <c r="BS387" s="353"/>
      <c r="BT387" s="353" t="n">
        <v>588843.655</v>
      </c>
      <c r="BU387" s="353" t="n">
        <v>10.8666</v>
      </c>
      <c r="BV387" s="353" t="n">
        <v>116.889</v>
      </c>
      <c r="BY387" s="353"/>
      <c r="BZ387" s="353"/>
      <c r="CA387" s="353"/>
      <c r="CC387" s="353"/>
    </row>
    <row r="388" customFormat="false" ht="12.75" hidden="false" customHeight="false" outlineLevel="0" collapsed="false">
      <c r="A388" s="0" t="n">
        <f aca="false">A387+5000</f>
        <v>870000</v>
      </c>
      <c r="B388" s="0" t="n">
        <f aca="false">A388/1000</f>
        <v>870</v>
      </c>
      <c r="C388" s="0" t="n">
        <f aca="false">SQRT((A388/Fesr)^2+1)</f>
        <v>1.0000149404955</v>
      </c>
      <c r="D388" s="0" t="n">
        <f aca="false">ATAN(A388/Fesr)</f>
        <v>0.00546631676470644</v>
      </c>
      <c r="F388" s="0" t="n">
        <f aca="false">(Ro/(Ro+Rdcr))/SQRT((A388/(Q*Fo))^2+(1-(A388^2/Fo^2))^2)</f>
        <v>0.0024652288668786</v>
      </c>
      <c r="G388" s="0" t="n">
        <f aca="false">-ATAN(A388*Fo/(Q*(Fo^2-A388^2)))</f>
        <v>0.0311879217847361</v>
      </c>
      <c r="H388" s="0" t="n">
        <f aca="false">IF(G388&gt;0,G388-Pi,G388)</f>
        <v>-3.11040472821526</v>
      </c>
      <c r="J388" s="0" t="n">
        <f aca="false">Vin/Vramp</f>
        <v>9</v>
      </c>
      <c r="M388" s="0" t="n">
        <f aca="false">1/(2*Pi*_Rfb1*(Cc1ea_u+Cc2ea_u)*A388)</f>
        <v>0.0067754339409858</v>
      </c>
      <c r="N388" s="0" t="n">
        <f aca="false">-Pi/2</f>
        <v>-1.570796325</v>
      </c>
      <c r="O388" s="0" t="n">
        <f aca="false">SQRT(1+(A388/Fz1_u)^2)</f>
        <v>21.2767640743696</v>
      </c>
      <c r="P388" s="0" t="n">
        <f aca="false">ATAN2(Fz1_u,A388)</f>
        <v>1.52377937798675</v>
      </c>
      <c r="Q388" s="0" t="n">
        <f aca="false">SQRT(1+(A388/Fz2_u)^2)</f>
        <v>24116.4927984528</v>
      </c>
      <c r="R388" s="0" t="n">
        <f aca="false">ATAN2(Fz2_u,A388)</f>
        <v>1.57075486139573</v>
      </c>
      <c r="S388" s="0" t="n">
        <f aca="false">1/SQRT(1+(A388/Fp1_u)^2)</f>
        <v>0.0155117627580832</v>
      </c>
      <c r="T388" s="0" t="n">
        <f aca="false">-ATAN2(Fp1_u,A388)</f>
        <v>-1.55528394190954</v>
      </c>
      <c r="U388" s="0" t="n">
        <f aca="false">1/SQRT(1+(A388/Fp2_u)^2)</f>
        <v>0.389942776800071</v>
      </c>
      <c r="V388" s="0" t="n">
        <f aca="false">-ATAN2(Fp2_u,A388)</f>
        <v>-1.17022687736425</v>
      </c>
      <c r="X388" s="0" t="n">
        <f aca="false">20*LOG(C388*J388*O388*Q388*F388*M388*S388*U388)</f>
        <v>-6.62149761255204</v>
      </c>
      <c r="Y388" s="0" t="n">
        <f aca="false">(180/Pi)*(D388+H388+N388+P388+R388+T388+V388)</f>
        <v>-246.75638228958</v>
      </c>
      <c r="Z388" s="0" t="n">
        <f aca="false">Y388+180</f>
        <v>-66.7563822895804</v>
      </c>
      <c r="AC388" s="0" t="n">
        <v>1</v>
      </c>
      <c r="AD388" s="0" t="n">
        <f aca="false">Rcea1_u*Cc1ea_u*A388*2*Pi</f>
        <v>21.253251268368</v>
      </c>
      <c r="AE388" s="0" t="n">
        <f aca="false">-Rcea1_u*Cc1ea_u*Cc2ea_u*(A388*2*Pi)^2</f>
        <v>-0.0174267241310334</v>
      </c>
      <c r="AF388" s="0" t="n">
        <f aca="false">(Cc2ea_u+Cc1ea_u)*A388*2*Pi</f>
        <v>0.00737960113485</v>
      </c>
      <c r="AG388" s="0" t="n">
        <f aca="false">AC388*AE388/(AE388^2+AF388^2)+AD388*AF388/(AE388^2+AF388^2)</f>
        <v>389.261745097088</v>
      </c>
      <c r="AH388" s="0" t="n">
        <f aca="false">AD388*AE388/(AE388^2+AF388^2)-AC388*AF388/(AE388^2+AF388^2)</f>
        <v>-1054.73953189881</v>
      </c>
      <c r="AJ388" s="0" t="n">
        <f aca="false">_Rfb1</f>
        <v>20000</v>
      </c>
      <c r="AK388" s="0" t="n">
        <f aca="false">_Rfb1*Rcea2_u*Cc3ea_u*A388*2*Pi</f>
        <v>1289188.98640224</v>
      </c>
      <c r="AL388" s="0" t="n">
        <v>1</v>
      </c>
      <c r="AM388" s="0" t="n">
        <f aca="false">(_Rfb1+Rcea2_u)*Cc3ea_u*A388*2*Pi</f>
        <v>24116.4927777201</v>
      </c>
      <c r="AN388" s="0" t="n">
        <f aca="false">AJ388*AL388/(AL388^2+AM388^2)+AK388*AM388/(AL388^2+AM388^2)</f>
        <v>53.4567702433344</v>
      </c>
      <c r="AO388" s="0" t="n">
        <f aca="false">AK388*AL388/(AL388^2+AM388^2)-AJ388*AM388/(AL388^2+AM388^2)</f>
        <v>-0.827091377407256</v>
      </c>
      <c r="AQ388" s="0" t="n">
        <f aca="false">Eadcg/(1+(Eadcg*A388/GBP)^2)</f>
        <v>0.0150418088003231</v>
      </c>
      <c r="AR388" s="0" t="n">
        <f aca="false">-(A388*Eadcg*Eadcg/GBP)/(1+(Eadcg*A388/GBP)^2)</f>
        <v>-6.89651891686013</v>
      </c>
      <c r="AT388" s="0" t="n">
        <f aca="false">-AR388*AH388+AG388*AQ388</f>
        <v>-7268.17593335729</v>
      </c>
      <c r="AU388" s="0" t="n">
        <f aca="false">AQ388*AH388+AG388*AR388</f>
        <v>-2700.41617904502</v>
      </c>
      <c r="AV388" s="0" t="n">
        <f aca="false">ATAN2(AT388,AU388)</f>
        <v>-2.78585908377426</v>
      </c>
      <c r="AW388" s="0" t="n">
        <f aca="false">AG388-AH388*AO388/_Rfb2+AG388*AN388/_Rfb2+AN388-AO388*AR388+AQ388*AN388</f>
        <v>446.789889892213</v>
      </c>
      <c r="AX388" s="0" t="n">
        <f aca="false">AH388+AH388*AN388/_Rfb2+AG388*AO388/_Rfb2+AO388+AO388*AQ388+AN388*AR388</f>
        <v>-1449.76190717927</v>
      </c>
      <c r="AY388" s="0" t="n">
        <f aca="false">ATAN2(AW388,AX388)</f>
        <v>-1.27185051576169</v>
      </c>
      <c r="BA388" s="0" t="n">
        <f aca="false">SQRT(AT388^2+AU388^2)/SQRT(AW388^2+AX388^2)</f>
        <v>5.1109963867946</v>
      </c>
      <c r="BB388" s="0" t="n">
        <f aca="false">20*LOG(BA388)</f>
        <v>14.1701114786402</v>
      </c>
      <c r="BC388" s="0" t="n">
        <f aca="false">AV388-AY388</f>
        <v>-1.51400856801257</v>
      </c>
      <c r="BD388" s="0" t="n">
        <f aca="false">BC388*180/Pi-180</f>
        <v>-266.746301192888</v>
      </c>
      <c r="BF388" s="0" t="n">
        <f aca="false">20*LOG(BA388*J388*F388*C388)</f>
        <v>-18.907763671864</v>
      </c>
      <c r="BG388" s="0" t="n">
        <f aca="false">(180/Pi)*(D388+H388+BC388)</f>
        <v>-264.646168020339</v>
      </c>
      <c r="BH388" s="0" t="n">
        <f aca="false">IF(BG388&gt;180,BG388-180,BG388+180)</f>
        <v>-84.6461680203394</v>
      </c>
      <c r="BI388" s="0" t="n">
        <f aca="false">IF(BH388&gt;180,BH388-360,BH388)</f>
        <v>-84.6461680203394</v>
      </c>
      <c r="BJ388" s="0" t="n">
        <f aca="false">SUM((BF389&lt;0)*(BF388&gt;0))*A388</f>
        <v>0</v>
      </c>
      <c r="BK388" s="0" t="n">
        <f aca="false">IF(BJ388&gt;0,BI388,0)</f>
        <v>0</v>
      </c>
      <c r="BM388" s="0" t="n">
        <f aca="false">20*LOG(J388*F388*C388)</f>
        <v>-33.0778751505042</v>
      </c>
      <c r="BN388" s="0" t="n">
        <f aca="false">(H388+D388)*180/Pi</f>
        <v>-177.899866827451</v>
      </c>
      <c r="BQ388" s="347" t="n">
        <f aca="false">20*LOG(BA388*7)</f>
        <v>31.0720722789253</v>
      </c>
      <c r="BR388" s="353"/>
      <c r="BS388" s="353"/>
      <c r="BT388" s="353" t="n">
        <v>602559.586</v>
      </c>
      <c r="BU388" s="353" t="n">
        <v>10.6013</v>
      </c>
      <c r="BV388" s="353" t="n">
        <v>117.324</v>
      </c>
      <c r="BY388" s="353"/>
      <c r="BZ388" s="353"/>
      <c r="CA388" s="353"/>
      <c r="CC388" s="353"/>
    </row>
    <row r="389" customFormat="false" ht="12.75" hidden="false" customHeight="false" outlineLevel="0" collapsed="false">
      <c r="A389" s="0" t="n">
        <f aca="false">A388+5000</f>
        <v>875000</v>
      </c>
      <c r="B389" s="0" t="n">
        <f aca="false">A389/1000</f>
        <v>875</v>
      </c>
      <c r="C389" s="0" t="n">
        <f aca="false">SQRT((A389/Fesr)^2+1)</f>
        <v>1.00001511271751</v>
      </c>
      <c r="D389" s="0" t="n">
        <f aca="false">ATAN(A389/Fesr)</f>
        <v>0.00549773174708335</v>
      </c>
      <c r="F389" s="0" t="n">
        <f aca="false">(Ro/(Ro+Rdcr))/SQRT((A389/(Q*Fo))^2+(1-(A389^2/Fo^2))^2)</f>
        <v>0.00243707986468045</v>
      </c>
      <c r="G389" s="0" t="n">
        <f aca="false">-ATAN(A389*Fo/(Q*(Fo^2-A389^2)))</f>
        <v>0.0310089419495152</v>
      </c>
      <c r="H389" s="0" t="n">
        <f aca="false">IF(G389&gt;0,G389-Pi,G389)</f>
        <v>-3.11058370805048</v>
      </c>
      <c r="J389" s="0" t="n">
        <f aca="false">Vin/Vramp</f>
        <v>9</v>
      </c>
      <c r="M389" s="0" t="n">
        <f aca="false">1/(2*Pi*_Rfb1*(Cc1ea_u+Cc2ea_u)*A389)</f>
        <v>0.00673671717560874</v>
      </c>
      <c r="N389" s="0" t="n">
        <f aca="false">-Pi/2</f>
        <v>-1.570796325</v>
      </c>
      <c r="O389" s="0" t="n">
        <f aca="false">SQRT(1+(A389/Fz1_u)^2)</f>
        <v>21.3987749849209</v>
      </c>
      <c r="P389" s="0" t="n">
        <f aca="false">ATAN2(Fz1_u,A389)</f>
        <v>1.52404765387636</v>
      </c>
      <c r="Q389" s="0" t="n">
        <f aca="false">SQRT(1+(A389/Fz2_u)^2)</f>
        <v>24255.0933315396</v>
      </c>
      <c r="R389" s="0" t="n">
        <f aca="false">ATAN2(Fz2_u,A389)</f>
        <v>1.57075509834087</v>
      </c>
      <c r="S389" s="0" t="n">
        <f aca="false">1/SQRT(1+(A389/Fp1_u)^2)</f>
        <v>0.0154231452591018</v>
      </c>
      <c r="T389" s="0" t="n">
        <f aca="false">-ATAN2(Fp1_u,A389)</f>
        <v>-1.55537257001097</v>
      </c>
      <c r="U389" s="0" t="n">
        <f aca="false">1/SQRT(1+(A389/Fp2_u)^2)</f>
        <v>0.38805088747494</v>
      </c>
      <c r="V389" s="0" t="n">
        <f aca="false">-ATAN2(Fp2_u,A389)</f>
        <v>-1.17228051344189</v>
      </c>
      <c r="X389" s="0" t="n">
        <f aca="false">20*LOG(C389*J389*O389*Q389*F389*M389*S389*U389)</f>
        <v>-6.76358717470943</v>
      </c>
      <c r="Y389" s="0" t="n">
        <f aca="false">(180/Pi)*(D389+H389+N389+P389+R389+T389+V389)</f>
        <v>-246.872195176872</v>
      </c>
      <c r="Z389" s="0" t="n">
        <f aca="false">Y389+180</f>
        <v>-66.8721951768716</v>
      </c>
      <c r="AC389" s="0" t="n">
        <v>1</v>
      </c>
      <c r="AD389" s="0" t="n">
        <f aca="false">Rcea1_u*Cc1ea_u*A389*2*Pi</f>
        <v>21.3753963906</v>
      </c>
      <c r="AE389" s="0" t="n">
        <f aca="false">-Rcea1_u*Cc1ea_u*Cc2ea_u*(A389*2*Pi)^2</f>
        <v>-0.0176276069002807</v>
      </c>
      <c r="AF389" s="0" t="n">
        <f aca="false">(Cc2ea_u+Cc1ea_u)*A389*2*Pi</f>
        <v>0.007422012635625</v>
      </c>
      <c r="AG389" s="0" t="n">
        <f aca="false">AC389*AE389/(AE389^2+AF389^2)+AD389*AF389/(AE389^2+AF389^2)</f>
        <v>385.493737651427</v>
      </c>
      <c r="AH389" s="0" t="n">
        <f aca="false">AD389*AE389/(AE389^2+AF389^2)-AC389*AF389/(AE389^2+AF389^2)</f>
        <v>-1050.2989488892</v>
      </c>
      <c r="AJ389" s="0" t="n">
        <f aca="false">_Rfb1</f>
        <v>20000</v>
      </c>
      <c r="AK389" s="0" t="n">
        <f aca="false">_Rfb1*Rcea2_u*Cc3ea_u*A389*2*Pi</f>
        <v>1296598.118508</v>
      </c>
      <c r="AL389" s="0" t="n">
        <v>1</v>
      </c>
      <c r="AM389" s="0" t="n">
        <f aca="false">(_Rfb1+Rcea2_u)*Cc3ea_u*A389*2*Pi</f>
        <v>24255.0933109254</v>
      </c>
      <c r="AN389" s="0" t="n">
        <f aca="false">AJ389*AL389/(AL389^2+AM389^2)+AK389*AM389/(AL389^2+AM389^2)</f>
        <v>53.4567698525037</v>
      </c>
      <c r="AO389" s="0" t="n">
        <f aca="false">AK389*AL389/(AL389^2+AM389^2)-AJ389*AM389/(AL389^2+AM389^2)</f>
        <v>-0.822365140981042</v>
      </c>
      <c r="AQ389" s="0" t="n">
        <f aca="false">Eadcg/(1+(Eadcg*A389/GBP)^2)</f>
        <v>0.0148703943812765</v>
      </c>
      <c r="AR389" s="0" t="n">
        <f aca="false">-(A389*Eadcg*Eadcg/GBP)/(1+(Eadcg*A389/GBP)^2)</f>
        <v>-6.85711060906613</v>
      </c>
      <c r="AT389" s="0" t="n">
        <f aca="false">-AR389*AH389+AG389*AQ389</f>
        <v>-7196.28362120874</v>
      </c>
      <c r="AU389" s="0" t="n">
        <f aca="false">AQ389*AH389+AG389*AR389</f>
        <v>-2658.99155776638</v>
      </c>
      <c r="AV389" s="0" t="n">
        <f aca="false">ATAN2(AT389,AU389)</f>
        <v>-2.78765690717563</v>
      </c>
      <c r="AW389" s="0" t="n">
        <f aca="false">AG389-AH389*AO389/_Rfb2+AG389*AN389/_Rfb2+AN389-AO389*AR389+AQ389*AN389</f>
        <v>442.990966367757</v>
      </c>
      <c r="AX389" s="0" t="n">
        <f aca="false">AH389+AH389*AN389/_Rfb2+AG389*AO389/_Rfb2+AO389+AO389*AQ389+AN389*AR389</f>
        <v>-1443.10069921571</v>
      </c>
      <c r="AY389" s="0" t="n">
        <f aca="false">ATAN2(AW389,AX389)</f>
        <v>-1.27295588207753</v>
      </c>
      <c r="BA389" s="0" t="n">
        <f aca="false">SQRT(AT389^2+AU389^2)/SQRT(AW389^2+AX389^2)</f>
        <v>5.08214229516095</v>
      </c>
      <c r="BB389" s="0" t="n">
        <f aca="false">20*LOG(BA389)</f>
        <v>14.120936414358</v>
      </c>
      <c r="BC389" s="0" t="n">
        <f aca="false">AV389-AY389</f>
        <v>-1.51470102509811</v>
      </c>
      <c r="BD389" s="0" t="n">
        <f aca="false">BC389*180/Pi-180</f>
        <v>-266.785976061428</v>
      </c>
      <c r="BF389" s="0" t="n">
        <f aca="false">20*LOG(BA389*J389*F389*C389)</f>
        <v>-19.0566868998817</v>
      </c>
      <c r="BG389" s="0" t="n">
        <f aca="false">(180/Pi)*(D389+H389+BC389)</f>
        <v>-264.694297732162</v>
      </c>
      <c r="BH389" s="0" t="n">
        <f aca="false">IF(BG389&gt;180,BG389-180,BG389+180)</f>
        <v>-84.6942977321619</v>
      </c>
      <c r="BI389" s="0" t="n">
        <f aca="false">IF(BH389&gt;180,BH389-360,BH389)</f>
        <v>-84.6942977321619</v>
      </c>
      <c r="BJ389" s="0" t="n">
        <f aca="false">SUM((BF390&lt;0)*(BF389&gt;0))*A389</f>
        <v>0</v>
      </c>
      <c r="BK389" s="0" t="n">
        <f aca="false">IF(BJ389&gt;0,BI389,0)</f>
        <v>0</v>
      </c>
      <c r="BM389" s="0" t="n">
        <f aca="false">20*LOG(J389*F389*C389)</f>
        <v>-33.1776233142397</v>
      </c>
      <c r="BN389" s="0" t="n">
        <f aca="false">(H389+D389)*180/Pi</f>
        <v>-177.908321670734</v>
      </c>
      <c r="BQ389" s="347" t="n">
        <f aca="false">20*LOG(BA389*7)</f>
        <v>31.0228972146432</v>
      </c>
      <c r="BR389" s="353"/>
      <c r="BS389" s="353"/>
      <c r="BT389" s="353" t="n">
        <v>616595.002</v>
      </c>
      <c r="BU389" s="353" t="n">
        <v>10.4749</v>
      </c>
      <c r="BV389" s="353" t="n">
        <v>115.142</v>
      </c>
      <c r="BY389" s="353"/>
      <c r="BZ389" s="353"/>
      <c r="CA389" s="353"/>
      <c r="CC389" s="353"/>
    </row>
    <row r="390" customFormat="false" ht="12.75" hidden="false" customHeight="false" outlineLevel="0" collapsed="false">
      <c r="A390" s="0" t="n">
        <f aca="false">A389+5000</f>
        <v>880000</v>
      </c>
      <c r="B390" s="0" t="n">
        <f aca="false">A390/1000</f>
        <v>880</v>
      </c>
      <c r="C390" s="0" t="n">
        <f aca="false">SQRT((A390/Fesr)^2+1)</f>
        <v>1.00001528592643</v>
      </c>
      <c r="D390" s="0" t="n">
        <f aca="false">ATAN(A390/Fesr)</f>
        <v>0.00552914671860873</v>
      </c>
      <c r="F390" s="0" t="n">
        <f aca="false">(Ro/(Ro+Rdcr))/SQRT((A390/(Q*Fo))^2+(1-(A390^2/Fo^2))^2)</f>
        <v>0.00240941055846587</v>
      </c>
      <c r="G390" s="0" t="n">
        <f aca="false">-ATAN(A390*Fo/(Q*(Fo^2-A390^2)))</f>
        <v>0.0308320089041847</v>
      </c>
      <c r="H390" s="0" t="n">
        <f aca="false">IF(G390&gt;0,G390-Pi,G390)</f>
        <v>-3.11076064109582</v>
      </c>
      <c r="J390" s="0" t="n">
        <f aca="false">Vin/Vramp</f>
        <v>9</v>
      </c>
      <c r="M390" s="0" t="n">
        <f aca="false">1/(2*Pi*_Rfb1*(Cc1ea_u+Cc2ea_u)*A390)</f>
        <v>0.00669844037347459</v>
      </c>
      <c r="N390" s="0" t="n">
        <f aca="false">-Pi/2</f>
        <v>-1.570796325</v>
      </c>
      <c r="O390" s="0" t="n">
        <f aca="false">SQRT(1+(A390/Fz1_u)^2)</f>
        <v>21.5207874181205</v>
      </c>
      <c r="P390" s="0" t="n">
        <f aca="false">ATAN2(Fz1_u,A390)</f>
        <v>1.52431288779637</v>
      </c>
      <c r="Q390" s="0" t="n">
        <f aca="false">SQRT(1+(A390/Fz2_u)^2)</f>
        <v>24393.6938646278</v>
      </c>
      <c r="R390" s="0" t="n">
        <f aca="false">ATAN2(Fz2_u,A390)</f>
        <v>1.57075533259345</v>
      </c>
      <c r="S390" s="0" t="n">
        <f aca="false">1/SQRT(1+(A390/Fp1_u)^2)</f>
        <v>0.0153355344198734</v>
      </c>
      <c r="T390" s="0" t="n">
        <f aca="false">-ATAN2(Fp1_u,A390)</f>
        <v>-1.55546019121311</v>
      </c>
      <c r="U390" s="0" t="n">
        <f aca="false">1/SQRT(1+(A390/Fp2_u)^2)</f>
        <v>0.386175662163935</v>
      </c>
      <c r="V390" s="0" t="n">
        <f aca="false">-ATAN2(Fp2_u,A390)</f>
        <v>-1.1743143099592</v>
      </c>
      <c r="X390" s="0" t="n">
        <f aca="false">20*LOG(C390*J390*O390*Q390*F390*M390*S390*U390)</f>
        <v>-6.90493610539641</v>
      </c>
      <c r="Y390" s="0" t="n">
        <f aca="false">(180/Pi)*(D390+H390+N390+P390+R390+T390+V390)</f>
        <v>-246.986870824499</v>
      </c>
      <c r="Z390" s="0" t="n">
        <f aca="false">Y390+180</f>
        <v>-66.9868708244986</v>
      </c>
      <c r="AC390" s="0" t="n">
        <v>1</v>
      </c>
      <c r="AD390" s="0" t="n">
        <f aca="false">Rcea1_u*Cc1ea_u*A390*2*Pi</f>
        <v>21.497541512832</v>
      </c>
      <c r="AE390" s="0" t="n">
        <f aca="false">-Rcea1_u*Cc1ea_u*Cc2ea_u*(A390*2*Pi)^2</f>
        <v>-0.0178296408601827</v>
      </c>
      <c r="AF390" s="0" t="n">
        <f aca="false">(Cc2ea_u+Cc1ea_u)*A390*2*Pi</f>
        <v>0.0074644241364</v>
      </c>
      <c r="AG390" s="0" t="n">
        <f aca="false">AC390*AE390/(AE390^2+AF390^2)+AD390*AF390/(AE390^2+AF390^2)</f>
        <v>381.77700364225</v>
      </c>
      <c r="AH390" s="0" t="n">
        <f aca="false">AD390*AE390/(AE390^2+AF390^2)-AC390*AF390/(AE390^2+AF390^2)</f>
        <v>-1045.88736129659</v>
      </c>
      <c r="AJ390" s="0" t="n">
        <f aca="false">_Rfb1</f>
        <v>20000</v>
      </c>
      <c r="AK390" s="0" t="n">
        <f aca="false">_Rfb1*Rcea2_u*Cc3ea_u*A390*2*Pi</f>
        <v>1304007.25061376</v>
      </c>
      <c r="AL390" s="0" t="n">
        <v>1</v>
      </c>
      <c r="AM390" s="0" t="n">
        <f aca="false">(_Rfb1+Rcea2_u)*Cc3ea_u*A390*2*Pi</f>
        <v>24393.6938441307</v>
      </c>
      <c r="AN390" s="0" t="n">
        <f aca="false">AJ390*AL390/(AL390^2+AM390^2)+AK390*AM390/(AL390^2+AM390^2)</f>
        <v>53.4567694683159</v>
      </c>
      <c r="AO390" s="0" t="n">
        <f aca="false">AK390*AL390/(AL390^2+AM390^2)-AJ390*AM390/(AL390^2+AM390^2)</f>
        <v>-0.817692611786672</v>
      </c>
      <c r="AQ390" s="0" t="n">
        <f aca="false">Eadcg/(1+(Eadcg*A390/GBP)^2)</f>
        <v>0.0147018934722038</v>
      </c>
      <c r="AR390" s="0" t="n">
        <f aca="false">-(A390*Eadcg*Eadcg/GBP)/(1+(Eadcg*A390/GBP)^2)</f>
        <v>-6.81815011666924</v>
      </c>
      <c r="AT390" s="0" t="n">
        <f aca="false">-AR390*AH390+AG390*AQ390</f>
        <v>-7125.40418960954</v>
      </c>
      <c r="AU390" s="0" t="n">
        <f aca="false">AQ390*AH390+AG390*AR390</f>
        <v>-2618.38944649475</v>
      </c>
      <c r="AV390" s="0" t="n">
        <f aca="false">ATAN2(AT390,AU390)</f>
        <v>-2.78943779135952</v>
      </c>
      <c r="AW390" s="0" t="n">
        <f aca="false">AG390-AH390*AO390/_Rfb2+AG390*AN390/_Rfb2+AN390-AO390*AR390+AQ390*AN390</f>
        <v>439.243545770966</v>
      </c>
      <c r="AX390" s="0" t="n">
        <f aca="false">AH390+AH390*AN390/_Rfb2+AG390*AO390/_Rfb2+AO390+AO390*AQ390+AN390*AR390</f>
        <v>-1436.49322563426</v>
      </c>
      <c r="AY390" s="0" t="n">
        <f aca="false">ATAN2(AW390,AX390)</f>
        <v>-1.27404993273367</v>
      </c>
      <c r="BA390" s="0" t="n">
        <f aca="false">SQRT(AT390^2+AU390^2)/SQRT(AW390^2+AX390^2)</f>
        <v>5.05360953783852</v>
      </c>
      <c r="BB390" s="0" t="n">
        <f aca="false">20*LOG(BA390)</f>
        <v>14.0720336708983</v>
      </c>
      <c r="BC390" s="0" t="n">
        <f aca="false">AV390-AY390</f>
        <v>-1.51538785862585</v>
      </c>
      <c r="BD390" s="0" t="n">
        <f aca="false">BC390*180/Pi-180</f>
        <v>-266.825328723841</v>
      </c>
      <c r="BF390" s="0" t="n">
        <f aca="false">20*LOG(BA390*J390*F390*C390)</f>
        <v>-19.2047671861463</v>
      </c>
      <c r="BG390" s="0" t="n">
        <f aca="false">(180/Pi)*(D390+H390+BC390)</f>
        <v>-264.741987966056</v>
      </c>
      <c r="BH390" s="0" t="n">
        <f aca="false">IF(BG390&gt;180,BG390-180,BG390+180)</f>
        <v>-84.7419879660562</v>
      </c>
      <c r="BI390" s="0" t="n">
        <f aca="false">IF(BH390&gt;180,BH390-360,BH390)</f>
        <v>-84.7419879660562</v>
      </c>
      <c r="BJ390" s="0" t="n">
        <f aca="false">SUM((BF391&lt;0)*(BF390&gt;0))*A390</f>
        <v>0</v>
      </c>
      <c r="BK390" s="0" t="n">
        <f aca="false">IF(BJ390&gt;0,BI390,0)</f>
        <v>0</v>
      </c>
      <c r="BM390" s="0" t="n">
        <f aca="false">20*LOG(J390*F390*C390)</f>
        <v>-33.2768008570447</v>
      </c>
      <c r="BN390" s="0" t="n">
        <f aca="false">(H390+D390)*180/Pi</f>
        <v>-177.916659242215</v>
      </c>
      <c r="BQ390" s="347" t="n">
        <f aca="false">20*LOG(BA390*7)</f>
        <v>30.9739944711835</v>
      </c>
      <c r="BR390" s="353"/>
      <c r="BS390" s="353"/>
      <c r="BT390" s="353" t="n">
        <v>630957.344</v>
      </c>
      <c r="BU390" s="353" t="n">
        <v>10.2838</v>
      </c>
      <c r="BV390" s="353" t="n">
        <v>115.247</v>
      </c>
      <c r="BY390" s="353"/>
      <c r="BZ390" s="353"/>
      <c r="CA390" s="353"/>
      <c r="CC390" s="353"/>
    </row>
    <row r="391" customFormat="false" ht="12.75" hidden="false" customHeight="false" outlineLevel="0" collapsed="false">
      <c r="A391" s="0" t="n">
        <f aca="false">A390+5000</f>
        <v>885000</v>
      </c>
      <c r="B391" s="0" t="n">
        <f aca="false">A391/1000</f>
        <v>885</v>
      </c>
      <c r="C391" s="0" t="n">
        <f aca="false">SQRT((A391/Fesr)^2+1)</f>
        <v>1.00001546012227</v>
      </c>
      <c r="D391" s="0" t="n">
        <f aca="false">ATAN(A391/Fesr)</f>
        <v>0.00556056167922056</v>
      </c>
      <c r="F391" s="0" t="n">
        <f aca="false">(Ro/(Ro+Rdcr))/SQRT((A391/(Q*Fo))^2+(1-(A391^2/Fo^2))^2)</f>
        <v>0.00238221010341717</v>
      </c>
      <c r="G391" s="0" t="n">
        <f aca="false">-ATAN(A391*Fo/(Q*(Fo^2-A391^2)))</f>
        <v>0.0306570876668468</v>
      </c>
      <c r="H391" s="0" t="n">
        <f aca="false">IF(G391&gt;0,G391-Pi,G391)</f>
        <v>-3.11093556233315</v>
      </c>
      <c r="J391" s="0" t="n">
        <f aca="false">Vin/Vramp</f>
        <v>9</v>
      </c>
      <c r="M391" s="0" t="n">
        <f aca="false">1/(2*Pi*_Rfb1*(Cc1ea_u+Cc2ea_u)*A391)</f>
        <v>0.00666059607757926</v>
      </c>
      <c r="N391" s="0" t="n">
        <f aca="false">-Pi/2</f>
        <v>-1.570796325</v>
      </c>
      <c r="O391" s="0" t="n">
        <f aca="false">SQRT(1+(A391/Fz1_u)^2)</f>
        <v>21.6428013482166</v>
      </c>
      <c r="P391" s="0" t="n">
        <f aca="false">ATAN2(Fz1_u,A391)</f>
        <v>1.52457513115756</v>
      </c>
      <c r="Q391" s="0" t="n">
        <f aca="false">SQRT(1+(A391/Fz2_u)^2)</f>
        <v>24532.2943977173</v>
      </c>
      <c r="R391" s="0" t="n">
        <f aca="false">ATAN2(Fz2_u,A391)</f>
        <v>1.57075556419911</v>
      </c>
      <c r="S391" s="0" t="n">
        <f aca="false">1/SQRT(1+(A391/Fp1_u)^2)</f>
        <v>0.0152489131863719</v>
      </c>
      <c r="T391" s="0" t="n">
        <f aca="false">-ATAN2(Fp1_u,A391)</f>
        <v>-1.55554682257669</v>
      </c>
      <c r="U391" s="0" t="n">
        <f aca="false">1/SQRT(1+(A391/Fp2_u)^2)</f>
        <v>0.384316906653577</v>
      </c>
      <c r="V391" s="0" t="n">
        <f aca="false">-ATAN2(Fp2_u,A391)</f>
        <v>-1.1763285364465</v>
      </c>
      <c r="X391" s="0" t="n">
        <f aca="false">20*LOG(C391*J391*O391*Q391*F391*M391*S391*U391)</f>
        <v>-7.04555187581772</v>
      </c>
      <c r="Y391" s="0" t="n">
        <f aca="false">(180/Pi)*(D391+H391+N391+P391+R391+T391+V391)</f>
        <v>-247.100424709003</v>
      </c>
      <c r="Z391" s="0" t="n">
        <f aca="false">Y391+180</f>
        <v>-67.1004247090034</v>
      </c>
      <c r="AC391" s="0" t="n">
        <v>1</v>
      </c>
      <c r="AD391" s="0" t="n">
        <f aca="false">Rcea1_u*Cc1ea_u*A391*2*Pi</f>
        <v>21.619686635064</v>
      </c>
      <c r="AE391" s="0" t="n">
        <f aca="false">-Rcea1_u*Cc1ea_u*Cc2ea_u*(A391*2*Pi)^2</f>
        <v>-0.0180328260107394</v>
      </c>
      <c r="AF391" s="0" t="n">
        <f aca="false">(Cc2ea_u+Cc1ea_u)*A391*2*Pi</f>
        <v>0.007506835637175</v>
      </c>
      <c r="AG391" s="0" t="n">
        <f aca="false">AC391*AE391/(AE391^2+AF391^2)+AD391*AF391/(AE391^2+AF391^2)</f>
        <v>378.110680933822</v>
      </c>
      <c r="AH391" s="0" t="n">
        <f aca="false">AD391*AE391/(AE391^2+AF391^2)-AC391*AF391/(AE391^2+AF391^2)</f>
        <v>-1041.50463656935</v>
      </c>
      <c r="AJ391" s="0" t="n">
        <f aca="false">_Rfb1</f>
        <v>20000</v>
      </c>
      <c r="AK391" s="0" t="n">
        <f aca="false">_Rfb1*Rcea2_u*Cc3ea_u*A391*2*Pi</f>
        <v>1311416.38271952</v>
      </c>
      <c r="AL391" s="0" t="n">
        <v>1</v>
      </c>
      <c r="AM391" s="0" t="n">
        <f aca="false">(_Rfb1+Rcea2_u)*Cc3ea_u*A391*2*Pi</f>
        <v>24532.294377336</v>
      </c>
      <c r="AN391" s="0" t="n">
        <f aca="false">AJ391*AL391/(AL391^2+AM391^2)+AK391*AM391/(AL391^2+AM391^2)</f>
        <v>53.4567690906214</v>
      </c>
      <c r="AO391" s="0" t="n">
        <f aca="false">AK391*AL391/(AL391^2+AM391^2)-AJ391*AM391/(AL391^2+AM391^2)</f>
        <v>-0.813072879532087</v>
      </c>
      <c r="AQ391" s="0" t="n">
        <f aca="false">Eadcg/(1+(Eadcg*A391/GBP)^2)</f>
        <v>0.0145362404179264</v>
      </c>
      <c r="AR391" s="0" t="n">
        <f aca="false">-(A391*Eadcg*Eadcg/GBP)/(1+(Eadcg*A391/GBP)^2)</f>
        <v>-6.77962984971876</v>
      </c>
      <c r="AT391" s="0" t="n">
        <f aca="false">-AR391*AH391+AG391*AQ391</f>
        <v>-7055.51961494343</v>
      </c>
      <c r="AU391" s="0" t="n">
        <f aca="false">AQ391*AH391+AG391*AR391</f>
        <v>-2578.59002074998</v>
      </c>
      <c r="AV391" s="0" t="n">
        <f aca="false">ATAN2(AT391,AU391)</f>
        <v>-2.7912019568459</v>
      </c>
      <c r="AW391" s="0" t="n">
        <f aca="false">AG391-AH391*AO391/_Rfb2+AG391*AN391/_Rfb2+AN391-AO391*AR391+AQ391*AN391</f>
        <v>435.546767592202</v>
      </c>
      <c r="AX391" s="0" t="n">
        <f aca="false">AH391+AH391*AN391/_Rfb2+AG391*AO391/_Rfb2+AO391+AO391*AQ391+AN391*AR391</f>
        <v>-1429.93894284985</v>
      </c>
      <c r="AY391" s="0" t="n">
        <f aca="false">ATAN2(AW391,AX391)</f>
        <v>-1.27513279548286</v>
      </c>
      <c r="BA391" s="0" t="n">
        <f aca="false">SQRT(AT391^2+AU391^2)/SQRT(AW391^2+AX391^2)</f>
        <v>5.02539280855395</v>
      </c>
      <c r="BB391" s="0" t="n">
        <f aca="false">20*LOG(BA391)</f>
        <v>14.0234002787461</v>
      </c>
      <c r="BC391" s="0" t="n">
        <f aca="false">AV391-AY391</f>
        <v>-1.51606916136303</v>
      </c>
      <c r="BD391" s="0" t="n">
        <f aca="false">BC391*180/Pi-180</f>
        <v>-266.864364495297</v>
      </c>
      <c r="BF391" s="0" t="n">
        <f aca="false">20*LOG(BA391*J391*F391*C391)</f>
        <v>-19.352014003801</v>
      </c>
      <c r="BG391" s="0" t="n">
        <f aca="false">(180/Pi)*(D391+H391+BC391)</f>
        <v>-264.789246041511</v>
      </c>
      <c r="BH391" s="0" t="n">
        <f aca="false">IF(BG391&gt;180,BG391-180,BG391+180)</f>
        <v>-84.7892460415115</v>
      </c>
      <c r="BI391" s="0" t="n">
        <f aca="false">IF(BH391&gt;180,BH391-360,BH391)</f>
        <v>-84.7892460415115</v>
      </c>
      <c r="BJ391" s="0" t="n">
        <f aca="false">SUM((BF392&lt;0)*(BF391&gt;0))*A391</f>
        <v>0</v>
      </c>
      <c r="BK391" s="0" t="n">
        <f aca="false">IF(BJ391&gt;0,BI391,0)</f>
        <v>0</v>
      </c>
      <c r="BM391" s="0" t="n">
        <f aca="false">20*LOG(J391*F391*C391)</f>
        <v>-33.375414282547</v>
      </c>
      <c r="BN391" s="0" t="n">
        <f aca="false">(H391+D391)*180/Pi</f>
        <v>-177.924881546214</v>
      </c>
      <c r="BQ391" s="347" t="n">
        <f aca="false">20*LOG(BA391*7)</f>
        <v>30.9253610790312</v>
      </c>
      <c r="BR391" s="353"/>
      <c r="BS391" s="353"/>
      <c r="BT391" s="353" t="n">
        <v>645654.229</v>
      </c>
      <c r="BU391" s="353" t="n">
        <v>9.98219</v>
      </c>
      <c r="BV391" s="353" t="n">
        <v>113.164</v>
      </c>
      <c r="BY391" s="353"/>
      <c r="BZ391" s="353"/>
      <c r="CA391" s="353"/>
      <c r="CC391" s="353"/>
    </row>
    <row r="392" customFormat="false" ht="12.75" hidden="false" customHeight="false" outlineLevel="0" collapsed="false">
      <c r="A392" s="0" t="n">
        <f aca="false">A391+5000</f>
        <v>890000</v>
      </c>
      <c r="B392" s="0" t="n">
        <f aca="false">A392/1000</f>
        <v>890</v>
      </c>
      <c r="C392" s="0" t="n">
        <f aca="false">SQRT((A392/Fesr)^2+1)</f>
        <v>1.00001563530503</v>
      </c>
      <c r="D392" s="0" t="n">
        <f aca="false">ATAN(A392/Fesr)</f>
        <v>0.00559197662885685</v>
      </c>
      <c r="F392" s="0" t="n">
        <f aca="false">(Ro/(Ro+Rdcr))/SQRT((A392/(Q*Fo))^2+(1-(A392^2/Fo^2))^2)</f>
        <v>0.00235546795965409</v>
      </c>
      <c r="G392" s="0" t="n">
        <f aca="false">-ATAN(A392*Fo/(Q*(Fo^2-A392^2)))</f>
        <v>0.0304841440498346</v>
      </c>
      <c r="H392" s="0" t="n">
        <f aca="false">IF(G392&gt;0,G392-Pi,G392)</f>
        <v>-3.11110850595017</v>
      </c>
      <c r="J392" s="0" t="n">
        <f aca="false">Vin/Vramp</f>
        <v>9</v>
      </c>
      <c r="M392" s="0" t="n">
        <f aca="false">1/(2*Pi*_Rfb1*(Cc1ea_u+Cc2ea_u)*A392)</f>
        <v>0.00662317699849173</v>
      </c>
      <c r="N392" s="0" t="n">
        <f aca="false">-Pi/2</f>
        <v>-1.570796325</v>
      </c>
      <c r="O392" s="0" t="n">
        <f aca="false">SQRT(1+(A392/Fz1_u)^2)</f>
        <v>21.7648167500341</v>
      </c>
      <c r="P392" s="0" t="n">
        <f aca="false">ATAN2(Fz1_u,A392)</f>
        <v>1.52483443421953</v>
      </c>
      <c r="Q392" s="0" t="n">
        <f aca="false">SQRT(1+(A392/Fz2_u)^2)</f>
        <v>24670.8949308081</v>
      </c>
      <c r="R392" s="0" t="n">
        <f aca="false">ATAN2(Fz2_u,A392)</f>
        <v>1.57075579320246</v>
      </c>
      <c r="S392" s="0" t="n">
        <f aca="false">1/SQRT(1+(A392/Fp1_u)^2)</f>
        <v>0.0151632648875847</v>
      </c>
      <c r="T392" s="0" t="n">
        <f aca="false">-ATAN2(Fp1_u,A392)</f>
        <v>-1.55563248077924</v>
      </c>
      <c r="U392" s="0" t="n">
        <f aca="false">1/SQRT(1+(A392/Fp2_u)^2)</f>
        <v>0.382474429189378</v>
      </c>
      <c r="V392" s="0" t="n">
        <f aca="false">-ATAN2(Fp2_u,A392)</f>
        <v>-1.17832345790721</v>
      </c>
      <c r="X392" s="0" t="n">
        <f aca="false">20*LOG(C392*J392*O392*Q392*F392*M392*S392*U392)</f>
        <v>-7.18544184597112</v>
      </c>
      <c r="Y392" s="0" t="n">
        <f aca="false">(180/Pi)*(D392+H392+N392+P392+R392+T392+V392)</f>
        <v>-247.212872046107</v>
      </c>
      <c r="Z392" s="0" t="n">
        <f aca="false">Y392+180</f>
        <v>-67.2128720461071</v>
      </c>
      <c r="AC392" s="0" t="n">
        <v>1</v>
      </c>
      <c r="AD392" s="0" t="n">
        <f aca="false">Rcea1_u*Cc1ea_u*A392*2*Pi</f>
        <v>21.741831757296</v>
      </c>
      <c r="AE392" s="0" t="n">
        <f aca="false">-Rcea1_u*Cc1ea_u*Cc2ea_u*(A392*2*Pi)^2</f>
        <v>-0.0182371623519508</v>
      </c>
      <c r="AF392" s="0" t="n">
        <f aca="false">(Cc2ea_u+Cc1ea_u)*A392*2*Pi</f>
        <v>0.00754924713795</v>
      </c>
      <c r="AG392" s="0" t="n">
        <f aca="false">AC392*AE392/(AE392^2+AF392^2)+AD392*AF392/(AE392^2+AF392^2)</f>
        <v>374.493923798376</v>
      </c>
      <c r="AH392" s="0" t="n">
        <f aca="false">AD392*AE392/(AE392^2+AF392^2)-AC392*AF392/(AE392^2+AF392^2)</f>
        <v>-1037.15063834249</v>
      </c>
      <c r="AJ392" s="0" t="n">
        <f aca="false">_Rfb1</f>
        <v>20000</v>
      </c>
      <c r="AK392" s="0" t="n">
        <f aca="false">_Rfb1*Rcea2_u*Cc3ea_u*A392*2*Pi</f>
        <v>1318825.51482528</v>
      </c>
      <c r="AL392" s="0" t="n">
        <v>1</v>
      </c>
      <c r="AM392" s="0" t="n">
        <f aca="false">(_Rfb1+Rcea2_u)*Cc3ea_u*A392*2*Pi</f>
        <v>24670.8949105413</v>
      </c>
      <c r="AN392" s="0" t="n">
        <f aca="false">AJ392*AL392/(AL392^2+AM392^2)+AK392*AM392/(AL392^2+AM392^2)</f>
        <v>53.4567687192747</v>
      </c>
      <c r="AO392" s="0" t="n">
        <f aca="false">AK392*AL392/(AL392^2+AM392^2)-AJ392*AM392/(AL392^2+AM392^2)</f>
        <v>-0.808505054381228</v>
      </c>
      <c r="AQ392" s="0" t="n">
        <f aca="false">Eadcg/(1+(Eadcg*A392/GBP)^2)</f>
        <v>0.0143733714023</v>
      </c>
      <c r="AR392" s="0" t="n">
        <f aca="false">-(A392*Eadcg*Eadcg/GBP)/(1+(Eadcg*A392/GBP)^2)</f>
        <v>-6.74154238882075</v>
      </c>
      <c r="AT392" s="0" t="n">
        <f aca="false">-AR392*AH392+AG392*AQ392</f>
        <v>-6986.61225172376</v>
      </c>
      <c r="AU392" s="0" t="n">
        <f aca="false">AQ392*AH392+AG392*AR392</f>
        <v>-2539.57401296759</v>
      </c>
      <c r="AV392" s="0" t="n">
        <f aca="false">ATAN2(AT392,AU392)</f>
        <v>-2.79294962072507</v>
      </c>
      <c r="AW392" s="0" t="n">
        <f aca="false">AG392-AH392*AO392/_Rfb2+AG392*AN392/_Rfb2+AN392-AO392*AR392+AQ392*AN392</f>
        <v>431.899787504837</v>
      </c>
      <c r="AX392" s="0" t="n">
        <f aca="false">AH392+AH392*AN392/_Rfb2+AG392*AO392/_Rfb2+AO392+AO392*AQ392+AN392*AR392</f>
        <v>-1423.4373125447</v>
      </c>
      <c r="AY392" s="0" t="n">
        <f aca="false">ATAN2(AW392,AX392)</f>
        <v>-1.27620459666495</v>
      </c>
      <c r="BA392" s="0" t="n">
        <f aca="false">SQRT(AT392^2+AU392^2)/SQRT(AW392^2+AX392^2)</f>
        <v>4.99748691646492</v>
      </c>
      <c r="BB392" s="0" t="n">
        <f aca="false">20*LOG(BA392)</f>
        <v>13.9750333159751</v>
      </c>
      <c r="BC392" s="0" t="n">
        <f aca="false">AV392-AY392</f>
        <v>-1.51674502406012</v>
      </c>
      <c r="BD392" s="0" t="n">
        <f aca="false">BC392*180/Pi-180</f>
        <v>-266.903088575415</v>
      </c>
      <c r="BF392" s="0" t="n">
        <f aca="false">20*LOG(BA392*J392*F392*C392)</f>
        <v>-19.4984366676343</v>
      </c>
      <c r="BG392" s="0" t="n">
        <f aca="false">(180/Pi)*(D392+H392+BC392)</f>
        <v>-264.836079116959</v>
      </c>
      <c r="BH392" s="0" t="n">
        <f aca="false">IF(BG392&gt;180,BG392-180,BG392+180)</f>
        <v>-84.8360791169591</v>
      </c>
      <c r="BI392" s="0" t="n">
        <f aca="false">IF(BH392&gt;180,BH392-360,BH392)</f>
        <v>-84.8360791169591</v>
      </c>
      <c r="BJ392" s="0" t="n">
        <f aca="false">SUM((BF393&lt;0)*(BF392&gt;0))*A392</f>
        <v>0</v>
      </c>
      <c r="BK392" s="0" t="n">
        <f aca="false">IF(BJ392&gt;0,BI392,0)</f>
        <v>0</v>
      </c>
      <c r="BM392" s="0" t="n">
        <f aca="false">20*LOG(J392*F392*C392)</f>
        <v>-33.4734699836093</v>
      </c>
      <c r="BN392" s="0" t="n">
        <f aca="false">(H392+D392)*180/Pi</f>
        <v>-177.932990541544</v>
      </c>
      <c r="BQ392" s="347" t="n">
        <f aca="false">20*LOG(BA392*7)</f>
        <v>30.8769941162602</v>
      </c>
      <c r="BR392" s="353"/>
      <c r="BS392" s="353"/>
      <c r="BT392" s="353" t="n">
        <v>660693.448</v>
      </c>
      <c r="BU392" s="353" t="n">
        <v>9.75209</v>
      </c>
      <c r="BV392" s="353" t="n">
        <v>112.872</v>
      </c>
      <c r="BY392" s="353"/>
      <c r="BZ392" s="353"/>
      <c r="CA392" s="353"/>
      <c r="CC392" s="353"/>
    </row>
    <row r="393" customFormat="false" ht="12.75" hidden="false" customHeight="false" outlineLevel="0" collapsed="false">
      <c r="A393" s="0" t="n">
        <f aca="false">A392+5000</f>
        <v>895000</v>
      </c>
      <c r="B393" s="0" t="n">
        <f aca="false">A393/1000</f>
        <v>895</v>
      </c>
      <c r="C393" s="0" t="n">
        <f aca="false">SQRT((A393/Fesr)^2+1)</f>
        <v>1.00001581147469</v>
      </c>
      <c r="D393" s="0" t="n">
        <f aca="false">ATAN(A393/Fesr)</f>
        <v>0.0056233915674556</v>
      </c>
      <c r="F393" s="0" t="n">
        <f aca="false">(Ro/(Ro+Rdcr))/SQRT((A393/(Q*Fo))^2+(1-(A393^2/Fo^2))^2)</f>
        <v>0.002329173881996</v>
      </c>
      <c r="G393" s="0" t="n">
        <f aca="false">-ATAN(A393*Fo/(Q*(Fo^2-A393^2)))</f>
        <v>0.0303131446372561</v>
      </c>
      <c r="H393" s="0" t="n">
        <f aca="false">IF(G393&gt;0,G393-Pi,G393)</f>
        <v>-3.11127950536274</v>
      </c>
      <c r="J393" s="0" t="n">
        <f aca="false">Vin/Vramp</f>
        <v>9</v>
      </c>
      <c r="M393" s="0" t="n">
        <f aca="false">1/(2*Pi*_Rfb1*(Cc1ea_u+Cc2ea_u)*A393)</f>
        <v>0.00658617600967335</v>
      </c>
      <c r="N393" s="0" t="n">
        <f aca="false">-Pi/2</f>
        <v>-1.570796325</v>
      </c>
      <c r="O393" s="0" t="n">
        <f aca="false">SQRT(1+(A393/Fz1_u)^2)</f>
        <v>21.8868335989593</v>
      </c>
      <c r="P393" s="0" t="n">
        <f aca="false">ATAN2(Fz1_u,A393)</f>
        <v>1.52509084612271</v>
      </c>
      <c r="Q393" s="0" t="n">
        <f aca="false">SQRT(1+(A393/Fz2_u)^2)</f>
        <v>24809.4954639001</v>
      </c>
      <c r="R393" s="0" t="n">
        <f aca="false">ATAN2(Fz2_u,A393)</f>
        <v>1.57075601964711</v>
      </c>
      <c r="S393" s="0" t="n">
        <f aca="false">1/SQRT(1+(A393/Fp1_u)^2)</f>
        <v>0.0150785732248216</v>
      </c>
      <c r="T393" s="0" t="n">
        <f aca="false">-ATAN2(Fp1_u,A393)</f>
        <v>-1.55571718212574</v>
      </c>
      <c r="U393" s="0" t="n">
        <f aca="false">1/SQRT(1+(A393/Fp2_u)^2)</f>
        <v>0.380648040453424</v>
      </c>
      <c r="V393" s="0" t="n">
        <f aca="false">-ATAN2(Fp2_u,A393)</f>
        <v>-1.18029933490393</v>
      </c>
      <c r="X393" s="0" t="n">
        <f aca="false">20*LOG(C393*J393*O393*Q393*F393*M393*S393*U393)</f>
        <v>-7.32461326686548</v>
      </c>
      <c r="Y393" s="0" t="n">
        <f aca="false">(180/Pi)*(D393+H393+N393+P393+R393+T393+V393)</f>
        <v>-247.324227795709</v>
      </c>
      <c r="Z393" s="0" t="n">
        <f aca="false">Y393+180</f>
        <v>-67.3242277957086</v>
      </c>
      <c r="AC393" s="0" t="n">
        <v>1</v>
      </c>
      <c r="AD393" s="0" t="n">
        <f aca="false">Rcea1_u*Cc1ea_u*A393*2*Pi</f>
        <v>21.863976879528</v>
      </c>
      <c r="AE393" s="0" t="n">
        <f aca="false">-Rcea1_u*Cc1ea_u*Cc2ea_u*(A393*2*Pi)^2</f>
        <v>-0.0184426498838169</v>
      </c>
      <c r="AF393" s="0" t="n">
        <f aca="false">(Cc2ea_u+Cc1ea_u)*A393*2*Pi</f>
        <v>0.007591658638725</v>
      </c>
      <c r="AG393" s="0" t="n">
        <f aca="false">AC393*AE393/(AE393^2+AF393^2)+AD393*AF393/(AE393^2+AF393^2)</f>
        <v>370.925902594641</v>
      </c>
      <c r="AH393" s="0" t="n">
        <f aca="false">AD393*AE393/(AE393^2+AF393^2)-AC393*AF393/(AE393^2+AF393^2)</f>
        <v>-1032.8252266765</v>
      </c>
      <c r="AJ393" s="0" t="n">
        <f aca="false">_Rfb1</f>
        <v>20000</v>
      </c>
      <c r="AK393" s="0" t="n">
        <f aca="false">_Rfb1*Rcea2_u*Cc3ea_u*A393*2*Pi</f>
        <v>1326234.64693104</v>
      </c>
      <c r="AL393" s="0" t="n">
        <v>1</v>
      </c>
      <c r="AM393" s="0" t="n">
        <f aca="false">(_Rfb1+Rcea2_u)*Cc3ea_u*A393*2*Pi</f>
        <v>24809.4954437465</v>
      </c>
      <c r="AN393" s="0" t="n">
        <f aca="false">AJ393*AL393/(AL393^2+AM393^2)+AK393*AM393/(AL393^2+AM393^2)</f>
        <v>53.4567683541342</v>
      </c>
      <c r="AO393" s="0" t="n">
        <f aca="false">AK393*AL393/(AL393^2+AM393^2)-AJ393*AM393/(AL393^2+AM393^2)</f>
        <v>-0.803988266382643</v>
      </c>
      <c r="AQ393" s="0" t="n">
        <f aca="false">Eadcg/(1+(Eadcg*A393/GBP)^2)</f>
        <v>0.0142132243867449</v>
      </c>
      <c r="AR393" s="0" t="n">
        <f aca="false">-(A393*Eadcg*Eadcg/GBP)/(1+(Eadcg*A393/GBP)^2)</f>
        <v>-6.70388048037402</v>
      </c>
      <c r="AT393" s="0" t="n">
        <f aca="false">-AR393*AH393+AG393*AQ393</f>
        <v>-6918.66482367002</v>
      </c>
      <c r="AU393" s="0" t="n">
        <f aca="false">AQ393*AH393+AG393*AR393</f>
        <v>-2501.32269476837</v>
      </c>
      <c r="AV393" s="0" t="n">
        <f aca="false">ATAN2(AT393,AU393)</f>
        <v>-2.79468099671326</v>
      </c>
      <c r="AW393" s="0" t="n">
        <f aca="false">AG393-AH393*AO393/_Rfb2+AG393*AN393/_Rfb2+AN393-AO393*AR393+AQ393*AN393</f>
        <v>428.301777056565</v>
      </c>
      <c r="AX393" s="0" t="n">
        <f aca="false">AH393+AH393*AN393/_Rfb2+AG393*AO393/_Rfb2+AO393+AO393*AQ393+AN393*AR393</f>
        <v>-1416.98780165643</v>
      </c>
      <c r="AY393" s="0" t="n">
        <f aca="false">ATAN2(AW393,AX393)</f>
        <v>-1.27726546120832</v>
      </c>
      <c r="BA393" s="0" t="n">
        <f aca="false">SQRT(AT393^2+AU393^2)/SQRT(AW393^2+AX393^2)</f>
        <v>4.96988678305908</v>
      </c>
      <c r="BB393" s="0" t="n">
        <f aca="false">20*LOG(BA393)</f>
        <v>13.9269299072512</v>
      </c>
      <c r="BC393" s="0" t="n">
        <f aca="false">AV393-AY393</f>
        <v>-1.51741553550494</v>
      </c>
      <c r="BD393" s="0" t="n">
        <f aca="false">BC393*180/Pi-180</f>
        <v>-266.941506051362</v>
      </c>
      <c r="BF393" s="0" t="n">
        <f aca="false">20*LOG(BA393*J393*F393*C393)</f>
        <v>-19.6440443375829</v>
      </c>
      <c r="BG393" s="0" t="n">
        <f aca="false">(180/Pi)*(D393+H393+BC393)</f>
        <v>-264.88249419416</v>
      </c>
      <c r="BH393" s="0" t="n">
        <f aca="false">IF(BG393&gt;180,BG393-180,BG393+180)</f>
        <v>-84.8824941941601</v>
      </c>
      <c r="BI393" s="0" t="n">
        <f aca="false">IF(BH393&gt;180,BH393-360,BH393)</f>
        <v>-84.8824941941601</v>
      </c>
      <c r="BJ393" s="0" t="n">
        <f aca="false">SUM((BF394&lt;0)*(BF393&gt;0))*A393</f>
        <v>0</v>
      </c>
      <c r="BK393" s="0" t="n">
        <f aca="false">IF(BJ393&gt;0,BI393,0)</f>
        <v>0</v>
      </c>
      <c r="BM393" s="0" t="n">
        <f aca="false">20*LOG(J393*F393*C393)</f>
        <v>-33.5709742448341</v>
      </c>
      <c r="BN393" s="0" t="n">
        <f aca="false">(H393+D393)*180/Pi</f>
        <v>-177.940988142798</v>
      </c>
      <c r="BQ393" s="347" t="n">
        <f aca="false">20*LOG(BA393*7)</f>
        <v>30.8288907075363</v>
      </c>
      <c r="BR393" s="353"/>
      <c r="BS393" s="353"/>
      <c r="BT393" s="353" t="n">
        <v>676082.975</v>
      </c>
      <c r="BU393" s="353" t="n">
        <v>9.5118</v>
      </c>
      <c r="BV393" s="353" t="n">
        <v>110.592</v>
      </c>
      <c r="BY393" s="353"/>
      <c r="BZ393" s="353"/>
      <c r="CA393" s="353"/>
      <c r="CC393" s="353"/>
    </row>
    <row r="394" customFormat="false" ht="12.75" hidden="false" customHeight="false" outlineLevel="0" collapsed="false">
      <c r="A394" s="0" t="n">
        <f aca="false">A393+5000</f>
        <v>900000</v>
      </c>
      <c r="B394" s="0" t="n">
        <f aca="false">A394/1000</f>
        <v>900</v>
      </c>
      <c r="C394" s="0" t="n">
        <f aca="false">SQRT((A394/Fesr)^2+1)</f>
        <v>1.00001598863128</v>
      </c>
      <c r="D394" s="0" t="n">
        <f aca="false">ATAN(A394/Fesr)</f>
        <v>0.0056548064949548</v>
      </c>
      <c r="F394" s="0" t="n">
        <f aca="false">(Ro/(Ro+Rdcr))/SQRT((A394/(Q*Fo))^2+(1-(A394^2/Fo^2))^2)</f>
        <v>0.00230331791012292</v>
      </c>
      <c r="G394" s="0" t="n">
        <f aca="false">-ATAN(A394*Fo/(Q*(Fo^2-A394^2)))</f>
        <v>0.0301440567632969</v>
      </c>
      <c r="H394" s="0" t="n">
        <f aca="false">IF(G394&gt;0,G394-Pi,G394)</f>
        <v>-3.1114485932367</v>
      </c>
      <c r="J394" s="0" t="n">
        <f aca="false">Vin/Vramp</f>
        <v>9</v>
      </c>
      <c r="M394" s="0" t="n">
        <f aca="false">1/(2*Pi*_Rfb1*(Cc1ea_u+Cc2ea_u)*A394)</f>
        <v>0.00654958614295294</v>
      </c>
      <c r="N394" s="0" t="n">
        <f aca="false">-Pi/2</f>
        <v>-1.570796325</v>
      </c>
      <c r="O394" s="0" t="n">
        <f aca="false">SQRT(1+(A394/Fz1_u)^2)</f>
        <v>22.008851870924</v>
      </c>
      <c r="P394" s="0" t="n">
        <f aca="false">ATAN2(Fz1_u,A394)</f>
        <v>1.52534441491934</v>
      </c>
      <c r="Q394" s="0" t="n">
        <f aca="false">SQRT(1+(A394/Fz2_u)^2)</f>
        <v>24948.0959969934</v>
      </c>
      <c r="R394" s="0" t="n">
        <f aca="false">ATAN2(Fz2_u,A394)</f>
        <v>1.5707562435757</v>
      </c>
      <c r="S394" s="0" t="n">
        <f aca="false">1/SQRT(1+(A394/Fp1_u)^2)</f>
        <v>0.0149948222613796</v>
      </c>
      <c r="T394" s="0" t="n">
        <f aca="false">-ATAN2(Fp1_u,A394)</f>
        <v>-1.55580094255895</v>
      </c>
      <c r="U394" s="0" t="n">
        <f aca="false">1/SQRT(1+(A394/Fp2_u)^2)</f>
        <v>0.378837553541498</v>
      </c>
      <c r="V394" s="0" t="n">
        <f aca="false">-ATAN2(Fp2_u,A394)</f>
        <v>-1.18225642364291</v>
      </c>
      <c r="X394" s="0" t="n">
        <f aca="false">20*LOG(C394*J394*O394*Q394*F394*M394*S394*U394)</f>
        <v>-7.4630732826819</v>
      </c>
      <c r="Y394" s="0" t="n">
        <f aca="false">(180/Pi)*(D394+H394+N394+P394+R394+T394+V394)</f>
        <v>-247.434506666783</v>
      </c>
      <c r="Z394" s="0" t="n">
        <f aca="false">Y394+180</f>
        <v>-67.4345066667832</v>
      </c>
      <c r="AC394" s="0" t="n">
        <v>1</v>
      </c>
      <c r="AD394" s="0" t="n">
        <f aca="false">Rcea1_u*Cc1ea_u*A394*2*Pi</f>
        <v>21.98612200176</v>
      </c>
      <c r="AE394" s="0" t="n">
        <f aca="false">-Rcea1_u*Cc1ea_u*Cc2ea_u*(A394*2*Pi)^2</f>
        <v>-0.0186492886063378</v>
      </c>
      <c r="AF394" s="0" t="n">
        <f aca="false">(Cc2ea_u+Cc1ea_u)*A394*2*Pi</f>
        <v>0.0076340701395</v>
      </c>
      <c r="AG394" s="0" t="n">
        <f aca="false">AC394*AE394/(AE394^2+AF394^2)+AD394*AF394/(AE394^2+AF394^2)</f>
        <v>367.405803451667</v>
      </c>
      <c r="AH394" s="0" t="n">
        <f aca="false">AD394*AE394/(AE394^2+AF394^2)-AC394*AF394/(AE394^2+AF394^2)</f>
        <v>-1028.52825828606</v>
      </c>
      <c r="AJ394" s="0" t="n">
        <f aca="false">_Rfb1</f>
        <v>20000</v>
      </c>
      <c r="AK394" s="0" t="n">
        <f aca="false">_Rfb1*Rcea2_u*Cc3ea_u*A394*2*Pi</f>
        <v>1333643.7790368</v>
      </c>
      <c r="AL394" s="0" t="n">
        <v>1</v>
      </c>
      <c r="AM394" s="0" t="n">
        <f aca="false">(_Rfb1+Rcea2_u)*Cc3ea_u*A394*2*Pi</f>
        <v>24948.0959769518</v>
      </c>
      <c r="AN394" s="0" t="n">
        <f aca="false">AJ394*AL394/(AL394^2+AM394^2)+AK394*AM394/(AL394^2+AM394^2)</f>
        <v>53.4567679950624</v>
      </c>
      <c r="AO394" s="0" t="n">
        <f aca="false">AK394*AL394/(AL394^2+AM394^2)-AJ394*AM394/(AL394^2+AM394^2)</f>
        <v>-0.799521664917132</v>
      </c>
      <c r="AQ394" s="0" t="n">
        <f aca="false">Eadcg/(1+(Eadcg*A394/GBP)^2)</f>
        <v>0.0140557390511594</v>
      </c>
      <c r="AR394" s="0" t="n">
        <f aca="false">-(A394*Eadcg*Eadcg/GBP)/(1+(Eadcg*A394/GBP)^2)</f>
        <v>-6.66663703196489</v>
      </c>
      <c r="AT394" s="0" t="n">
        <f aca="false">-AR394*AH394+AG394*AQ394</f>
        <v>-6851.66041501299</v>
      </c>
      <c r="AU394" s="0" t="n">
        <f aca="false">AQ394*AH394+AG394*AR394</f>
        <v>-2463.81785985491</v>
      </c>
      <c r="AV394" s="0" t="n">
        <f aca="false">ATAN2(AT394,AU394)</f>
        <v>-2.79639629520761</v>
      </c>
      <c r="AW394" s="0" t="n">
        <f aca="false">AG394-AH394*AO394/_Rfb2+AG394*AN394/_Rfb2+AN394-AO394*AR394+AQ394*AN394</f>
        <v>424.751923365345</v>
      </c>
      <c r="AX394" s="0" t="n">
        <f aca="false">AH394+AH394*AN394/_Rfb2+AG394*AO394/_Rfb2+AO394+AO394*AQ394+AN394*AR394</f>
        <v>-1410.58988236456</v>
      </c>
      <c r="AY394" s="0" t="n">
        <f aca="false">ATAN2(AW394,AX394)</f>
        <v>-1.27831551263253</v>
      </c>
      <c r="BA394" s="0" t="n">
        <f aca="false">SQRT(AT394^2+AU394^2)/SQRT(AW394^2+AX394^2)</f>
        <v>4.94258743915183</v>
      </c>
      <c r="BB394" s="0" t="n">
        <f aca="false">20*LOG(BA394)</f>
        <v>13.8790872228613</v>
      </c>
      <c r="BC394" s="0" t="n">
        <f aca="false">AV394-AY394</f>
        <v>-1.51808078257508</v>
      </c>
      <c r="BD394" s="0" t="n">
        <f aca="false">BC394*180/Pi-180</f>
        <v>-266.979621900858</v>
      </c>
      <c r="BF394" s="0" t="n">
        <f aca="false">20*LOG(BA394*J394*F394*C394)</f>
        <v>-19.7888460221376</v>
      </c>
      <c r="BG394" s="0" t="n">
        <f aca="false">(180/Pi)*(D394+H394+BC394)</f>
        <v>-264.92849812245</v>
      </c>
      <c r="BH394" s="0" t="n">
        <f aca="false">IF(BG394&gt;180,BG394-180,BG394+180)</f>
        <v>-84.9284981224504</v>
      </c>
      <c r="BI394" s="0" t="n">
        <f aca="false">IF(BH394&gt;180,BH394-360,BH394)</f>
        <v>-84.9284981224504</v>
      </c>
      <c r="BJ394" s="0" t="n">
        <f aca="false">SUM((BF395&lt;0)*(BF394&gt;0))*A394</f>
        <v>0</v>
      </c>
      <c r="BK394" s="0" t="n">
        <f aca="false">IF(BJ394&gt;0,BI394,0)</f>
        <v>0</v>
      </c>
      <c r="BM394" s="0" t="n">
        <f aca="false">20*LOG(J394*F394*C394)</f>
        <v>-33.667933244999</v>
      </c>
      <c r="BN394" s="0" t="n">
        <f aca="false">(H394+D394)*180/Pi</f>
        <v>-177.948876221592</v>
      </c>
      <c r="BQ394" s="347" t="n">
        <f aca="false">20*LOG(BA394*7)</f>
        <v>30.7810480231465</v>
      </c>
      <c r="BR394" s="353"/>
      <c r="BS394" s="353"/>
      <c r="BT394" s="353" t="n">
        <v>691830.971</v>
      </c>
      <c r="BU394" s="353" t="n">
        <v>9.28308</v>
      </c>
      <c r="BV394" s="353" t="n">
        <v>111.013</v>
      </c>
      <c r="BY394" s="353"/>
      <c r="BZ394" s="353"/>
      <c r="CA394" s="353"/>
      <c r="CC394" s="353"/>
    </row>
    <row r="395" customFormat="false" ht="12.75" hidden="false" customHeight="false" outlineLevel="0" collapsed="false">
      <c r="A395" s="0" t="n">
        <f aca="false">A394+5000</f>
        <v>905000</v>
      </c>
      <c r="B395" s="0" t="n">
        <f aca="false">A395/1000</f>
        <v>905</v>
      </c>
      <c r="C395" s="0" t="n">
        <f aca="false">SQRT((A395/Fesr)^2+1)</f>
        <v>1.00001616677477</v>
      </c>
      <c r="D395" s="0" t="n">
        <f aca="false">ATAN(A395/Fesr)</f>
        <v>0.00568622141129246</v>
      </c>
      <c r="F395" s="0" t="n">
        <f aca="false">(Ro/(Ro+Rdcr))/SQRT((A395/(Q*Fo))^2+(1-(A395^2/Fo^2))^2)</f>
        <v>0.00227789035911805</v>
      </c>
      <c r="G395" s="0" t="n">
        <f aca="false">-ATAN(A395*Fo/(Q*(Fo^2-A395^2)))</f>
        <v>0.0299768484912524</v>
      </c>
      <c r="H395" s="0" t="n">
        <f aca="false">IF(G395&gt;0,G395-Pi,G395)</f>
        <v>-3.11161580150875</v>
      </c>
      <c r="J395" s="0" t="n">
        <f aca="false">Vin/Vramp</f>
        <v>9</v>
      </c>
      <c r="M395" s="0" t="n">
        <f aca="false">1/(2*Pi*_Rfb1*(Cc1ea_u+Cc2ea_u)*A395)</f>
        <v>0.00651340058415209</v>
      </c>
      <c r="N395" s="0" t="n">
        <f aca="false">-Pi/2</f>
        <v>-1.570796325</v>
      </c>
      <c r="O395" s="0" t="n">
        <f aca="false">SQRT(1+(A395/Fz1_u)^2)</f>
        <v>22.1308715423904</v>
      </c>
      <c r="P395" s="0" t="n">
        <f aca="false">ATAN2(Fz1_u,A395)</f>
        <v>1.52559518760335</v>
      </c>
      <c r="Q395" s="0" t="n">
        <f aca="false">SQRT(1+(A395/Fz2_u)^2)</f>
        <v>25086.696530088</v>
      </c>
      <c r="R395" s="0" t="n">
        <f aca="false">ATAN2(Fz2_u,A395)</f>
        <v>1.57075646502995</v>
      </c>
      <c r="S395" s="0" t="n">
        <f aca="false">1/SQRT(1+(A395/Fp1_u)^2)</f>
        <v>0.0149119964125501</v>
      </c>
      <c r="T395" s="0" t="n">
        <f aca="false">-ATAN2(Fp1_u,A395)</f>
        <v>-1.55588377766947</v>
      </c>
      <c r="U395" s="0" t="n">
        <f aca="false">1/SQRT(1+(A395/Fp2_u)^2)</f>
        <v>0.377042783939795</v>
      </c>
      <c r="V395" s="0" t="n">
        <f aca="false">-ATAN2(Fp2_u,A395)</f>
        <v>-1.18419497605685</v>
      </c>
      <c r="X395" s="0" t="n">
        <f aca="false">20*LOG(C395*J395*O395*Q395*F395*M395*S395*U395)</f>
        <v>-7.60082893287984</v>
      </c>
      <c r="Y395" s="0" t="n">
        <f aca="false">(180/Pi)*(D395+H395+N395+P395+R395+T395+V395)</f>
        <v>-247.543723122183</v>
      </c>
      <c r="Z395" s="0" t="n">
        <f aca="false">Y395+180</f>
        <v>-67.5437231221829</v>
      </c>
      <c r="AC395" s="0" t="n">
        <v>1</v>
      </c>
      <c r="AD395" s="0" t="n">
        <f aca="false">Rcea1_u*Cc1ea_u*A395*2*Pi</f>
        <v>22.108267123992</v>
      </c>
      <c r="AE395" s="0" t="n">
        <f aca="false">-Rcea1_u*Cc1ea_u*Cc2ea_u*(A395*2*Pi)^2</f>
        <v>-0.0188570785195133</v>
      </c>
      <c r="AF395" s="0" t="n">
        <f aca="false">(Cc2ea_u+Cc1ea_u)*A395*2*Pi</f>
        <v>0.007676481640275</v>
      </c>
      <c r="AG395" s="0" t="n">
        <f aca="false">AC395*AE395/(AE395^2+AF395^2)+AD395*AF395/(AE395^2+AF395^2)</f>
        <v>363.932827957941</v>
      </c>
      <c r="AH395" s="0" t="n">
        <f aca="false">AD395*AE395/(AE395^2+AF395^2)-AC395*AF395/(AE395^2+AF395^2)</f>
        <v>-1024.25958675904</v>
      </c>
      <c r="AJ395" s="0" t="n">
        <f aca="false">_Rfb1</f>
        <v>20000</v>
      </c>
      <c r="AK395" s="0" t="n">
        <f aca="false">_Rfb1*Rcea2_u*Cc3ea_u*A395*2*Pi</f>
        <v>1341052.91114256</v>
      </c>
      <c r="AL395" s="0" t="n">
        <v>1</v>
      </c>
      <c r="AM395" s="0" t="n">
        <f aca="false">(_Rfb1+Rcea2_u)*Cc3ea_u*A395*2*Pi</f>
        <v>25086.6965101571</v>
      </c>
      <c r="AN395" s="0" t="n">
        <f aca="false">AJ395*AL395/(AL395^2+AM395^2)+AK395*AM395/(AL395^2+AM395^2)</f>
        <v>53.4567676419257</v>
      </c>
      <c r="AO395" s="0" t="n">
        <f aca="false">AK395*AL395/(AL395^2+AM395^2)-AJ395*AM395/(AL395^2+AM395^2)</f>
        <v>-0.795104418163711</v>
      </c>
      <c r="AQ395" s="0" t="n">
        <f aca="false">Eadcg/(1+(Eadcg*A395/GBP)^2)</f>
        <v>0.0139008567371122</v>
      </c>
      <c r="AR395" s="0" t="n">
        <f aca="false">-(A395*Eadcg*Eadcg/GBP)/(1+(Eadcg*A395/GBP)^2)</f>
        <v>-6.62980510791463</v>
      </c>
      <c r="AT395" s="0" t="n">
        <f aca="false">-AR395*AH395+AG395*AQ395</f>
        <v>-6785.58246202224</v>
      </c>
      <c r="AU395" s="0" t="n">
        <f aca="false">AQ395*AH395+AG395*AR395</f>
        <v>-2427.04180751053</v>
      </c>
      <c r="AV395" s="0" t="n">
        <f aca="false">ATAN2(AT395,AU395)</f>
        <v>-2.79809572334035</v>
      </c>
      <c r="AW395" s="0" t="n">
        <f aca="false">AG395-AH395*AO395/_Rfb2+AG395*AN395/_Rfb2+AN395-AO395*AR395+AQ395*AN395</f>
        <v>421.249428820006</v>
      </c>
      <c r="AX395" s="0" t="n">
        <f aca="false">AH395+AH395*AN395/_Rfb2+AG395*AO395/_Rfb2+AO395+AO395*AQ395+AN395*AR395</f>
        <v>-1404.24303207507</v>
      </c>
      <c r="AY395" s="0" t="n">
        <f aca="false">ATAN2(AW395,AX395)</f>
        <v>-1.27935487305172</v>
      </c>
      <c r="BA395" s="0" t="n">
        <f aca="false">SQRT(AT395^2+AU395^2)/SQRT(AW395^2+AX395^2)</f>
        <v>4.91558402197907</v>
      </c>
      <c r="BB395" s="0" t="n">
        <f aca="false">20*LOG(BA395)</f>
        <v>13.8315024777674</v>
      </c>
      <c r="BC395" s="0" t="n">
        <f aca="false">AV395-AY395</f>
        <v>-1.51874085028863</v>
      </c>
      <c r="BD395" s="0" t="n">
        <f aca="false">BC395*180/Pi-180</f>
        <v>-267.01744099508</v>
      </c>
      <c r="BF395" s="0" t="n">
        <f aca="false">20*LOG(BA395*J395*F395*C395)</f>
        <v>-19.9328505816563</v>
      </c>
      <c r="BG395" s="0" t="n">
        <f aca="false">(180/Pi)*(D395+H395+BC395)</f>
        <v>-264.97409760285</v>
      </c>
      <c r="BH395" s="0" t="n">
        <f aca="false">IF(BG395&gt;180,BG395-180,BG395+180)</f>
        <v>-84.9740976028496</v>
      </c>
      <c r="BI395" s="0" t="n">
        <f aca="false">IF(BH395&gt;180,BH395-360,BH395)</f>
        <v>-84.9740976028496</v>
      </c>
      <c r="BJ395" s="0" t="n">
        <f aca="false">SUM((BF396&lt;0)*(BF395&gt;0))*A395</f>
        <v>0</v>
      </c>
      <c r="BK395" s="0" t="n">
        <f aca="false">IF(BJ395&gt;0,BI395,0)</f>
        <v>0</v>
      </c>
      <c r="BM395" s="0" t="n">
        <f aca="false">20*LOG(J395*F395*C395)</f>
        <v>-33.7643530594237</v>
      </c>
      <c r="BN395" s="0" t="n">
        <f aca="false">(H395+D395)*180/Pi</f>
        <v>-177.956656607769</v>
      </c>
      <c r="BQ395" s="347" t="n">
        <f aca="false">20*LOG(BA395*7)</f>
        <v>30.7334632780525</v>
      </c>
      <c r="BR395" s="353"/>
      <c r="BS395" s="353"/>
      <c r="BT395" s="353" t="n">
        <v>707945.784</v>
      </c>
      <c r="BU395" s="353" t="n">
        <v>9.10029</v>
      </c>
      <c r="BV395" s="353" t="n">
        <v>109.21</v>
      </c>
      <c r="BY395" s="353"/>
      <c r="BZ395" s="353"/>
      <c r="CA395" s="353"/>
      <c r="CC395" s="353"/>
    </row>
    <row r="396" customFormat="false" ht="12.75" hidden="false" customHeight="false" outlineLevel="0" collapsed="false">
      <c r="A396" s="0" t="n">
        <f aca="false">A395+5000</f>
        <v>910000</v>
      </c>
      <c r="B396" s="0" t="n">
        <f aca="false">A396/1000</f>
        <v>910</v>
      </c>
      <c r="C396" s="0" t="n">
        <f aca="false">SQRT((A396/Fesr)^2+1)</f>
        <v>1.00001634590518</v>
      </c>
      <c r="D396" s="0" t="n">
        <f aca="false">ATAN(A396/Fesr)</f>
        <v>0.00571763631640657</v>
      </c>
      <c r="F396" s="0" t="n">
        <f aca="false">(Ro/(Ro+Rdcr))/SQRT((A396/(Q*Fo))^2+(1-(A396^2/Fo^2))^2)</f>
        <v>0.00225288181037473</v>
      </c>
      <c r="G396" s="0" t="n">
        <f aca="false">-ATAN(A396*Fo/(Q*(Fo^2-A396^2)))</f>
        <v>0.0298114885932603</v>
      </c>
      <c r="H396" s="0" t="n">
        <f aca="false">IF(G396&gt;0,G396-Pi,G396)</f>
        <v>-3.11178116140674</v>
      </c>
      <c r="J396" s="0" t="n">
        <f aca="false">Vin/Vramp</f>
        <v>9</v>
      </c>
      <c r="M396" s="0" t="n">
        <f aca="false">1/(2*Pi*_Rfb1*(Cc1ea_u+Cc2ea_u)*A396)</f>
        <v>0.00647761266885455</v>
      </c>
      <c r="N396" s="0" t="n">
        <f aca="false">-Pi/2</f>
        <v>-1.570796325</v>
      </c>
      <c r="O396" s="0" t="n">
        <f aca="false">SQRT(1+(A396/Fz1_u)^2)</f>
        <v>22.2528925903368</v>
      </c>
      <c r="P396" s="0" t="n">
        <f aca="false">ATAN2(Fz1_u,A396)</f>
        <v>1.5258432101394</v>
      </c>
      <c r="Q396" s="0" t="n">
        <f aca="false">SQRT(1+(A396/Fz2_u)^2)</f>
        <v>25225.2970631838</v>
      </c>
      <c r="R396" s="0" t="n">
        <f aca="false">ATAN2(Fz2_u,A396)</f>
        <v>1.57075668405064</v>
      </c>
      <c r="S396" s="0" t="n">
        <f aca="false">1/SQRT(1+(A396/Fp1_u)^2)</f>
        <v>0.0148300804359551</v>
      </c>
      <c r="T396" s="0" t="n">
        <f aca="false">-ATAN2(Fp1_u,A396)</f>
        <v>-1.55596570270536</v>
      </c>
      <c r="U396" s="0" t="n">
        <f aca="false">1/SQRT(1+(A396/Fp2_u)^2)</f>
        <v>0.375263549501277</v>
      </c>
      <c r="V396" s="0" t="n">
        <f aca="false">-ATAN2(Fp2_u,A396)</f>
        <v>-1.18611523988602</v>
      </c>
      <c r="X396" s="0" t="n">
        <f aca="false">20*LOG(C396*J396*O396*Q396*F396*M396*S396*U396)</f>
        <v>-7.73788715424987</v>
      </c>
      <c r="Y396" s="0" t="n">
        <f aca="false">(180/Pi)*(D396+H396+N396+P396+R396+T396+V396)</f>
        <v>-247.65189138334</v>
      </c>
      <c r="Z396" s="0" t="n">
        <f aca="false">Y396+180</f>
        <v>-67.6518913833403</v>
      </c>
      <c r="AC396" s="0" t="n">
        <v>1</v>
      </c>
      <c r="AD396" s="0" t="n">
        <f aca="false">Rcea1_u*Cc1ea_u*A396*2*Pi</f>
        <v>22.230412246224</v>
      </c>
      <c r="AE396" s="0" t="n">
        <f aca="false">-Rcea1_u*Cc1ea_u*Cc2ea_u*(A396*2*Pi)^2</f>
        <v>-0.0190660196233436</v>
      </c>
      <c r="AF396" s="0" t="n">
        <f aca="false">(Cc2ea_u+Cc1ea_u)*A396*2*Pi</f>
        <v>0.00771889314105</v>
      </c>
      <c r="AG396" s="0" t="n">
        <f aca="false">AC396*AE396/(AE396^2+AF396^2)+AD396*AF396/(AE396^2+AF396^2)</f>
        <v>360.506192855802</v>
      </c>
      <c r="AH396" s="0" t="n">
        <f aca="false">AD396*AE396/(AE396^2+AF396^2)-AC396*AF396/(AE396^2+AF396^2)</f>
        <v>-1020.01906276612</v>
      </c>
      <c r="AJ396" s="0" t="n">
        <f aca="false">_Rfb1</f>
        <v>20000</v>
      </c>
      <c r="AK396" s="0" t="n">
        <f aca="false">_Rfb1*Rcea2_u*Cc3ea_u*A396*2*Pi</f>
        <v>1348462.04324832</v>
      </c>
      <c r="AL396" s="0" t="n">
        <v>1</v>
      </c>
      <c r="AM396" s="0" t="n">
        <f aca="false">(_Rfb1+Rcea2_u)*Cc3ea_u*A396*2*Pi</f>
        <v>25225.2970433624</v>
      </c>
      <c r="AN396" s="0" t="n">
        <f aca="false">AJ396*AL396/(AL396^2+AM396^2)+AK396*AM396/(AL396^2+AM396^2)</f>
        <v>53.4567672945939</v>
      </c>
      <c r="AO396" s="0" t="n">
        <f aca="false">AK396*AL396/(AL396^2+AM396^2)-AJ396*AM396/(AL396^2+AM396^2)</f>
        <v>-0.790735712583174</v>
      </c>
      <c r="AQ396" s="0" t="n">
        <f aca="false">Eadcg/(1+(Eadcg*A396/GBP)^2)</f>
        <v>0.013748520393214</v>
      </c>
      <c r="AR396" s="0" t="n">
        <f aca="false">-(A396*Eadcg*Eadcg/GBP)/(1+(Eadcg*A396/GBP)^2)</f>
        <v>-6.59337792497364</v>
      </c>
      <c r="AT396" s="0" t="n">
        <f aca="false">-AR396*AH396+AG396*AQ396</f>
        <v>-6720.41474475004</v>
      </c>
      <c r="AU396" s="0" t="n">
        <f aca="false">AQ396*AH396+AG396*AR396</f>
        <v>-2390.97732667764</v>
      </c>
      <c r="AV396" s="0" t="n">
        <f aca="false">ATAN2(AT396,AU396)</f>
        <v>-2.79977948503241</v>
      </c>
      <c r="AW396" s="0" t="n">
        <f aca="false">AG396-AH396*AO396/_Rfb2+AG396*AN396/_Rfb2+AN396-AO396*AR396+AQ396*AN396</f>
        <v>417.793510785556</v>
      </c>
      <c r="AX396" s="0" t="n">
        <f aca="false">AH396+AH396*AN396/_Rfb2+AG396*AO396/_Rfb2+AO396+AO396*AQ396+AN396*AR396</f>
        <v>-1397.94673340343</v>
      </c>
      <c r="AY396" s="0" t="n">
        <f aca="false">ATAN2(AW396,AX396)</f>
        <v>-1.28038366317912</v>
      </c>
      <c r="BA396" s="0" t="n">
        <f aca="false">SQRT(AT396^2+AU396^2)/SQRT(AW396^2+AX396^2)</f>
        <v>4.88887177238179</v>
      </c>
      <c r="BB396" s="0" t="n">
        <f aca="false">20*LOG(BA396)</f>
        <v>13.7841729306835</v>
      </c>
      <c r="BC396" s="0" t="n">
        <f aca="false">AV396-AY396</f>
        <v>-1.51939582185329</v>
      </c>
      <c r="BD396" s="0" t="n">
        <f aca="false">BC396*180/Pi-180</f>
        <v>-267.05496810148</v>
      </c>
      <c r="BF396" s="0" t="n">
        <f aca="false">20*LOG(BA396*J396*F396*C396)</f>
        <v>-20.0760667315875</v>
      </c>
      <c r="BG396" s="0" t="n">
        <f aca="false">(180/Pi)*(D396+H396+BC396)</f>
        <v>-265.019299192037</v>
      </c>
      <c r="BH396" s="0" t="n">
        <f aca="false">IF(BG396&gt;180,BG396-180,BG396+180)</f>
        <v>-85.0192991920366</v>
      </c>
      <c r="BI396" s="0" t="n">
        <f aca="false">IF(BH396&gt;180,BH396-360,BH396)</f>
        <v>-85.0192991920366</v>
      </c>
      <c r="BJ396" s="0" t="n">
        <f aca="false">SUM((BF397&lt;0)*(BF396&gt;0))*A396</f>
        <v>0</v>
      </c>
      <c r="BK396" s="0" t="n">
        <f aca="false">IF(BJ396&gt;0,BI396,0)</f>
        <v>0</v>
      </c>
      <c r="BM396" s="0" t="n">
        <f aca="false">20*LOG(J396*F396*C396)</f>
        <v>-33.8602396622709</v>
      </c>
      <c r="BN396" s="0" t="n">
        <f aca="false">(H396+D396)*180/Pi</f>
        <v>-177.964331090557</v>
      </c>
      <c r="BQ396" s="347" t="n">
        <f aca="false">20*LOG(BA396*7)</f>
        <v>30.6861337309686</v>
      </c>
      <c r="BR396" s="353"/>
      <c r="BS396" s="353"/>
      <c r="BT396" s="353" t="n">
        <v>724435.96</v>
      </c>
      <c r="BU396" s="353" t="n">
        <v>8.79083</v>
      </c>
      <c r="BV396" s="353" t="n">
        <v>107.553</v>
      </c>
      <c r="BY396" s="353"/>
      <c r="BZ396" s="353"/>
      <c r="CA396" s="353"/>
      <c r="CC396" s="353"/>
    </row>
    <row r="397" customFormat="false" ht="12.75" hidden="false" customHeight="false" outlineLevel="0" collapsed="false">
      <c r="A397" s="0" t="n">
        <f aca="false">A396+5000</f>
        <v>915000</v>
      </c>
      <c r="B397" s="0" t="n">
        <f aca="false">A397/1000</f>
        <v>915</v>
      </c>
      <c r="C397" s="0" t="n">
        <f aca="false">SQRT((A397/Fesr)^2+1)</f>
        <v>1.0000165260225</v>
      </c>
      <c r="D397" s="0" t="n">
        <f aca="false">ATAN(A397/Fesr)</f>
        <v>0.00574905121023513</v>
      </c>
      <c r="F397" s="0" t="n">
        <f aca="false">(Ro/(Ro+Rdcr))/SQRT((A397/(Q*Fo))^2+(1-(A397^2/Fo^2))^2)</f>
        <v>0.002228283102852</v>
      </c>
      <c r="G397" s="0" t="n">
        <f aca="false">-ATAN(A397*Fo/(Q*(Fo^2-A397^2)))</f>
        <v>0.0296479465307069</v>
      </c>
      <c r="H397" s="0" t="n">
        <f aca="false">IF(G397&gt;0,G397-Pi,G397)</f>
        <v>-3.11194470346929</v>
      </c>
      <c r="J397" s="0" t="n">
        <f aca="false">Vin/Vramp</f>
        <v>9</v>
      </c>
      <c r="M397" s="0" t="n">
        <f aca="false">1/(2*Pi*_Rfb1*(Cc1ea_u+Cc2ea_u)*A397)</f>
        <v>0.00644221587831436</v>
      </c>
      <c r="N397" s="0" t="n">
        <f aca="false">-Pi/2</f>
        <v>-1.570796325</v>
      </c>
      <c r="O397" s="0" t="n">
        <f aca="false">SQRT(1+(A397/Fz1_u)^2)</f>
        <v>22.3749149922434</v>
      </c>
      <c r="P397" s="0" t="n">
        <f aca="false">ATAN2(Fz1_u,A397)</f>
        <v>1.52608852749079</v>
      </c>
      <c r="Q397" s="0" t="n">
        <f aca="false">SQRT(1+(A397/Fz2_u)^2)</f>
        <v>25363.8975962808</v>
      </c>
      <c r="R397" s="0" t="n">
        <f aca="false">ATAN2(Fz2_u,A397)</f>
        <v>1.57075690067766</v>
      </c>
      <c r="S397" s="0" t="n">
        <f aca="false">1/SQRT(1+(A397/Fp1_u)^2)</f>
        <v>0.0147490594221999</v>
      </c>
      <c r="T397" s="0" t="n">
        <f aca="false">-ATAN2(Fp1_u,A397)</f>
        <v>-1.55604673258151</v>
      </c>
      <c r="U397" s="0" t="n">
        <f aca="false">1/SQRT(1+(A397/Fp2_u)^2)</f>
        <v>0.373499670421711</v>
      </c>
      <c r="V397" s="0" t="n">
        <f aca="false">-ATAN2(Fp2_u,A397)</f>
        <v>-1.18801745875777</v>
      </c>
      <c r="X397" s="0" t="n">
        <f aca="false">20*LOG(C397*J397*O397*Q397*F397*M397*S397*U397)</f>
        <v>-7.87425478291481</v>
      </c>
      <c r="Y397" s="0" t="n">
        <f aca="false">(180/Pi)*(D397+H397+N397+P397+R397+T397+V397)</f>
        <v>-247.759025434879</v>
      </c>
      <c r="Z397" s="0" t="n">
        <f aca="false">Y397+180</f>
        <v>-67.7590254348793</v>
      </c>
      <c r="AC397" s="0" t="n">
        <v>1</v>
      </c>
      <c r="AD397" s="0" t="n">
        <f aca="false">Rcea1_u*Cc1ea_u*A397*2*Pi</f>
        <v>22.352557368456</v>
      </c>
      <c r="AE397" s="0" t="n">
        <f aca="false">-Rcea1_u*Cc1ea_u*Cc2ea_u*(A397*2*Pi)^2</f>
        <v>-0.0192761119178286</v>
      </c>
      <c r="AF397" s="0" t="n">
        <f aca="false">(Cc2ea_u+Cc1ea_u)*A397*2*Pi</f>
        <v>0.007761304641825</v>
      </c>
      <c r="AG397" s="0" t="n">
        <f aca="false">AC397*AE397/(AE397^2+AF397^2)+AD397*AF397/(AE397^2+AF397^2)</f>
        <v>357.125129741125</v>
      </c>
      <c r="AH397" s="0" t="n">
        <f aca="false">AD397*AE397/(AE397^2+AF397^2)-AC397*AF397/(AE397^2+AF397^2)</f>
        <v>-1015.80653426138</v>
      </c>
      <c r="AJ397" s="0" t="n">
        <f aca="false">_Rfb1</f>
        <v>20000</v>
      </c>
      <c r="AK397" s="0" t="n">
        <f aca="false">_Rfb1*Rcea2_u*Cc3ea_u*A397*2*Pi</f>
        <v>1355871.17535408</v>
      </c>
      <c r="AL397" s="0" t="n">
        <v>1</v>
      </c>
      <c r="AM397" s="0" t="n">
        <f aca="false">(_Rfb1+Rcea2_u)*Cc3ea_u*A397*2*Pi</f>
        <v>25363.8975765677</v>
      </c>
      <c r="AN397" s="0" t="n">
        <f aca="false">AJ397*AL397/(AL397^2+AM397^2)+AK397*AM397/(AL397^2+AM397^2)</f>
        <v>53.4567669529405</v>
      </c>
      <c r="AO397" s="0" t="n">
        <f aca="false">AK397*AL397/(AL397^2+AM397^2)-AJ397*AM397/(AL397^2+AM397^2)</f>
        <v>-0.786414752418594</v>
      </c>
      <c r="AQ397" s="0" t="n">
        <f aca="false">Eadcg/(1+(Eadcg*A397/GBP)^2)</f>
        <v>0.0135986745225721</v>
      </c>
      <c r="AR397" s="0" t="n">
        <f aca="false">-(A397*Eadcg*Eadcg/GBP)/(1+(Eadcg*A397/GBP)^2)</f>
        <v>-6.55734884815686</v>
      </c>
      <c r="AT397" s="0" t="n">
        <f aca="false">-AR397*AH397+AG397*AQ397</f>
        <v>-6656.14137898586</v>
      </c>
      <c r="AU397" s="0" t="n">
        <f aca="false">AQ397*AH397+AG397*AR397</f>
        <v>-2355.60768059316</v>
      </c>
      <c r="AV397" s="0" t="n">
        <f aca="false">ATAN2(AT397,AU397)</f>
        <v>-2.80144778104626</v>
      </c>
      <c r="AW397" s="0" t="n">
        <f aca="false">AG397-AH397*AO397/_Rfb2+AG397*AN397/_Rfb2+AN397-AO397*AR397+AQ397*AN397</f>
        <v>414.383401313201</v>
      </c>
      <c r="AX397" s="0" t="n">
        <f aca="false">AH397+AH397*AN397/_Rfb2+AG397*AO397/_Rfb2+AO397+AO397*AQ397+AN397*AR397</f>
        <v>-1391.7004741559</v>
      </c>
      <c r="AY397" s="0" t="n">
        <f aca="false">ATAN2(AW397,AX397)</f>
        <v>-1.28140200233222</v>
      </c>
      <c r="BA397" s="0" t="n">
        <f aca="false">SQRT(AT397^2+AU397^2)/SQRT(AW397^2+AX397^2)</f>
        <v>4.86244603207885</v>
      </c>
      <c r="BB397" s="0" t="n">
        <f aca="false">20*LOG(BA397)</f>
        <v>13.7370958831774</v>
      </c>
      <c r="BC397" s="0" t="n">
        <f aca="false">AV397-AY397</f>
        <v>-1.52004577871404</v>
      </c>
      <c r="BD397" s="0" t="n">
        <f aca="false">BC397*180/Pi-180</f>
        <v>-267.092207886509</v>
      </c>
      <c r="BF397" s="0" t="n">
        <f aca="false">20*LOG(BA397*J397*F397*C397)</f>
        <v>-20.2185030456063</v>
      </c>
      <c r="BG397" s="0" t="n">
        <f aca="false">(180/Pi)*(D397+H397+BC397)</f>
        <v>-265.064109306201</v>
      </c>
      <c r="BH397" s="0" t="n">
        <f aca="false">IF(BG397&gt;180,BG397-180,BG397+180)</f>
        <v>-85.0641093062012</v>
      </c>
      <c r="BI397" s="0" t="n">
        <f aca="false">IF(BH397&gt;180,BH397-360,BH397)</f>
        <v>-85.0641093062012</v>
      </c>
      <c r="BJ397" s="0" t="n">
        <f aca="false">SUM((BF398&lt;0)*(BF397&gt;0))*A397</f>
        <v>0</v>
      </c>
      <c r="BK397" s="0" t="n">
        <f aca="false">IF(BJ397&gt;0,BI397,0)</f>
        <v>0</v>
      </c>
      <c r="BM397" s="0" t="n">
        <f aca="false">20*LOG(J397*F397*C397)</f>
        <v>-33.9555989287837</v>
      </c>
      <c r="BN397" s="0" t="n">
        <f aca="false">(H397+D397)*180/Pi</f>
        <v>-177.971901419692</v>
      </c>
      <c r="BQ397" s="347" t="n">
        <f aca="false">20*LOG(BA397*7)</f>
        <v>30.6390566834625</v>
      </c>
      <c r="BR397" s="353"/>
      <c r="BS397" s="353"/>
      <c r="BT397" s="353" t="n">
        <v>741310.241</v>
      </c>
      <c r="BU397" s="353" t="n">
        <v>8.61503</v>
      </c>
      <c r="BV397" s="353" t="n">
        <v>107.324</v>
      </c>
      <c r="BY397" s="353"/>
      <c r="BZ397" s="353"/>
      <c r="CA397" s="353"/>
      <c r="CC397" s="353"/>
    </row>
    <row r="398" customFormat="false" ht="12.75" hidden="false" customHeight="false" outlineLevel="0" collapsed="false">
      <c r="A398" s="0" t="n">
        <f aca="false">A397+5000</f>
        <v>920000</v>
      </c>
      <c r="B398" s="0" t="n">
        <f aca="false">A398/1000</f>
        <v>920</v>
      </c>
      <c r="C398" s="0" t="n">
        <f aca="false">SQRT((A398/Fesr)^2+1)</f>
        <v>1.00001670712673</v>
      </c>
      <c r="D398" s="0" t="n">
        <f aca="false">ATAN(A398/Fesr)</f>
        <v>0.00578046609271615</v>
      </c>
      <c r="F398" s="0" t="n">
        <f aca="false">(Ro/(Ro+Rdcr))/SQRT((A398/(Q*Fo))^2+(1-(A398^2/Fo^2))^2)</f>
        <v>0.00220408532466345</v>
      </c>
      <c r="G398" s="0" t="n">
        <f aca="false">-ATAN(A398*Fo/(Q*(Fo^2-A398^2)))</f>
        <v>0.0294861924352812</v>
      </c>
      <c r="H398" s="0" t="n">
        <f aca="false">IF(G398&gt;0,G398-Pi,G398)</f>
        <v>-3.11210645756472</v>
      </c>
      <c r="J398" s="0" t="n">
        <f aca="false">Vin/Vramp</f>
        <v>9</v>
      </c>
      <c r="M398" s="0" t="n">
        <f aca="false">1/(2*Pi*_Rfb1*(Cc1ea_u+Cc2ea_u)*A398)</f>
        <v>0.00640720383549744</v>
      </c>
      <c r="N398" s="0" t="n">
        <f aca="false">-Pi/2</f>
        <v>-1.570796325</v>
      </c>
      <c r="O398" s="0" t="n">
        <f aca="false">SQRT(1+(A398/Fz1_u)^2)</f>
        <v>22.4969387260787</v>
      </c>
      <c r="P398" s="0" t="n">
        <f aca="false">ATAN2(Fz1_u,A398)</f>
        <v>1.52633118364665</v>
      </c>
      <c r="Q398" s="0" t="n">
        <f aca="false">SQRT(1+(A398/Fz2_u)^2)</f>
        <v>25502.4981293789</v>
      </c>
      <c r="R398" s="0" t="n">
        <f aca="false">ATAN2(Fz2_u,A398)</f>
        <v>1.57075711495003</v>
      </c>
      <c r="S398" s="0" t="n">
        <f aca="false">1/SQRT(1+(A398/Fp1_u)^2)</f>
        <v>0.014668918785831</v>
      </c>
      <c r="T398" s="0" t="n">
        <f aca="false">-ATAN2(Fp1_u,A398)</f>
        <v>-1.55612688188869</v>
      </c>
      <c r="U398" s="0" t="n">
        <f aca="false">1/SQRT(1+(A398/Fp2_u)^2)</f>
        <v>0.371750969215424</v>
      </c>
      <c r="V398" s="0" t="n">
        <f aca="false">-ATAN2(Fp2_u,A398)</f>
        <v>-1.18990187226457</v>
      </c>
      <c r="X398" s="0" t="n">
        <f aca="false">20*LOG(C398*J398*O398*Q398*F398*M398*S398*U398)</f>
        <v>-8.00993855628091</v>
      </c>
      <c r="Y398" s="0" t="n">
        <f aca="false">(180/Pi)*(D398+H398+N398+P398+R398+T398+V398)</f>
        <v>-247.86513902913</v>
      </c>
      <c r="Z398" s="0" t="n">
        <f aca="false">Y398+180</f>
        <v>-67.8651390291302</v>
      </c>
      <c r="AC398" s="0" t="n">
        <v>1</v>
      </c>
      <c r="AD398" s="0" t="n">
        <f aca="false">Rcea1_u*Cc1ea_u*A398*2*Pi</f>
        <v>22.474702490688</v>
      </c>
      <c r="AE398" s="0" t="n">
        <f aca="false">-Rcea1_u*Cc1ea_u*Cc2ea_u*(A398*2*Pi)^2</f>
        <v>-0.0194873554029683</v>
      </c>
      <c r="AF398" s="0" t="n">
        <f aca="false">(Cc2ea_u+Cc1ea_u)*A398*2*Pi</f>
        <v>0.0078037161426</v>
      </c>
      <c r="AG398" s="0" t="n">
        <f aca="false">AC398*AE398/(AE398^2+AF398^2)+AD398*AF398/(AE398^2+AF398^2)</f>
        <v>353.788884768274</v>
      </c>
      <c r="AH398" s="0" t="n">
        <f aca="false">AD398*AE398/(AE398^2+AF398^2)-AC398*AF398/(AE398^2+AF398^2)</f>
        <v>-1011.62184667431</v>
      </c>
      <c r="AJ398" s="0" t="n">
        <f aca="false">_Rfb1</f>
        <v>20000</v>
      </c>
      <c r="AK398" s="0" t="n">
        <f aca="false">_Rfb1*Rcea2_u*Cc3ea_u*A398*2*Pi</f>
        <v>1363280.30745984</v>
      </c>
      <c r="AL398" s="0" t="n">
        <v>1</v>
      </c>
      <c r="AM398" s="0" t="n">
        <f aca="false">(_Rfb1+Rcea2_u)*Cc3ea_u*A398*2*Pi</f>
        <v>25502.498109773</v>
      </c>
      <c r="AN398" s="0" t="n">
        <f aca="false">AJ398*AL398/(AL398^2+AM398^2)+AK398*AM398/(AL398^2+AM398^2)</f>
        <v>53.4567666168424</v>
      </c>
      <c r="AO398" s="0" t="n">
        <f aca="false">AK398*AL398/(AL398^2+AM398^2)-AJ398*AM398/(AL398^2+AM398^2)</f>
        <v>-0.782140759212106</v>
      </c>
      <c r="AQ398" s="0" t="n">
        <f aca="false">Eadcg/(1+(Eadcg*A398/GBP)^2)</f>
        <v>0.0134512651322394</v>
      </c>
      <c r="AR398" s="0" t="n">
        <f aca="false">-(A398*Eadcg*Eadcg/GBP)/(1+(Eadcg*A398/GBP)^2)</f>
        <v>-6.52171138671493</v>
      </c>
      <c r="AT398" s="0" t="n">
        <f aca="false">-AR398*AH398+AG398*AQ398</f>
        <v>-6592.74680841558</v>
      </c>
      <c r="AU398" s="0" t="n">
        <f aca="false">AQ398*AH398+AG398*AR398</f>
        <v>-2320.91659195961</v>
      </c>
      <c r="AV398" s="0" t="n">
        <f aca="false">ATAN2(AT398,AU398)</f>
        <v>-2.80310080903803</v>
      </c>
      <c r="AW398" s="0" t="n">
        <f aca="false">AG398-AH398*AO398/_Rfb2+AG398*AN398/_Rfb2+AN398-AO398*AR398+AQ398*AN398</f>
        <v>411.018346855098</v>
      </c>
      <c r="AX398" s="0" t="n">
        <f aca="false">AH398+AH398*AN398/_Rfb2+AG398*AO398/_Rfb2+AO398+AO398*AQ398+AN398*AR398</f>
        <v>-1385.50374730937</v>
      </c>
      <c r="AY398" s="0" t="n">
        <f aca="false">ATAN2(AW398,AX398)</f>
        <v>-1.28241000843885</v>
      </c>
      <c r="BA398" s="0" t="n">
        <f aca="false">SQRT(AT398^2+AU398^2)/SQRT(AW398^2+AX398^2)</f>
        <v>4.83630224102497</v>
      </c>
      <c r="BB398" s="0" t="n">
        <f aca="false">20*LOG(BA398)</f>
        <v>13.6902686787942</v>
      </c>
      <c r="BC398" s="0" t="n">
        <f aca="false">AV398-AY398</f>
        <v>-1.52069080059918</v>
      </c>
      <c r="BD398" s="0" t="n">
        <f aca="false">BC398*180/Pi-180</f>
        <v>-267.129164918263</v>
      </c>
      <c r="BF398" s="0" t="n">
        <f aca="false">20*LOG(BA398*J398*F398*C398)</f>
        <v>-20.3601679586666</v>
      </c>
      <c r="BG398" s="0" t="n">
        <f aca="false">(180/Pi)*(D398+H398+BC398)</f>
        <v>-265.108534224771</v>
      </c>
      <c r="BH398" s="0" t="n">
        <f aca="false">IF(BG398&gt;180,BG398-180,BG398+180)</f>
        <v>-85.1085342247707</v>
      </c>
      <c r="BI398" s="0" t="n">
        <f aca="false">IF(BH398&gt;180,BH398-360,BH398)</f>
        <v>-85.1085342247707</v>
      </c>
      <c r="BJ398" s="0" t="n">
        <f aca="false">SUM((BF399&lt;0)*(BF398&gt;0))*A398</f>
        <v>0</v>
      </c>
      <c r="BK398" s="0" t="n">
        <f aca="false">IF(BJ398&gt;0,BI398,0)</f>
        <v>0</v>
      </c>
      <c r="BM398" s="0" t="n">
        <f aca="false">20*LOG(J398*F398*C398)</f>
        <v>-34.0504366374608</v>
      </c>
      <c r="BN398" s="0" t="n">
        <f aca="false">(H398+D398)*180/Pi</f>
        <v>-177.979369306508</v>
      </c>
      <c r="BQ398" s="347" t="n">
        <f aca="false">20*LOG(BA398*7)</f>
        <v>30.5922294790793</v>
      </c>
      <c r="BR398" s="353"/>
      <c r="BS398" s="353"/>
      <c r="BT398" s="353" t="n">
        <v>758577.575</v>
      </c>
      <c r="BU398" s="353" t="n">
        <v>8.30567</v>
      </c>
      <c r="BV398" s="353" t="n">
        <v>105.507</v>
      </c>
      <c r="BY398" s="353"/>
      <c r="BZ398" s="353"/>
      <c r="CA398" s="353"/>
      <c r="CC398" s="353"/>
    </row>
    <row r="399" customFormat="false" ht="12.75" hidden="false" customHeight="false" outlineLevel="0" collapsed="false">
      <c r="A399" s="0" t="n">
        <f aca="false">A398+5000</f>
        <v>925000</v>
      </c>
      <c r="B399" s="0" t="n">
        <f aca="false">A399/1000</f>
        <v>925</v>
      </c>
      <c r="C399" s="0" t="n">
        <f aca="false">SQRT((A399/Fesr)^2+1)</f>
        <v>1.00001688921787</v>
      </c>
      <c r="D399" s="0" t="n">
        <f aca="false">ATAN(A399/Fesr)</f>
        <v>0.00581188096378762</v>
      </c>
      <c r="F399" s="0" t="n">
        <f aca="false">(Ro/(Ro+Rdcr))/SQRT((A399/(Q*Fo))^2+(1-(A399^2/Fo^2))^2)</f>
        <v>0.00218027980498506</v>
      </c>
      <c r="G399" s="0" t="n">
        <f aca="false">-ATAN(A399*Fo/(Q*(Fo^2-A399^2)))</f>
        <v>0.0293261970906508</v>
      </c>
      <c r="H399" s="0" t="n">
        <f aca="false">IF(G399&gt;0,G399-Pi,G399)</f>
        <v>-3.11226645290935</v>
      </c>
      <c r="J399" s="0" t="n">
        <f aca="false">Vin/Vramp</f>
        <v>9</v>
      </c>
      <c r="M399" s="0" t="n">
        <f aca="false">1/(2*Pi*_Rfb1*(Cc1ea_u+Cc2ea_u)*A399)</f>
        <v>0.00637257030125151</v>
      </c>
      <c r="N399" s="0" t="n">
        <f aca="false">-Pi/2</f>
        <v>-1.570796325</v>
      </c>
      <c r="O399" s="0" t="n">
        <f aca="false">SQRT(1+(A399/Fz1_u)^2)</f>
        <v>22.6189637702864</v>
      </c>
      <c r="P399" s="0" t="n">
        <f aca="false">ATAN2(Fz1_u,A399)</f>
        <v>1.52657122164812</v>
      </c>
      <c r="Q399" s="0" t="n">
        <f aca="false">SQRT(1+(A399/Fz2_u)^2)</f>
        <v>25641.0986624782</v>
      </c>
      <c r="R399" s="0" t="n">
        <f aca="false">ATAN2(Fz2_u,A399)</f>
        <v>1.57075732690595</v>
      </c>
      <c r="S399" s="0" t="n">
        <f aca="false">1/SQRT(1+(A399/Fp1_u)^2)</f>
        <v>0.0145896442565862</v>
      </c>
      <c r="T399" s="0" t="n">
        <f aca="false">-ATAN2(Fp1_u,A399)</f>
        <v>-1.55620616490233</v>
      </c>
      <c r="U399" s="0" t="n">
        <f aca="false">1/SQRT(1+(A399/Fp2_u)^2)</f>
        <v>0.370017270690824</v>
      </c>
      <c r="V399" s="0" t="n">
        <f aca="false">-ATAN2(Fp2_u,A399)</f>
        <v>-1.19176871604033</v>
      </c>
      <c r="X399" s="0" t="n">
        <f aca="false">20*LOG(C399*J399*O399*Q399*F399*M399*S399*U399)</f>
        <v>-8.1449451149406</v>
      </c>
      <c r="Y399" s="0" t="n">
        <f aca="false">(180/Pi)*(D399+H399+N399+P399+R399+T399+V399)</f>
        <v>-247.970245690557</v>
      </c>
      <c r="Z399" s="0" t="n">
        <f aca="false">Y399+180</f>
        <v>-67.9702456905568</v>
      </c>
      <c r="AC399" s="0" t="n">
        <v>1</v>
      </c>
      <c r="AD399" s="0" t="n">
        <f aca="false">Rcea1_u*Cc1ea_u*A399*2*Pi</f>
        <v>22.59684761292</v>
      </c>
      <c r="AE399" s="0" t="n">
        <f aca="false">-Rcea1_u*Cc1ea_u*Cc2ea_u*(A399*2*Pi)^2</f>
        <v>-0.0196997500787627</v>
      </c>
      <c r="AF399" s="0" t="n">
        <f aca="false">(Cc2ea_u+Cc1ea_u)*A399*2*Pi</f>
        <v>0.007846127643375</v>
      </c>
      <c r="AG399" s="0" t="n">
        <f aca="false">AC399*AE399/(AE399^2+AF399^2)+AD399*AF399/(AE399^2+AF399^2)</f>
        <v>350.496718360286</v>
      </c>
      <c r="AH399" s="0" t="n">
        <f aca="false">AD399*AE399/(AE399^2+AF399^2)-AC399*AF399/(AE399^2+AF399^2)</f>
        <v>-1007.46484309347</v>
      </c>
      <c r="AJ399" s="0" t="n">
        <f aca="false">_Rfb1</f>
        <v>20000</v>
      </c>
      <c r="AK399" s="0" t="n">
        <f aca="false">_Rfb1*Rcea2_u*Cc3ea_u*A399*2*Pi</f>
        <v>1370689.4395656</v>
      </c>
      <c r="AL399" s="0" t="n">
        <v>1</v>
      </c>
      <c r="AM399" s="0" t="n">
        <f aca="false">(_Rfb1+Rcea2_u)*Cc3ea_u*A399*2*Pi</f>
        <v>25641.0986429783</v>
      </c>
      <c r="AN399" s="0" t="n">
        <f aca="false">AJ399*AL399/(AL399^2+AM399^2)+AK399*AM399/(AL399^2+AM399^2)</f>
        <v>53.4567662861798</v>
      </c>
      <c r="AO399" s="0" t="n">
        <f aca="false">AK399*AL399/(AL399^2+AM399^2)-AJ399*AM399/(AL399^2+AM399^2)</f>
        <v>-0.777912971337369</v>
      </c>
      <c r="AQ399" s="0" t="n">
        <f aca="false">Eadcg/(1+(Eadcg*A399/GBP)^2)</f>
        <v>0.0133062396845706</v>
      </c>
      <c r="AR399" s="0" t="n">
        <f aca="false">-(A399*Eadcg*Eadcg/GBP)/(1+(Eadcg*A399/GBP)^2)</f>
        <v>-6.48645919023604</v>
      </c>
      <c r="AT399" s="0" t="n">
        <f aca="false">-AR399*AH399+AG399*AQ399</f>
        <v>-6530.21579698017</v>
      </c>
      <c r="AU399" s="0" t="n">
        <f aca="false">AQ399*AH399+AG399*AR399</f>
        <v>-2286.88822863163</v>
      </c>
      <c r="AV399" s="0" t="n">
        <f aca="false">ATAN2(AT399,AU399)</f>
        <v>-2.80473876360892</v>
      </c>
      <c r="AW399" s="0" t="n">
        <f aca="false">AG399-AH399*AO399/_Rfb2+AG399*AN399/_Rfb2+AN399-AO399*AR399+AQ399*AN399</f>
        <v>407.697607983829</v>
      </c>
      <c r="AX399" s="0" t="n">
        <f aca="false">AH399+AH399*AN399/_Rfb2+AG399*AO399/_Rfb2+AO399+AO399*AQ399+AN399*AR399</f>
        <v>-1379.35605098963</v>
      </c>
      <c r="AY399" s="0" t="n">
        <f aca="false">ATAN2(AW399,AX399)</f>
        <v>-1.28340779804385</v>
      </c>
      <c r="BA399" s="0" t="n">
        <f aca="false">SQRT(AT399^2+AU399^2)/SQRT(AW399^2+AX399^2)</f>
        <v>4.81043593485079</v>
      </c>
      <c r="BB399" s="0" t="n">
        <f aca="false">20*LOG(BA399)</f>
        <v>13.6436887022017</v>
      </c>
      <c r="BC399" s="0" t="n">
        <f aca="false">AV399-AY399</f>
        <v>-1.52133096556507</v>
      </c>
      <c r="BD399" s="0" t="n">
        <f aca="false">BC399*180/Pi-180</f>
        <v>-267.165843669042</v>
      </c>
      <c r="BF399" s="0" t="n">
        <f aca="false">20*LOG(BA399*J399*F399*C399)</f>
        <v>-20.5010697699712</v>
      </c>
      <c r="BG399" s="0" t="n">
        <f aca="false">(180/Pi)*(D399+H399+BC399)</f>
        <v>-265.152580094021</v>
      </c>
      <c r="BH399" s="0" t="n">
        <f aca="false">IF(BG399&gt;180,BG399-180,BG399+180)</f>
        <v>-85.1525800940212</v>
      </c>
      <c r="BI399" s="0" t="n">
        <f aca="false">IF(BH399&gt;180,BH399-360,BH399)</f>
        <v>-85.1525800940212</v>
      </c>
      <c r="BJ399" s="0" t="n">
        <f aca="false">SUM((BF400&lt;0)*(BF399&gt;0))*A399</f>
        <v>0</v>
      </c>
      <c r="BK399" s="0" t="n">
        <f aca="false">IF(BJ399&gt;0,BI399,0)</f>
        <v>0</v>
      </c>
      <c r="BM399" s="0" t="n">
        <f aca="false">20*LOG(J399*F399*C399)</f>
        <v>-34.1447584721729</v>
      </c>
      <c r="BN399" s="0" t="n">
        <f aca="false">(H399+D399)*180/Pi</f>
        <v>-177.986736424979</v>
      </c>
      <c r="BQ399" s="347" t="n">
        <f aca="false">20*LOG(BA399*7)</f>
        <v>30.5456495024868</v>
      </c>
      <c r="BR399" s="353"/>
      <c r="BS399" s="353"/>
      <c r="BT399" s="353" t="n">
        <v>776247.117</v>
      </c>
      <c r="BU399" s="353" t="n">
        <v>7.99991</v>
      </c>
      <c r="BV399" s="353" t="n">
        <v>105.287</v>
      </c>
      <c r="BY399" s="353"/>
      <c r="BZ399" s="353"/>
      <c r="CA399" s="353"/>
      <c r="CC399" s="353"/>
    </row>
    <row r="400" customFormat="false" ht="12.75" hidden="false" customHeight="false" outlineLevel="0" collapsed="false">
      <c r="A400" s="0" t="n">
        <f aca="false">A399+5000</f>
        <v>930000</v>
      </c>
      <c r="B400" s="0" t="n">
        <f aca="false">A400/1000</f>
        <v>930</v>
      </c>
      <c r="C400" s="0" t="n">
        <f aca="false">SQRT((A400/Fesr)^2+1)</f>
        <v>1.00001707229592</v>
      </c>
      <c r="D400" s="0" t="n">
        <f aca="false">ATAN(A400/Fesr)</f>
        <v>0.00584329582338754</v>
      </c>
      <c r="F400" s="0" t="n">
        <f aca="false">(Ro/(Ro+Rdcr))/SQRT((A400/(Q*Fo))^2+(1-(A400^2/Fo^2))^2)</f>
        <v>0.00215685810626809</v>
      </c>
      <c r="G400" s="0" t="n">
        <f aca="false">-ATAN(A400*Fo/(Q*(Fo^2-A400^2)))</f>
        <v>0.0291679319147376</v>
      </c>
      <c r="H400" s="0" t="n">
        <f aca="false">IF(G400&gt;0,G400-Pi,G400)</f>
        <v>-3.11242471808526</v>
      </c>
      <c r="J400" s="0" t="n">
        <f aca="false">Vin/Vramp</f>
        <v>9</v>
      </c>
      <c r="M400" s="0" t="n">
        <f aca="false">1/(2*Pi*_Rfb1*(Cc1ea_u+Cc2ea_u)*A400)</f>
        <v>0.00633830917059962</v>
      </c>
      <c r="N400" s="0" t="n">
        <f aca="false">-Pi/2</f>
        <v>-1.570796325</v>
      </c>
      <c r="O400" s="0" t="n">
        <f aca="false">SQRT(1+(A400/Fz1_u)^2)</f>
        <v>22.7409901037727</v>
      </c>
      <c r="P400" s="0" t="n">
        <f aca="false">ATAN2(Fz1_u,A400)</f>
        <v>1.52680868361372</v>
      </c>
      <c r="Q400" s="0" t="n">
        <f aca="false">SQRT(1+(A400/Fz2_u)^2)</f>
        <v>25779.6991955787</v>
      </c>
      <c r="R400" s="0" t="n">
        <f aca="false">ATAN2(Fz2_u,A400)</f>
        <v>1.57075753658277</v>
      </c>
      <c r="S400" s="0" t="n">
        <f aca="false">1/SQRT(1+(A400/Fp1_u)^2)</f>
        <v>0.0145112218709274</v>
      </c>
      <c r="T400" s="0" t="n">
        <f aca="false">-ATAN2(Fp1_u,A400)</f>
        <v>-1.55628459559092</v>
      </c>
      <c r="U400" s="0" t="n">
        <f aca="false">1/SQRT(1+(A400/Fp2_u)^2)</f>
        <v>0.368298401925723</v>
      </c>
      <c r="V400" s="0" t="n">
        <f aca="false">-ATAN2(Fp2_u,A400)</f>
        <v>-1.19361822183538</v>
      </c>
      <c r="X400" s="0" t="n">
        <f aca="false">20*LOG(C400*J400*O400*Q400*F400*M400*S400*U400)</f>
        <v>-8.27928100452826</v>
      </c>
      <c r="Y400" s="0" t="n">
        <f aca="false">(180/Pi)*(D400+H400+N400+P400+R400+T400+V400)</f>
        <v>-248.074358720092</v>
      </c>
      <c r="Z400" s="0" t="n">
        <f aca="false">Y400+180</f>
        <v>-68.0743587200916</v>
      </c>
      <c r="AC400" s="0" t="n">
        <v>1</v>
      </c>
      <c r="AD400" s="0" t="n">
        <f aca="false">Rcea1_u*Cc1ea_u*A400*2*Pi</f>
        <v>22.718992735152</v>
      </c>
      <c r="AE400" s="0" t="n">
        <f aca="false">-Rcea1_u*Cc1ea_u*Cc2ea_u*(A400*2*Pi)^2</f>
        <v>-0.0199132959452118</v>
      </c>
      <c r="AF400" s="0" t="n">
        <f aca="false">(Cc2ea_u+Cc1ea_u)*A400*2*Pi</f>
        <v>0.00788853914415</v>
      </c>
      <c r="AG400" s="0" t="n">
        <f aca="false">AC400*AE400/(AE400^2+AF400^2)+AD400*AF400/(AE400^2+AF400^2)</f>
        <v>347.247904924266</v>
      </c>
      <c r="AH400" s="0" t="n">
        <f aca="false">AD400*AE400/(AE400^2+AF400^2)-AC400*AF400/(AE400^2+AF400^2)</f>
        <v>-1003.33536444212</v>
      </c>
      <c r="AJ400" s="0" t="n">
        <f aca="false">_Rfb1</f>
        <v>20000</v>
      </c>
      <c r="AK400" s="0" t="n">
        <f aca="false">_Rfb1*Rcea2_u*Cc3ea_u*A400*2*Pi</f>
        <v>1378098.57167136</v>
      </c>
      <c r="AL400" s="0" t="n">
        <v>1</v>
      </c>
      <c r="AM400" s="0" t="n">
        <f aca="false">(_Rfb1+Rcea2_u)*Cc3ea_u*A400*2*Pi</f>
        <v>25779.6991761836</v>
      </c>
      <c r="AN400" s="0" t="n">
        <f aca="false">AJ400*AL400/(AL400^2+AM400^2)+AK400*AM400/(AL400^2+AM400^2)</f>
        <v>53.4567659608361</v>
      </c>
      <c r="AO400" s="0" t="n">
        <f aca="false">AK400*AL400/(AL400^2+AM400^2)-AJ400*AM400/(AL400^2+AM400^2)</f>
        <v>-0.7737306435471</v>
      </c>
      <c r="AQ400" s="0" t="n">
        <f aca="false">Eadcg/(1+(Eadcg*A400/GBP)^2)</f>
        <v>0.013163547050404</v>
      </c>
      <c r="AR400" s="0" t="n">
        <f aca="false">-(A400*Eadcg*Eadcg/GBP)/(1+(Eadcg*A400/GBP)^2)</f>
        <v>-6.4515860448735</v>
      </c>
      <c r="AT400" s="0" t="n">
        <f aca="false">-AR400*AH400+AG400*AQ400</f>
        <v>-6468.53342142822</v>
      </c>
      <c r="AU400" s="0" t="n">
        <f aca="false">AQ400*AH400+AG400*AR400</f>
        <v>-2253.50718979812</v>
      </c>
      <c r="AV400" s="0" t="n">
        <f aca="false">ATAN2(AT400,AU400)</f>
        <v>-2.80636183635591</v>
      </c>
      <c r="AW400" s="0" t="n">
        <f aca="false">AG400-AH400*AO400/_Rfb2+AG400*AN400/_Rfb2+AN400-AO400*AR400+AQ400*AN400</f>
        <v>404.420459116607</v>
      </c>
      <c r="AX400" s="0" t="n">
        <f aca="false">AH400+AH400*AN400/_Rfb2+AG400*AO400/_Rfb2+AO400+AO400*AQ400+AN400*AR400</f>
        <v>-1373.25688844837</v>
      </c>
      <c r="AY400" s="0" t="n">
        <f aca="false">ATAN2(AW400,AX400)</f>
        <v>-1.2843954863165</v>
      </c>
      <c r="BA400" s="0" t="n">
        <f aca="false">SQRT(AT400^2+AU400^2)/SQRT(AW400^2+AX400^2)</f>
        <v>4.78484274238201</v>
      </c>
      <c r="BB400" s="0" t="n">
        <f aca="false">20*LOG(BA400)</f>
        <v>13.5973533783575</v>
      </c>
      <c r="BC400" s="0" t="n">
        <f aca="false">AV400-AY400</f>
        <v>-1.52196635003941</v>
      </c>
      <c r="BD400" s="0" t="n">
        <f aca="false">BC400*180/Pi-180</f>
        <v>-267.202248517832</v>
      </c>
      <c r="BF400" s="0" t="n">
        <f aca="false">20*LOG(BA400*J400*F400*C400)</f>
        <v>-20.6412166458635</v>
      </c>
      <c r="BG400" s="0" t="n">
        <f aca="false">(180/Pi)*(D400+H400+BC400)</f>
        <v>-265.196252930574</v>
      </c>
      <c r="BH400" s="0" t="n">
        <f aca="false">IF(BG400&gt;180,BG400-180,BG400+180)</f>
        <v>-85.1962529305736</v>
      </c>
      <c r="BI400" s="0" t="n">
        <f aca="false">IF(BH400&gt;180,BH400-360,BH400)</f>
        <v>-85.1962529305736</v>
      </c>
      <c r="BJ400" s="0" t="n">
        <f aca="false">SUM((BF401&lt;0)*(BF400&gt;0))*A400</f>
        <v>0</v>
      </c>
      <c r="BK400" s="0" t="n">
        <f aca="false">IF(BJ400&gt;0,BI400,0)</f>
        <v>0</v>
      </c>
      <c r="BM400" s="0" t="n">
        <f aca="false">20*LOG(J400*F400*C400)</f>
        <v>-34.238570024221</v>
      </c>
      <c r="BN400" s="0" t="n">
        <f aca="false">(H400+D400)*180/Pi</f>
        <v>-177.994004412742</v>
      </c>
      <c r="BQ400" s="347" t="n">
        <f aca="false">20*LOG(BA400*7)</f>
        <v>30.4993141786426</v>
      </c>
      <c r="BR400" s="353"/>
      <c r="BS400" s="353"/>
      <c r="BT400" s="353" t="n">
        <v>794328.235</v>
      </c>
      <c r="BU400" s="353" t="n">
        <v>7.73994</v>
      </c>
      <c r="BV400" s="353" t="n">
        <v>105.286</v>
      </c>
      <c r="BY400" s="353"/>
      <c r="BZ400" s="353"/>
      <c r="CA400" s="353"/>
      <c r="CC400" s="353"/>
    </row>
    <row r="401" customFormat="false" ht="12.75" hidden="false" customHeight="false" outlineLevel="0" collapsed="false">
      <c r="A401" s="0" t="n">
        <f aca="false">A400+5000</f>
        <v>935000</v>
      </c>
      <c r="B401" s="0" t="n">
        <f aca="false">A401/1000</f>
        <v>935</v>
      </c>
      <c r="C401" s="0" t="n">
        <f aca="false">SQRT((A401/Fesr)^2+1)</f>
        <v>1.00001725636088</v>
      </c>
      <c r="D401" s="0" t="n">
        <f aca="false">ATAN(A401/Fesr)</f>
        <v>0.00587471067145392</v>
      </c>
      <c r="F401" s="0" t="n">
        <f aca="false">(Ro/(Ro+Rdcr))/SQRT((A401/(Q*Fo))^2+(1-(A401^2/Fo^2))^2)</f>
        <v>0.00213381201674412</v>
      </c>
      <c r="G401" s="0" t="n">
        <f aca="false">-ATAN(A401*Fo/(Q*(Fo^2-A401^2)))</f>
        <v>0.0290113689425691</v>
      </c>
      <c r="H401" s="0" t="n">
        <f aca="false">IF(G401&gt;0,G401-Pi,G401)</f>
        <v>-3.11258128105743</v>
      </c>
      <c r="J401" s="0" t="n">
        <f aca="false">Vin/Vramp</f>
        <v>9</v>
      </c>
      <c r="M401" s="0" t="n">
        <f aca="false">1/(2*Pi*_Rfb1*(Cc1ea_u+Cc2ea_u)*A401)</f>
        <v>0.00630441446915256</v>
      </c>
      <c r="N401" s="0" t="n">
        <f aca="false">-Pi/2</f>
        <v>-1.570796325</v>
      </c>
      <c r="O401" s="0" t="n">
        <f aca="false">SQRT(1+(A401/Fz1_u)^2)</f>
        <v>22.863017705894</v>
      </c>
      <c r="P401" s="0" t="n">
        <f aca="false">ATAN2(Fz1_u,A401)</f>
        <v>1.52704361076397</v>
      </c>
      <c r="Q401" s="0" t="n">
        <f aca="false">SQRT(1+(A401/Fz2_u)^2)</f>
        <v>25918.2997286802</v>
      </c>
      <c r="R401" s="0" t="n">
        <f aca="false">ATAN2(Fz2_u,A401)</f>
        <v>1.57075774401706</v>
      </c>
      <c r="S401" s="0" t="n">
        <f aca="false">1/SQRT(1+(A401/Fp1_u)^2)</f>
        <v>0.0144336379638446</v>
      </c>
      <c r="T401" s="0" t="n">
        <f aca="false">-ATAN2(Fp1_u,A401)</f>
        <v>-1.55636218762433</v>
      </c>
      <c r="U401" s="0" t="n">
        <f aca="false">1/SQRT(1+(A401/Fp2_u)^2)</f>
        <v>0.36659419224248</v>
      </c>
      <c r="V401" s="0" t="n">
        <f aca="false">-ATAN2(Fp2_u,A401)</f>
        <v>-1.19545061758976</v>
      </c>
      <c r="X401" s="0" t="n">
        <f aca="false">20*LOG(C401*J401*O401*Q401*F401*M401*S401*U401)</f>
        <v>-8.41295267753066</v>
      </c>
      <c r="Y401" s="0" t="n">
        <f aca="false">(180/Pi)*(D401+H401+N401+P401+R401+T401+V401)</f>
        <v>-248.177491199384</v>
      </c>
      <c r="Z401" s="0" t="n">
        <f aca="false">Y401+180</f>
        <v>-68.1774911993845</v>
      </c>
      <c r="AC401" s="0" t="n">
        <v>1</v>
      </c>
      <c r="AD401" s="0" t="n">
        <f aca="false">Rcea1_u*Cc1ea_u*A401*2*Pi</f>
        <v>22.841137857384</v>
      </c>
      <c r="AE401" s="0" t="n">
        <f aca="false">-Rcea1_u*Cc1ea_u*Cc2ea_u*(A401*2*Pi)^2</f>
        <v>-0.0201279930023156</v>
      </c>
      <c r="AF401" s="0" t="n">
        <f aca="false">(Cc2ea_u+Cc1ea_u)*A401*2*Pi</f>
        <v>0.007930950644925</v>
      </c>
      <c r="AG401" s="0" t="n">
        <f aca="false">AC401*AE401/(AE401^2+AF401^2)+AD401*AF401/(AE401^2+AF401^2)</f>
        <v>344.041732571946</v>
      </c>
      <c r="AH401" s="0" t="n">
        <f aca="false">AD401*AE401/(AE401^2+AF401^2)-AC401*AF401/(AE401^2+AF401^2)</f>
        <v>-999.23324964628</v>
      </c>
      <c r="AJ401" s="0" t="n">
        <f aca="false">_Rfb1</f>
        <v>20000</v>
      </c>
      <c r="AK401" s="0" t="n">
        <f aca="false">_Rfb1*Rcea2_u*Cc3ea_u*A401*2*Pi</f>
        <v>1385507.70377712</v>
      </c>
      <c r="AL401" s="0" t="n">
        <v>1</v>
      </c>
      <c r="AM401" s="0" t="n">
        <f aca="false">(_Rfb1+Rcea2_u)*Cc3ea_u*A401*2*Pi</f>
        <v>25918.2997093888</v>
      </c>
      <c r="AN401" s="0" t="n">
        <f aca="false">AJ401*AL401/(AL401^2+AM401^2)+AK401*AM401/(AL401^2+AM401^2)</f>
        <v>53.4567656406978</v>
      </c>
      <c r="AO401" s="0" t="n">
        <f aca="false">AK401*AL401/(AL401^2+AM401^2)-AJ401*AM401/(AL401^2+AM401^2)</f>
        <v>-0.769593046535136</v>
      </c>
      <c r="AQ401" s="0" t="n">
        <f aca="false">Eadcg/(1+(Eadcg*A401/GBP)^2)</f>
        <v>0.0130231374639912</v>
      </c>
      <c r="AR401" s="0" t="n">
        <f aca="false">-(A401*Eadcg*Eadcg/GBP)/(1+(Eadcg*A401/GBP)^2)</f>
        <v>-6.41708586969434</v>
      </c>
      <c r="AT401" s="0" t="n">
        <f aca="false">-AR401*AH401+AG401*AQ401</f>
        <v>-6407.68506405726</v>
      </c>
      <c r="AU401" s="0" t="n">
        <f aca="false">AQ401*AH401+AG401*AR401</f>
        <v>-2220.75849264133</v>
      </c>
      <c r="AV401" s="0" t="n">
        <f aca="false">ATAN2(AT401,AU401)</f>
        <v>-2.80797021592175</v>
      </c>
      <c r="AW401" s="0" t="n">
        <f aca="false">AG401-AH401*AO401/_Rfb2+AG401*AN401/_Rfb2+AN401-AO401*AR401+AQ401*AN401</f>
        <v>401.186188244193</v>
      </c>
      <c r="AX401" s="0" t="n">
        <f aca="false">AH401+AH401*AN401/_Rfb2+AG401*AO401/_Rfb2+AO401+AO401*AQ401+AN401*AR401</f>
        <v>-1367.20576803866</v>
      </c>
      <c r="AY401" s="0" t="n">
        <f aca="false">ATAN2(AW401,AX401)</f>
        <v>-1.2853731870585</v>
      </c>
      <c r="BA401" s="0" t="n">
        <f aca="false">SQRT(AT401^2+AU401^2)/SQRT(AW401^2+AX401^2)</f>
        <v>4.75951838323488</v>
      </c>
      <c r="BB401" s="0" t="n">
        <f aca="false">20*LOG(BA401)</f>
        <v>13.5512601716965</v>
      </c>
      <c r="BC401" s="0" t="n">
        <f aca="false">AV401-AY401</f>
        <v>-1.52259702886324</v>
      </c>
      <c r="BD401" s="0" t="n">
        <f aca="false">BC401*180/Pi-180</f>
        <v>-267.238383752707</v>
      </c>
      <c r="BF401" s="0" t="n">
        <f aca="false">20*LOG(BA401*J401*F401*C401)</f>
        <v>-20.7806166226425</v>
      </c>
      <c r="BG401" s="0" t="n">
        <f aca="false">(180/Pi)*(D401+H401+BC401)</f>
        <v>-265.239558624782</v>
      </c>
      <c r="BH401" s="0" t="n">
        <f aca="false">IF(BG401&gt;180,BG401-180,BG401+180)</f>
        <v>-85.2395586247821</v>
      </c>
      <c r="BI401" s="0" t="n">
        <f aca="false">IF(BH401&gt;180,BH401-360,BH401)</f>
        <v>-85.2395586247821</v>
      </c>
      <c r="BJ401" s="0" t="n">
        <f aca="false">SUM((BF402&lt;0)*(BF401&gt;0))*A401</f>
        <v>0</v>
      </c>
      <c r="BK401" s="0" t="n">
        <f aca="false">IF(BJ401&gt;0,BI401,0)</f>
        <v>0</v>
      </c>
      <c r="BM401" s="0" t="n">
        <f aca="false">20*LOG(J401*F401*C401)</f>
        <v>-34.3318767943391</v>
      </c>
      <c r="BN401" s="0" t="n">
        <f aca="false">(H401+D401)*180/Pi</f>
        <v>-178.001174872075</v>
      </c>
      <c r="BQ401" s="347" t="n">
        <f aca="false">20*LOG(BA401*7)</f>
        <v>30.4532209719816</v>
      </c>
      <c r="BR401" s="353"/>
      <c r="BS401" s="353"/>
      <c r="BT401" s="353" t="n">
        <v>812830.516</v>
      </c>
      <c r="BU401" s="353" t="n">
        <v>7.52596</v>
      </c>
      <c r="BV401" s="353" t="n">
        <v>105.187</v>
      </c>
      <c r="BY401" s="353"/>
      <c r="BZ401" s="353"/>
      <c r="CA401" s="353"/>
      <c r="CC401" s="353"/>
    </row>
    <row r="402" customFormat="false" ht="12.75" hidden="false" customHeight="false" outlineLevel="0" collapsed="false">
      <c r="A402" s="0" t="n">
        <f aca="false">A401+5000</f>
        <v>940000</v>
      </c>
      <c r="B402" s="0" t="n">
        <f aca="false">A402/1000</f>
        <v>940</v>
      </c>
      <c r="C402" s="0" t="n">
        <f aca="false">SQRT((A402/Fesr)^2+1)</f>
        <v>1.00001744141276</v>
      </c>
      <c r="D402" s="0" t="n">
        <f aca="false">ATAN(A402/Fesr)</f>
        <v>0.00590612550792474</v>
      </c>
      <c r="F402" s="0" t="n">
        <f aca="false">(Ro/(Ro+Rdcr))/SQRT((A402/(Q*Fo))^2+(1-(A402^2/Fo^2))^2)</f>
        <v>0.00211113354320964</v>
      </c>
      <c r="G402" s="0" t="n">
        <f aca="false">-ATAN(A402*Fo/(Q*(Fo^2-A402^2)))</f>
        <v>0.0288564808096838</v>
      </c>
      <c r="H402" s="0" t="n">
        <f aca="false">IF(G402&gt;0,G402-Pi,G402)</f>
        <v>-3.11273616919032</v>
      </c>
      <c r="J402" s="0" t="n">
        <f aca="false">Vin/Vramp</f>
        <v>9</v>
      </c>
      <c r="M402" s="0" t="n">
        <f aca="false">1/(2*Pi*_Rfb1*(Cc1ea_u+Cc2ea_u)*A402)</f>
        <v>0.00627088034963579</v>
      </c>
      <c r="N402" s="0" t="n">
        <f aca="false">-Pi/2</f>
        <v>-1.570796325</v>
      </c>
      <c r="O402" s="0" t="n">
        <f aca="false">SQRT(1+(A402/Fz1_u)^2)</f>
        <v>22.9850465564445</v>
      </c>
      <c r="P402" s="0" t="n">
        <f aca="false">ATAN2(Fz1_u,A402)</f>
        <v>1.52727604344513</v>
      </c>
      <c r="Q402" s="0" t="n">
        <f aca="false">SQRT(1+(A402/Fz2_u)^2)</f>
        <v>26056.9002617829</v>
      </c>
      <c r="R402" s="0" t="n">
        <f aca="false">ATAN2(Fz2_u,A402)</f>
        <v>1.5707579492446</v>
      </c>
      <c r="S402" s="0" t="n">
        <f aca="false">1/SQRT(1+(A402/Fp1_u)^2)</f>
        <v>0.0143568791609211</v>
      </c>
      <c r="T402" s="0" t="n">
        <f aca="false">-ATAN2(Fp1_u,A402)</f>
        <v>-1.55643895438162</v>
      </c>
      <c r="U402" s="0" t="n">
        <f aca="false">1/SQRT(1+(A402/Fp2_u)^2)</f>
        <v>0.364904473183021</v>
      </c>
      <c r="V402" s="0" t="n">
        <f aca="false">-ATAN2(Fp2_u,A402)</f>
        <v>-1.19726612750524</v>
      </c>
      <c r="X402" s="0" t="n">
        <f aca="false">20*LOG(C402*J402*O402*Q402*F402*M402*S402*U402)</f>
        <v>-8.54596649505313</v>
      </c>
      <c r="Y402" s="0" t="n">
        <f aca="false">(180/Pi)*(D402+H402+N402+P402+R402+T402+V402)</f>
        <v>-248.279655994966</v>
      </c>
      <c r="Z402" s="0" t="n">
        <f aca="false">Y402+180</f>
        <v>-68.2796559949656</v>
      </c>
      <c r="AC402" s="0" t="n">
        <v>1</v>
      </c>
      <c r="AD402" s="0" t="n">
        <f aca="false">Rcea1_u*Cc1ea_u*A402*2*Pi</f>
        <v>22.963282979616</v>
      </c>
      <c r="AE402" s="0" t="n">
        <f aca="false">-Rcea1_u*Cc1ea_u*Cc2ea_u*(A402*2*Pi)^2</f>
        <v>-0.0203438412500741</v>
      </c>
      <c r="AF402" s="0" t="n">
        <f aca="false">(Cc2ea_u+Cc1ea_u)*A402*2*Pi</f>
        <v>0.0079733621457</v>
      </c>
      <c r="AG402" s="0" t="n">
        <f aca="false">AC402*AE402/(AE402^2+AF402^2)+AD402*AF402/(AE402^2+AF402^2)</f>
        <v>340.877502845383</v>
      </c>
      <c r="AH402" s="0" t="n">
        <f aca="false">AD402*AE402/(AE402^2+AF402^2)-AC402*AF402/(AE402^2+AF402^2)</f>
        <v>-995.158335795315</v>
      </c>
      <c r="AJ402" s="0" t="n">
        <f aca="false">_Rfb1</f>
        <v>20000</v>
      </c>
      <c r="AK402" s="0" t="n">
        <f aca="false">_Rfb1*Rcea2_u*Cc3ea_u*A402*2*Pi</f>
        <v>1392916.83588288</v>
      </c>
      <c r="AL402" s="0" t="n">
        <v>1</v>
      </c>
      <c r="AM402" s="0" t="n">
        <f aca="false">(_Rfb1+Rcea2_u)*Cc3ea_u*A402*2*Pi</f>
        <v>26056.9002425941</v>
      </c>
      <c r="AN402" s="0" t="n">
        <f aca="false">AJ402*AL402/(AL402^2+AM402^2)+AK402*AM402/(AL402^2+AM402^2)</f>
        <v>53.4567653256546</v>
      </c>
      <c r="AO402" s="0" t="n">
        <f aca="false">AK402*AL402/(AL402^2+AM402^2)-AJ402*AM402/(AL402^2+AM402^2)</f>
        <v>-0.765499466512465</v>
      </c>
      <c r="AQ402" s="0" t="n">
        <f aca="false">Eadcg/(1+(Eadcg*A402/GBP)^2)</f>
        <v>0.0128849624796005</v>
      </c>
      <c r="AR402" s="0" t="n">
        <f aca="false">-(A402*Eadcg*Eadcg/GBP)/(1+(Eadcg*A402/GBP)^2)</f>
        <v>-6.3829527131445</v>
      </c>
      <c r="AT402" s="0" t="n">
        <f aca="false">-AR402*AH402+AG402*AQ402</f>
        <v>-6347.65640563877</v>
      </c>
      <c r="AU402" s="0" t="n">
        <f aca="false">AQ402*AH402+AG402*AR402</f>
        <v>-2188.62755945484</v>
      </c>
      <c r="AV402" s="0" t="n">
        <f aca="false">ATAN2(AT402,AU402)</f>
        <v>-2.80956408804418</v>
      </c>
      <c r="AW402" s="0" t="n">
        <f aca="false">AG402-AH402*AO402/_Rfb2+AG402*AN402/_Rfb2+AN402-AO402*AR402+AQ402*AN402</f>
        <v>397.994096664518</v>
      </c>
      <c r="AX402" s="0" t="n">
        <f aca="false">AH402+AH402*AN402/_Rfb2+AG402*AO402/_Rfb2+AO402+AO402*AQ402+AN402*AR402</f>
        <v>-1361.20220318932</v>
      </c>
      <c r="AY402" s="0" t="n">
        <f aca="false">ATAN2(AW402,AX402)</f>
        <v>-1.28634101271254</v>
      </c>
      <c r="BA402" s="0" t="n">
        <f aca="false">SQRT(AT402^2+AU402^2)/SQRT(AW402^2+AX402^2)</f>
        <v>4.73445866548532</v>
      </c>
      <c r="BB402" s="0" t="n">
        <f aca="false">20*LOG(BA402)</f>
        <v>13.5054065853388</v>
      </c>
      <c r="BC402" s="0" t="n">
        <f aca="false">AV402-AY402</f>
        <v>-1.52322307533164</v>
      </c>
      <c r="BD402" s="0" t="n">
        <f aca="false">BC402*180/Pi-180</f>
        <v>-267.274253573166</v>
      </c>
      <c r="BF402" s="0" t="n">
        <f aca="false">20*LOG(BA402*J402*F402*C402)</f>
        <v>-20.9192776093039</v>
      </c>
      <c r="BG402" s="0" t="n">
        <f aca="false">(180/Pi)*(D402+H402+BC402)</f>
        <v>-265.282502944016</v>
      </c>
      <c r="BH402" s="0" t="n">
        <f aca="false">IF(BG402&gt;180,BG402-180,BG402+180)</f>
        <v>-85.2825029440165</v>
      </c>
      <c r="BI402" s="0" t="n">
        <f aca="false">IF(BH402&gt;180,BH402-360,BH402)</f>
        <v>-85.2825029440165</v>
      </c>
      <c r="BJ402" s="0" t="n">
        <f aca="false">SUM((BF403&lt;0)*(BF402&gt;0))*A402</f>
        <v>0</v>
      </c>
      <c r="BK402" s="0" t="n">
        <f aca="false">IF(BJ402&gt;0,BI402,0)</f>
        <v>0</v>
      </c>
      <c r="BM402" s="0" t="n">
        <f aca="false">20*LOG(J402*F402*C402)</f>
        <v>-34.4246841946428</v>
      </c>
      <c r="BN402" s="0" t="n">
        <f aca="false">(H402+D402)*180/Pi</f>
        <v>-178.00824937085</v>
      </c>
      <c r="BQ402" s="347" t="n">
        <f aca="false">20*LOG(BA402*7)</f>
        <v>30.407367385624</v>
      </c>
      <c r="BR402" s="353"/>
      <c r="BS402" s="353"/>
      <c r="BT402" s="353" t="n">
        <v>831763.771</v>
      </c>
      <c r="BU402" s="353" t="n">
        <v>7.39136</v>
      </c>
      <c r="BV402" s="353" t="n">
        <v>104.541</v>
      </c>
      <c r="BY402" s="353"/>
      <c r="BZ402" s="353"/>
      <c r="CA402" s="353"/>
      <c r="CC402" s="353"/>
    </row>
    <row r="403" customFormat="false" ht="12.75" hidden="false" customHeight="false" outlineLevel="0" collapsed="false">
      <c r="A403" s="0" t="n">
        <f aca="false">A402+5000</f>
        <v>945000</v>
      </c>
      <c r="B403" s="0" t="n">
        <f aca="false">A403/1000</f>
        <v>945</v>
      </c>
      <c r="C403" s="0" t="n">
        <f aca="false">SQRT((A403/Fesr)^2+1)</f>
        <v>1.00001762745154</v>
      </c>
      <c r="D403" s="0" t="n">
        <f aca="false">ATAN(A403/Fesr)</f>
        <v>0.00593754033273802</v>
      </c>
      <c r="F403" s="0" t="n">
        <f aca="false">(Ro/(Ro+Rdcr))/SQRT((A403/(Q*Fo))^2+(1-(A403^2/Fo^2))^2)</f>
        <v>0.00208881490407839</v>
      </c>
      <c r="G403" s="0" t="n">
        <f aca="false">-ATAN(A403*Fo/(Q*(Fo^2-A403^2)))</f>
        <v>0.028703240736071</v>
      </c>
      <c r="H403" s="0" t="n">
        <f aca="false">IF(G403&gt;0,G403-Pi,G403)</f>
        <v>-3.11288940926393</v>
      </c>
      <c r="J403" s="0" t="n">
        <f aca="false">Vin/Vramp</f>
        <v>9</v>
      </c>
      <c r="M403" s="0" t="n">
        <f aca="false">1/(2*Pi*_Rfb1*(Cc1ea_u+Cc2ea_u)*A403)</f>
        <v>0.00623770108852661</v>
      </c>
      <c r="N403" s="0" t="n">
        <f aca="false">-Pi/2</f>
        <v>-1.570796325</v>
      </c>
      <c r="O403" s="0" t="n">
        <f aca="false">SQRT(1+(A403/Fz1_u)^2)</f>
        <v>23.1070766356455</v>
      </c>
      <c r="P403" s="0" t="n">
        <f aca="false">ATAN2(Fz1_u,A403)</f>
        <v>1.5275060211523</v>
      </c>
      <c r="Q403" s="0" t="n">
        <f aca="false">SQRT(1+(A403/Fz2_u)^2)</f>
        <v>26195.5007948867</v>
      </c>
      <c r="R403" s="0" t="n">
        <f aca="false">ATAN2(Fz2_u,A403)</f>
        <v>1.57075815230043</v>
      </c>
      <c r="S403" s="0" t="n">
        <f aca="false">1/SQRT(1+(A403/Fp1_u)^2)</f>
        <v>0.0142809323706507</v>
      </c>
      <c r="T403" s="0" t="n">
        <f aca="false">-ATAN2(Fp1_u,A403)</f>
        <v>-1.55651490895883</v>
      </c>
      <c r="U403" s="0" t="n">
        <f aca="false">1/SQRT(1+(A403/Fp2_u)^2)</f>
        <v>0.363229078483741</v>
      </c>
      <c r="V403" s="0" t="n">
        <f aca="false">-ATAN2(Fp2_u,A403)</f>
        <v>-1.19906497211575</v>
      </c>
      <c r="X403" s="0" t="n">
        <f aca="false">20*LOG(C403*J403*O403*Q403*F403*M403*S403*U403)</f>
        <v>-8.67832872854317</v>
      </c>
      <c r="Y403" s="0" t="n">
        <f aca="false">(180/Pi)*(D403+H403+N403+P403+R403+T403+V403)</f>
        <v>-248.380865762322</v>
      </c>
      <c r="Z403" s="0" t="n">
        <f aca="false">Y403+180</f>
        <v>-68.3808657623221</v>
      </c>
      <c r="AC403" s="0" t="n">
        <v>1</v>
      </c>
      <c r="AD403" s="0" t="n">
        <f aca="false">Rcea1_u*Cc1ea_u*A403*2*Pi</f>
        <v>23.085428101848</v>
      </c>
      <c r="AE403" s="0" t="n">
        <f aca="false">-Rcea1_u*Cc1ea_u*Cc2ea_u*(A403*2*Pi)^2</f>
        <v>-0.0205608406884874</v>
      </c>
      <c r="AF403" s="0" t="n">
        <f aca="false">(Cc2ea_u+Cc1ea_u)*A403*2*Pi</f>
        <v>0.008015773646475</v>
      </c>
      <c r="AG403" s="0" t="n">
        <f aca="false">AC403*AE403/(AE403^2+AF403^2)+AD403*AF403/(AE403^2+AF403^2)</f>
        <v>337.754530447739</v>
      </c>
      <c r="AH403" s="0" t="n">
        <f aca="false">AD403*AE403/(AE403^2+AF403^2)-AC403*AF403/(AE403^2+AF403^2)</f>
        <v>-991.110458295499</v>
      </c>
      <c r="AJ403" s="0" t="n">
        <f aca="false">_Rfb1</f>
        <v>20000</v>
      </c>
      <c r="AK403" s="0" t="n">
        <f aca="false">_Rfb1*Rcea2_u*Cc3ea_u*A403*2*Pi</f>
        <v>1400325.96798864</v>
      </c>
      <c r="AL403" s="0" t="n">
        <v>1</v>
      </c>
      <c r="AM403" s="0" t="n">
        <f aca="false">(_Rfb1+Rcea2_u)*Cc3ea_u*A403*2*Pi</f>
        <v>26195.5007757994</v>
      </c>
      <c r="AN403" s="0" t="n">
        <f aca="false">AJ403*AL403/(AL403^2+AM403^2)+AK403*AM403/(AL403^2+AM403^2)</f>
        <v>53.4567650155987</v>
      </c>
      <c r="AO403" s="0" t="n">
        <f aca="false">AK403*AL403/(AL403^2+AM403^2)-AJ403*AM403/(AL403^2+AM403^2)</f>
        <v>-0.761449204796722</v>
      </c>
      <c r="AQ403" s="0" t="n">
        <f aca="false">Eadcg/(1+(Eadcg*A403/GBP)^2)</f>
        <v>0.0127489749297233</v>
      </c>
      <c r="AR403" s="0" t="n">
        <f aca="false">-(A403*Eadcg*Eadcg/GBP)/(1+(Eadcg*A403/GBP)^2)</f>
        <v>-6.34918074962616</v>
      </c>
      <c r="AT403" s="0" t="n">
        <f aca="false">-AR403*AH403+AG403*AQ403</f>
        <v>-6288.43341852186</v>
      </c>
      <c r="AU403" s="0" t="n">
        <f aca="false">AQ403*AH403+AG403*AR403</f>
        <v>-2157.1002052032</v>
      </c>
      <c r="AV403" s="0" t="n">
        <f aca="false">ATAN2(AT403,AU403)</f>
        <v>-2.81114363560448</v>
      </c>
      <c r="AW403" s="0" t="n">
        <f aca="false">AG403-AH403*AO403/_Rfb2+AG403*AN403/_Rfb2+AN403-AO403*AR403+AQ403*AN403</f>
        <v>394.843498720976</v>
      </c>
      <c r="AX403" s="0" t="n">
        <f aca="false">AH403+AH403*AN403/_Rfb2+AG403*AO403/_Rfb2+AO403+AO403*AQ403+AN403*AR403</f>
        <v>-1355.24571237795</v>
      </c>
      <c r="AY403" s="0" t="n">
        <f aca="false">ATAN2(AW403,AX403)</f>
        <v>-1.28729907437134</v>
      </c>
      <c r="BA403" s="0" t="n">
        <f aca="false">SQRT(AT403^2+AU403^2)/SQRT(AW403^2+AX403^2)</f>
        <v>4.70965948340898</v>
      </c>
      <c r="BB403" s="0" t="n">
        <f aca="false">20*LOG(BA403)</f>
        <v>13.4597901603168</v>
      </c>
      <c r="BC403" s="0" t="n">
        <f aca="false">AV403-AY403</f>
        <v>-1.52384456123314</v>
      </c>
      <c r="BD403" s="0" t="n">
        <f aca="false">BC403*180/Pi-180</f>
        <v>-267.30986209239</v>
      </c>
      <c r="BF403" s="0" t="n">
        <f aca="false">20*LOG(BA403*J403*F403*C403)</f>
        <v>-21.0572073902091</v>
      </c>
      <c r="BG403" s="0" t="n">
        <f aca="false">(180/Pi)*(D403+H403+BC403)</f>
        <v>-265.325091535842</v>
      </c>
      <c r="BH403" s="0" t="n">
        <f aca="false">IF(BG403&gt;180,BG403-180,BG403+180)</f>
        <v>-85.3250915358424</v>
      </c>
      <c r="BI403" s="0" t="n">
        <f aca="false">IF(BH403&gt;180,BH403-360,BH403)</f>
        <v>-85.3250915358424</v>
      </c>
      <c r="BJ403" s="0" t="n">
        <f aca="false">SUM((BF404&lt;0)*(BF403&gt;0))*A403</f>
        <v>0</v>
      </c>
      <c r="BK403" s="0" t="n">
        <f aca="false">IF(BJ403&gt;0,BI403,0)</f>
        <v>0</v>
      </c>
      <c r="BM403" s="0" t="n">
        <f aca="false">20*LOG(J403*F403*C403)</f>
        <v>-34.5169975505259</v>
      </c>
      <c r="BN403" s="0" t="n">
        <f aca="false">(H403+D403)*180/Pi</f>
        <v>-178.015229443453</v>
      </c>
      <c r="BQ403" s="347" t="n">
        <f aca="false">20*LOG(BA403*7)</f>
        <v>30.3617509606019</v>
      </c>
      <c r="BR403" s="353"/>
      <c r="BS403" s="353"/>
      <c r="BT403" s="353" t="n">
        <v>851138.038</v>
      </c>
      <c r="BU403" s="353" t="n">
        <v>7.31255</v>
      </c>
      <c r="BV403" s="353" t="n">
        <v>103.205</v>
      </c>
      <c r="BY403" s="353"/>
      <c r="BZ403" s="353"/>
      <c r="CA403" s="353"/>
      <c r="CC403" s="353"/>
    </row>
    <row r="404" customFormat="false" ht="12.75" hidden="false" customHeight="false" outlineLevel="0" collapsed="false">
      <c r="A404" s="0" t="n">
        <f aca="false">A403+5000</f>
        <v>950000</v>
      </c>
      <c r="B404" s="0" t="n">
        <f aca="false">A404/1000</f>
        <v>950</v>
      </c>
      <c r="C404" s="0" t="n">
        <f aca="false">SQRT((A404/Fesr)^2+1)</f>
        <v>1.00001781447723</v>
      </c>
      <c r="D404" s="0" t="n">
        <f aca="false">ATAN(A404/Fesr)</f>
        <v>0.00596895514583176</v>
      </c>
      <c r="F404" s="0" t="n">
        <f aca="false">(Ro/(Ro+Rdcr))/SQRT((A404/(Q*Fo))^2+(1-(A404^2/Fo^2))^2)</f>
        <v>0.00206684852269013</v>
      </c>
      <c r="G404" s="0" t="n">
        <f aca="false">-ATAN(A404*Fo/(Q*(Fo^2-A404^2)))</f>
        <v>0.0285516225106231</v>
      </c>
      <c r="H404" s="0" t="n">
        <f aca="false">IF(G404&gt;0,G404-Pi,G404)</f>
        <v>-3.11304102748938</v>
      </c>
      <c r="J404" s="0" t="n">
        <f aca="false">Vin/Vramp</f>
        <v>9</v>
      </c>
      <c r="M404" s="0" t="n">
        <f aca="false">1/(2*Pi*_Rfb1*(Cc1ea_u+Cc2ea_u)*A404)</f>
        <v>0.00620487108279752</v>
      </c>
      <c r="N404" s="0" t="n">
        <f aca="false">-Pi/2</f>
        <v>-1.570796325</v>
      </c>
      <c r="O404" s="0" t="n">
        <f aca="false">SQRT(1+(A404/Fz1_u)^2)</f>
        <v>23.2291079241334</v>
      </c>
      <c r="P404" s="0" t="n">
        <f aca="false">ATAN2(Fz1_u,A404)</f>
        <v>1.52773358255166</v>
      </c>
      <c r="Q404" s="0" t="n">
        <f aca="false">SQRT(1+(A404/Fz2_u)^2)</f>
        <v>26334.1013279915</v>
      </c>
      <c r="R404" s="0" t="n">
        <f aca="false">ATAN2(Fz2_u,A404)</f>
        <v>1.57075835321882</v>
      </c>
      <c r="S404" s="0" t="n">
        <f aca="false">1/SQRT(1+(A404/Fp1_u)^2)</f>
        <v>0.0142057847769974</v>
      </c>
      <c r="T404" s="0" t="n">
        <f aca="false">-ATAN2(Fp1_u,A404)</f>
        <v>-1.55659006417638</v>
      </c>
      <c r="U404" s="0" t="n">
        <f aca="false">1/SQRT(1+(A404/Fp2_u)^2)</f>
        <v>0.361567844050339</v>
      </c>
      <c r="V404" s="0" t="n">
        <f aca="false">-ATAN2(Fp2_u,A404)</f>
        <v>-1.20084736835645</v>
      </c>
      <c r="X404" s="0" t="n">
        <f aca="false">20*LOG(C404*J404*O404*Q404*F404*M404*S404*U404)</f>
        <v>-8.81004556147251</v>
      </c>
      <c r="Y404" s="0" t="n">
        <f aca="false">(180/Pi)*(D404+H404+N404+P404+R404+T404+V404)</f>
        <v>-248.481132949894</v>
      </c>
      <c r="Z404" s="0" t="n">
        <f aca="false">Y404+180</f>
        <v>-68.4811329498945</v>
      </c>
      <c r="AC404" s="0" t="n">
        <v>1</v>
      </c>
      <c r="AD404" s="0" t="n">
        <f aca="false">Rcea1_u*Cc1ea_u*A404*2*Pi</f>
        <v>23.20757322408</v>
      </c>
      <c r="AE404" s="0" t="n">
        <f aca="false">-Rcea1_u*Cc1ea_u*Cc2ea_u*(A404*2*Pi)^2</f>
        <v>-0.0207789913175554</v>
      </c>
      <c r="AF404" s="0" t="n">
        <f aca="false">(Cc2ea_u+Cc1ea_u)*A404*2*Pi</f>
        <v>0.00805818514725</v>
      </c>
      <c r="AG404" s="0" t="n">
        <f aca="false">AC404*AE404/(AE404^2+AF404^2)+AD404*AF404/(AE404^2+AF404^2)</f>
        <v>334.672142979098</v>
      </c>
      <c r="AH404" s="0" t="n">
        <f aca="false">AD404*AE404/(AE404^2+AF404^2)-AC404*AF404/(AE404^2+AF404^2)</f>
        <v>-987.089451016749</v>
      </c>
      <c r="AJ404" s="0" t="n">
        <f aca="false">_Rfb1</f>
        <v>20000</v>
      </c>
      <c r="AK404" s="0" t="n">
        <f aca="false">_Rfb1*Rcea2_u*Cc3ea_u*A404*2*Pi</f>
        <v>1407735.1000944</v>
      </c>
      <c r="AL404" s="0" t="n">
        <v>1</v>
      </c>
      <c r="AM404" s="0" t="n">
        <f aca="false">(_Rfb1+Rcea2_u)*Cc3ea_u*A404*2*Pi</f>
        <v>26334.1013090047</v>
      </c>
      <c r="AN404" s="0" t="n">
        <f aca="false">AJ404*AL404/(AL404^2+AM404^2)+AK404*AM404/(AL404^2+AM404^2)</f>
        <v>53.4567647104257</v>
      </c>
      <c r="AO404" s="0" t="n">
        <f aca="false">AK404*AL404/(AL404^2+AM404^2)-AJ404*AM404/(AL404^2+AM404^2)</f>
        <v>-0.757441577414644</v>
      </c>
      <c r="AQ404" s="0" t="n">
        <f aca="false">Eadcg/(1+(Eadcg*A404/GBP)^2)</f>
        <v>0.0126151288848161</v>
      </c>
      <c r="AR404" s="0" t="n">
        <f aca="false">-(A404*Eadcg*Eadcg/GBP)/(1+(Eadcg*A404/GBP)^2)</f>
        <v>-6.31576427618319</v>
      </c>
      <c r="AT404" s="0" t="n">
        <f aca="false">-AR404*AH404+AG404*AQ404</f>
        <v>-6230.00235991102</v>
      </c>
      <c r="AU404" s="0" t="n">
        <f aca="false">AQ404*AH404+AG404*AR404</f>
        <v>-2126.16262550648</v>
      </c>
      <c r="AV404" s="0" t="n">
        <f aca="false">ATAN2(AT404,AU404)</f>
        <v>-2.81270903867526</v>
      </c>
      <c r="AW404" s="0" t="n">
        <f aca="false">AG404-AH404*AO404/_Rfb2+AG404*AN404/_Rfb2+AN404-AO404*AR404+AQ404*AN404</f>
        <v>391.733721545373</v>
      </c>
      <c r="AX404" s="0" t="n">
        <f aca="false">AH404+AH404*AN404/_Rfb2+AG404*AO404/_Rfb2+AO404+AO404*AQ404+AN404*AR404</f>
        <v>-1349.33581910289</v>
      </c>
      <c r="AY404" s="0" t="n">
        <f aca="false">ATAN2(AW404,AX404)</f>
        <v>-1.28824748178721</v>
      </c>
      <c r="BA404" s="0" t="n">
        <f aca="false">SQRT(AT404^2+AU404^2)/SQRT(AW404^2+AX404^2)</f>
        <v>4.68511681528986</v>
      </c>
      <c r="BB404" s="0" t="n">
        <f aca="false">20*LOG(BA404)</f>
        <v>13.414408474821</v>
      </c>
      <c r="BC404" s="0" t="n">
        <f aca="false">AV404-AY404</f>
        <v>-1.52446155688805</v>
      </c>
      <c r="BD404" s="0" t="n">
        <f aca="false">BC404*180/Pi-180</f>
        <v>-267.345213339434</v>
      </c>
      <c r="BF404" s="0" t="n">
        <f aca="false">20*LOG(BA404*J404*F404*C404)</f>
        <v>-21.1944136276853</v>
      </c>
      <c r="BG404" s="0" t="n">
        <f aca="false">(180/Pi)*(D404+H404+BC404)</f>
        <v>-265.367329931106</v>
      </c>
      <c r="BH404" s="0" t="n">
        <f aca="false">IF(BG404&gt;180,BG404-180,BG404+180)</f>
        <v>-85.3673299311056</v>
      </c>
      <c r="BI404" s="0" t="n">
        <f aca="false">IF(BH404&gt;180,BH404-360,BH404)</f>
        <v>-85.3673299311056</v>
      </c>
      <c r="BJ404" s="0" t="n">
        <f aca="false">SUM((BF405&lt;0)*(BF404&gt;0))*A404</f>
        <v>0</v>
      </c>
      <c r="BK404" s="0" t="n">
        <f aca="false">IF(BJ404&gt;0,BI404,0)</f>
        <v>0</v>
      </c>
      <c r="BM404" s="0" t="n">
        <f aca="false">20*LOG(J404*F404*C404)</f>
        <v>-34.6088221025063</v>
      </c>
      <c r="BN404" s="0" t="n">
        <f aca="false">(H404+D404)*180/Pi</f>
        <v>-178.022116591671</v>
      </c>
      <c r="BQ404" s="347" t="n">
        <f aca="false">20*LOG(BA404*7)</f>
        <v>30.3163692751061</v>
      </c>
      <c r="BR404" s="353"/>
      <c r="BS404" s="353"/>
      <c r="BT404" s="353" t="n">
        <v>870963.59</v>
      </c>
      <c r="BU404" s="353" t="n">
        <v>7.14631</v>
      </c>
      <c r="BV404" s="353" t="n">
        <v>103.91</v>
      </c>
      <c r="BY404" s="353"/>
      <c r="BZ404" s="353"/>
      <c r="CA404" s="353"/>
      <c r="CC404" s="353"/>
    </row>
    <row r="405" customFormat="false" ht="12.75" hidden="false" customHeight="false" outlineLevel="0" collapsed="false">
      <c r="A405" s="0" t="n">
        <f aca="false">A404+5000</f>
        <v>955000</v>
      </c>
      <c r="B405" s="0" t="n">
        <f aca="false">A405/1000</f>
        <v>955</v>
      </c>
      <c r="C405" s="0" t="n">
        <f aca="false">SQRT((A405/Fesr)^2+1)</f>
        <v>1.00001800248982</v>
      </c>
      <c r="D405" s="0" t="n">
        <f aca="false">ATAN(A405/Fesr)</f>
        <v>0.00600036994714395</v>
      </c>
      <c r="F405" s="0" t="n">
        <f aca="false">(Ro/(Ro+Rdcr))/SQRT((A405/(Q*Fo))^2+(1-(A405^2/Fo^2))^2)</f>
        <v>0.00204522702086513</v>
      </c>
      <c r="G405" s="0" t="n">
        <f aca="false">-ATAN(A405*Fo/(Q*(Fo^2-A405^2)))</f>
        <v>0.0284016004760832</v>
      </c>
      <c r="H405" s="0" t="n">
        <f aca="false">IF(G405&gt;0,G405-Pi,G405)</f>
        <v>-3.11319104952392</v>
      </c>
      <c r="J405" s="0" t="n">
        <f aca="false">Vin/Vramp</f>
        <v>9</v>
      </c>
      <c r="M405" s="0" t="n">
        <f aca="false">1/(2*Pi*_Rfb1*(Cc1ea_u+Cc2ea_u)*A405)</f>
        <v>0.00617238484676193</v>
      </c>
      <c r="N405" s="0" t="n">
        <f aca="false">-Pi/2</f>
        <v>-1.570796325</v>
      </c>
      <c r="O405" s="0" t="n">
        <f aca="false">SQRT(1+(A405/Fz1_u)^2)</f>
        <v>23.3511404029492</v>
      </c>
      <c r="P405" s="0" t="n">
        <f aca="false">ATAN2(Fz1_u,A405)</f>
        <v>1.52795876550215</v>
      </c>
      <c r="Q405" s="0" t="n">
        <f aca="false">SQRT(1+(A405/Fz2_u)^2)</f>
        <v>26472.7018610974</v>
      </c>
      <c r="R405" s="0" t="n">
        <f aca="false">ATAN2(Fz2_u,A405)</f>
        <v>1.57075855203335</v>
      </c>
      <c r="S405" s="0" t="n">
        <f aca="false">1/SQRT(1+(A405/Fp1_u)^2)</f>
        <v>0.0141314238321885</v>
      </c>
      <c r="T405" s="0" t="n">
        <f aca="false">-ATAN2(Fp1_u,A405)</f>
        <v>-1.55666443258628</v>
      </c>
      <c r="U405" s="0" t="n">
        <f aca="false">1/SQRT(1+(A405/Fp2_u)^2)</f>
        <v>0.359920607932588</v>
      </c>
      <c r="V405" s="0" t="n">
        <f aca="false">-ATAN2(Fp2_u,A405)</f>
        <v>-1.20261352963144</v>
      </c>
      <c r="X405" s="0" t="n">
        <f aca="false">20*LOG(C405*J405*O405*Q405*F405*M405*S405*U405)</f>
        <v>-8.941123090979</v>
      </c>
      <c r="Y405" s="0" t="n">
        <f aca="false">(180/Pi)*(D405+H405+N405+P405+R405+T405+V405)</f>
        <v>-248.58046980299</v>
      </c>
      <c r="Z405" s="0" t="n">
        <f aca="false">Y405+180</f>
        <v>-68.5804698029896</v>
      </c>
      <c r="AC405" s="0" t="n">
        <v>1</v>
      </c>
      <c r="AD405" s="0" t="n">
        <f aca="false">Rcea1_u*Cc1ea_u*A405*2*Pi</f>
        <v>23.329718346312</v>
      </c>
      <c r="AE405" s="0" t="n">
        <f aca="false">-Rcea1_u*Cc1ea_u*Cc2ea_u*(A405*2*Pi)^2</f>
        <v>-0.020998293137278</v>
      </c>
      <c r="AF405" s="0" t="n">
        <f aca="false">(Cc2ea_u+Cc1ea_u)*A405*2*Pi</f>
        <v>0.008100596648025</v>
      </c>
      <c r="AG405" s="0" t="n">
        <f aca="false">AC405*AE405/(AE405^2+AF405^2)+AD405*AF405/(AE405^2+AF405^2)</f>
        <v>331.629680677283</v>
      </c>
      <c r="AH405" s="0" t="n">
        <f aca="false">AD405*AE405/(AE405^2+AF405^2)-AC405*AF405/(AE405^2+AF405^2)</f>
        <v>-983.095146432838</v>
      </c>
      <c r="AJ405" s="0" t="n">
        <f aca="false">_Rfb1</f>
        <v>20000</v>
      </c>
      <c r="AK405" s="0" t="n">
        <f aca="false">_Rfb1*Rcea2_u*Cc3ea_u*A405*2*Pi</f>
        <v>1415144.23220016</v>
      </c>
      <c r="AL405" s="0" t="n">
        <v>1</v>
      </c>
      <c r="AM405" s="0" t="n">
        <f aca="false">(_Rfb1+Rcea2_u)*Cc3ea_u*A405*2*Pi</f>
        <v>26472.70184221</v>
      </c>
      <c r="AN405" s="0" t="n">
        <f aca="false">AJ405*AL405/(AL405^2+AM405^2)+AK405*AM405/(AL405^2+AM405^2)</f>
        <v>53.4567644100333</v>
      </c>
      <c r="AO405" s="0" t="n">
        <f aca="false">AK405*AL405/(AL405^2+AM405^2)-AJ405*AM405/(AL405^2+AM405^2)</f>
        <v>-0.753475914717014</v>
      </c>
      <c r="AQ405" s="0" t="n">
        <f aca="false">Eadcg/(1+(Eadcg*A405/GBP)^2)</f>
        <v>0.0124833796145141</v>
      </c>
      <c r="AR405" s="0" t="n">
        <f aca="false">-(A405*Eadcg*Eadcg/GBP)/(1+(Eadcg*A405/GBP)^2)</f>
        <v>-6.28269770929073</v>
      </c>
      <c r="AT405" s="0" t="n">
        <f aca="false">-AR405*AH405+AG405*AQ405</f>
        <v>-6172.34976531309</v>
      </c>
      <c r="AU405" s="0" t="n">
        <f aca="false">AQ405*AH405+AG405*AR405</f>
        <v>-2095.80138503409</v>
      </c>
      <c r="AV405" s="0" t="n">
        <f aca="false">ATAN2(AT405,AU405)</f>
        <v>-2.81426047456755</v>
      </c>
      <c r="AW405" s="0" t="n">
        <f aca="false">AG405-AH405*AO405/_Rfb2+AG405*AN405/_Rfb2+AN405-AO405*AR405+AQ405*AN405</f>
        <v>388.664104805494</v>
      </c>
      <c r="AX405" s="0" t="n">
        <f aca="false">AH405+AH405*AN405/_Rfb2+AG405*AO405/_Rfb2+AO405+AO405*AQ405+AN405*AR405</f>
        <v>-1343.47205185407</v>
      </c>
      <c r="AY405" s="0" t="n">
        <f aca="false">ATAN2(AW405,AX405)</f>
        <v>-1.28918634338205</v>
      </c>
      <c r="BA405" s="0" t="n">
        <f aca="false">SQRT(AT405^2+AU405^2)/SQRT(AW405^2+AX405^2)</f>
        <v>4.66082672129504</v>
      </c>
      <c r="BB405" s="0" t="n">
        <f aca="false">20*LOG(BA405)</f>
        <v>13.369259143465</v>
      </c>
      <c r="BC405" s="0" t="n">
        <f aca="false">AV405-AY405</f>
        <v>-1.5250741311855</v>
      </c>
      <c r="BD405" s="0" t="n">
        <f aca="false">BC405*180/Pi-180</f>
        <v>-267.380311261357</v>
      </c>
      <c r="BF405" s="0" t="n">
        <f aca="false">20*LOG(BA405*J405*F405*C405)</f>
        <v>-21.3309038645578</v>
      </c>
      <c r="BG405" s="0" t="n">
        <f aca="false">(180/Pi)*(D405+H405+BC405)</f>
        <v>-265.40922354692</v>
      </c>
      <c r="BH405" s="0" t="n">
        <f aca="false">IF(BG405&gt;180,BG405-180,BG405+180)</f>
        <v>-85.4092235469198</v>
      </c>
      <c r="BI405" s="0" t="n">
        <f aca="false">IF(BH405&gt;180,BH405-360,BH405)</f>
        <v>-85.4092235469198</v>
      </c>
      <c r="BJ405" s="0" t="n">
        <f aca="false">SUM((BF406&lt;0)*(BF405&gt;0))*A405</f>
        <v>0</v>
      </c>
      <c r="BK405" s="0" t="n">
        <f aca="false">IF(BJ405&gt;0,BI405,0)</f>
        <v>0</v>
      </c>
      <c r="BM405" s="0" t="n">
        <f aca="false">20*LOG(J405*F405*C405)</f>
        <v>-34.7001630080228</v>
      </c>
      <c r="BN405" s="0" t="n">
        <f aca="false">(H405+D405)*180/Pi</f>
        <v>-178.028912285563</v>
      </c>
      <c r="BQ405" s="347" t="n">
        <f aca="false">20*LOG(BA405*7)</f>
        <v>30.2712199437501</v>
      </c>
      <c r="BR405" s="353"/>
      <c r="BS405" s="353"/>
      <c r="BT405" s="353" t="n">
        <v>891250.938</v>
      </c>
      <c r="BU405" s="353" t="n">
        <v>6.86127</v>
      </c>
      <c r="BV405" s="353" t="n">
        <v>102.337</v>
      </c>
      <c r="BY405" s="353"/>
      <c r="BZ405" s="353"/>
      <c r="CA405" s="353"/>
      <c r="CC405" s="353"/>
    </row>
    <row r="406" customFormat="false" ht="12.75" hidden="false" customHeight="false" outlineLevel="0" collapsed="false">
      <c r="A406" s="0" t="n">
        <f aca="false">A405+5000</f>
        <v>960000</v>
      </c>
      <c r="B406" s="0" t="n">
        <f aca="false">A406/1000</f>
        <v>960</v>
      </c>
      <c r="C406" s="0" t="n">
        <f aca="false">SQRT((A406/Fesr)^2+1)</f>
        <v>1.00001819148933</v>
      </c>
      <c r="D406" s="0" t="n">
        <f aca="false">ATAN(A406/Fesr)</f>
        <v>0.00603178473661259</v>
      </c>
      <c r="F406" s="0" t="n">
        <f aca="false">(Ro/(Ro+Rdcr))/SQRT((A406/(Q*Fo))^2+(1-(A406^2/Fo^2))^2)</f>
        <v>0.00202394321269399</v>
      </c>
      <c r="G406" s="0" t="n">
        <f aca="false">-ATAN(A406*Fo/(Q*(Fo^2-A406^2)))</f>
        <v>0.0282531495144684</v>
      </c>
      <c r="H406" s="0" t="n">
        <f aca="false">IF(G406&gt;0,G406-Pi,G406)</f>
        <v>-3.11333950048553</v>
      </c>
      <c r="J406" s="0" t="n">
        <f aca="false">Vin/Vramp</f>
        <v>9</v>
      </c>
      <c r="M406" s="0" t="n">
        <f aca="false">1/(2*Pi*_Rfb1*(Cc1ea_u+Cc2ea_u)*A406)</f>
        <v>0.00614023700901838</v>
      </c>
      <c r="N406" s="0" t="n">
        <f aca="false">-Pi/2</f>
        <v>-1.570796325</v>
      </c>
      <c r="O406" s="0" t="n">
        <f aca="false">SQRT(1+(A406/Fz1_u)^2)</f>
        <v>23.4731740535282</v>
      </c>
      <c r="P406" s="0" t="n">
        <f aca="false">ATAN2(Fz1_u,A406)</f>
        <v>1.52818160707641</v>
      </c>
      <c r="Q406" s="0" t="n">
        <f aca="false">SQRT(1+(A406/Fz2_u)^2)</f>
        <v>26611.3023942043</v>
      </c>
      <c r="R406" s="0" t="n">
        <f aca="false">ATAN2(Fz2_u,A406)</f>
        <v>1.5707587487769</v>
      </c>
      <c r="S406" s="0" t="n">
        <f aca="false">1/SQRT(1+(A406/Fp1_u)^2)</f>
        <v>0.0140578372497325</v>
      </c>
      <c r="T406" s="0" t="n">
        <f aca="false">-ATAN2(Fp1_u,A406)</f>
        <v>-1.55673802647915</v>
      </c>
      <c r="U406" s="0" t="n">
        <f aca="false">1/SQRT(1+(A406/Fp2_u)^2)</f>
        <v>0.358287210299089</v>
      </c>
      <c r="V406" s="0" t="n">
        <f aca="false">-ATAN2(Fp2_u,A406)</f>
        <v>-1.20436366588008</v>
      </c>
      <c r="X406" s="0" t="n">
        <f aca="false">20*LOG(C406*J406*O406*Q406*F406*M406*S406*U406)</f>
        <v>-9.0715673294695</v>
      </c>
      <c r="Y406" s="0" t="n">
        <f aca="false">(180/Pi)*(D406+H406+N406+P406+R406+T406+V406)</f>
        <v>-248.678888367615</v>
      </c>
      <c r="Z406" s="0" t="n">
        <f aca="false">Y406+180</f>
        <v>-68.6788883676153</v>
      </c>
      <c r="AC406" s="0" t="n">
        <v>1</v>
      </c>
      <c r="AD406" s="0" t="n">
        <f aca="false">Rcea1_u*Cc1ea_u*A406*2*Pi</f>
        <v>23.451863468544</v>
      </c>
      <c r="AE406" s="0" t="n">
        <f aca="false">-Rcea1_u*Cc1ea_u*Cc2ea_u*(A406*2*Pi)^2</f>
        <v>-0.0212187461476554</v>
      </c>
      <c r="AF406" s="0" t="n">
        <f aca="false">(Cc2ea_u+Cc1ea_u)*A406*2*Pi</f>
        <v>0.0081430081488</v>
      </c>
      <c r="AG406" s="0" t="n">
        <f aca="false">AC406*AE406/(AE406^2+AF406^2)+AD406*AF406/(AE406^2+AF406^2)</f>
        <v>328.626496163594</v>
      </c>
      <c r="AH406" s="0" t="n">
        <f aca="false">AD406*AE406/(AE406^2+AF406^2)-AC406*AF406/(AE406^2+AF406^2)</f>
        <v>-979.127375755325</v>
      </c>
      <c r="AJ406" s="0" t="n">
        <f aca="false">_Rfb1</f>
        <v>20000</v>
      </c>
      <c r="AK406" s="0" t="n">
        <f aca="false">_Rfb1*Rcea2_u*Cc3ea_u*A406*2*Pi</f>
        <v>1422553.36430592</v>
      </c>
      <c r="AL406" s="0" t="n">
        <v>1</v>
      </c>
      <c r="AM406" s="0" t="n">
        <f aca="false">(_Rfb1+Rcea2_u)*Cc3ea_u*A406*2*Pi</f>
        <v>26611.3023754153</v>
      </c>
      <c r="AN406" s="0" t="n">
        <f aca="false">AJ406*AL406/(AL406^2+AM406^2)+AK406*AM406/(AL406^2+AM406^2)</f>
        <v>53.4567641143223</v>
      </c>
      <c r="AO406" s="0" t="n">
        <f aca="false">AK406*AL406/(AL406^2+AM406^2)-AJ406*AM406/(AL406^2+AM406^2)</f>
        <v>-0.749551561005642</v>
      </c>
      <c r="AQ406" s="0" t="n">
        <f aca="false">Eadcg/(1+(Eadcg*A406/GBP)^2)</f>
        <v>0.0123536835502551</v>
      </c>
      <c r="AR406" s="0" t="n">
        <f aca="false">-(A406*Eadcg*Eadcg/GBP)/(1+(Eadcg*A406/GBP)^2)</f>
        <v>-6.24997558174504</v>
      </c>
      <c r="AT406" s="0" t="n">
        <f aca="false">-AR406*AH406+AG406*AQ406</f>
        <v>-6115.46244214904</v>
      </c>
      <c r="AU406" s="0" t="n">
        <f aca="false">AQ406*AH406+AG406*AR406</f>
        <v>-2066.00340629237</v>
      </c>
      <c r="AV406" s="0" t="n">
        <f aca="false">ATAN2(AT406,AU406)</f>
        <v>-2.81579811787715</v>
      </c>
      <c r="AW406" s="0" t="n">
        <f aca="false">AG406-AH406*AO406/_Rfb2+AG406*AN406/_Rfb2+AN406-AO406*AR406+AQ406*AN406</f>
        <v>385.634000457257</v>
      </c>
      <c r="AX406" s="0" t="n">
        <f aca="false">AH406+AH406*AN406/_Rfb2+AG406*AO406/_Rfb2+AO406+AO406*AQ406+AN406*AR406</f>
        <v>-1337.65394408281</v>
      </c>
      <c r="AY406" s="0" t="n">
        <f aca="false">ATAN2(AW406,AX406)</f>
        <v>-1.29011576625763</v>
      </c>
      <c r="BA406" s="0" t="n">
        <f aca="false">SQRT(AT406^2+AU406^2)/SQRT(AW406^2+AX406^2)</f>
        <v>4.63678534141318</v>
      </c>
      <c r="BB406" s="0" t="n">
        <f aca="false">20*LOG(BA406)</f>
        <v>13.3243398165677</v>
      </c>
      <c r="BC406" s="0" t="n">
        <f aca="false">AV406-AY406</f>
        <v>-1.52568235161952</v>
      </c>
      <c r="BD406" s="0" t="n">
        <f aca="false">BC406*180/Pi-180</f>
        <v>-267.415159725279</v>
      </c>
      <c r="BF406" s="0" t="n">
        <f aca="false">20*LOG(BA406*J406*F406*C406)</f>
        <v>-21.4666855266175</v>
      </c>
      <c r="BG406" s="0" t="n">
        <f aca="false">(180/Pi)*(D406+H406+BC406)</f>
        <v>-265.450777689564</v>
      </c>
      <c r="BH406" s="0" t="n">
        <f aca="false">IF(BG406&gt;180,BG406-180,BG406+180)</f>
        <v>-85.4507776895643</v>
      </c>
      <c r="BI406" s="0" t="n">
        <f aca="false">IF(BH406&gt;180,BH406-360,BH406)</f>
        <v>-85.4507776895643</v>
      </c>
      <c r="BJ406" s="0" t="n">
        <f aca="false">SUM((BF407&lt;0)*(BF406&gt;0))*A406</f>
        <v>0</v>
      </c>
      <c r="BK406" s="0" t="n">
        <f aca="false">IF(BJ406&gt;0,BI406,0)</f>
        <v>0</v>
      </c>
      <c r="BM406" s="0" t="n">
        <f aca="false">20*LOG(J406*F406*C406)</f>
        <v>-34.7910253431852</v>
      </c>
      <c r="BN406" s="0" t="n">
        <f aca="false">(H406+D406)*180/Pi</f>
        <v>-178.035617964285</v>
      </c>
      <c r="BQ406" s="347" t="n">
        <f aca="false">20*LOG(BA406*7)</f>
        <v>30.2263006168528</v>
      </c>
      <c r="BR406" s="353"/>
      <c r="BS406" s="353"/>
      <c r="BT406" s="353" t="n">
        <v>912010.839</v>
      </c>
      <c r="BU406" s="353" t="n">
        <v>6.47084</v>
      </c>
      <c r="BV406" s="353" t="n">
        <v>100.335</v>
      </c>
      <c r="BY406" s="353"/>
      <c r="BZ406" s="353"/>
      <c r="CA406" s="353"/>
      <c r="CC406" s="353"/>
    </row>
    <row r="407" customFormat="false" ht="12.75" hidden="false" customHeight="false" outlineLevel="0" collapsed="false">
      <c r="A407" s="0" t="n">
        <f aca="false">A406+5000</f>
        <v>965000</v>
      </c>
      <c r="B407" s="0" t="n">
        <f aca="false">A407/1000</f>
        <v>965</v>
      </c>
      <c r="C407" s="0" t="n">
        <f aca="false">SQRT((A407/Fesr)^2+1)</f>
        <v>1.00001838147574</v>
      </c>
      <c r="D407" s="0" t="n">
        <f aca="false">ATAN(A407/Fesr)</f>
        <v>0.00606319951417569</v>
      </c>
      <c r="F407" s="0" t="n">
        <f aca="false">(Ro/(Ro+Rdcr))/SQRT((A407/(Q*Fo))^2+(1-(A407^2/Fo^2))^2)</f>
        <v>0.00200299009855317</v>
      </c>
      <c r="G407" s="0" t="n">
        <f aca="false">-ATAN(A407*Fo/(Q*(Fo^2-A407^2)))</f>
        <v>0.0281062450329523</v>
      </c>
      <c r="H407" s="0" t="n">
        <f aca="false">IF(G407&gt;0,G407-Pi,G407)</f>
        <v>-3.11348640496705</v>
      </c>
      <c r="J407" s="0" t="n">
        <f aca="false">Vin/Vramp</f>
        <v>9</v>
      </c>
      <c r="M407" s="0" t="n">
        <f aca="false">1/(2*Pi*_Rfb1*(Cc1ea_u+Cc2ea_u)*A407)</f>
        <v>0.00610842230948979</v>
      </c>
      <c r="N407" s="0" t="n">
        <f aca="false">-Pi/2</f>
        <v>-1.570796325</v>
      </c>
      <c r="O407" s="0" t="n">
        <f aca="false">SQRT(1+(A407/Fz1_u)^2)</f>
        <v>23.5952088576893</v>
      </c>
      <c r="P407" s="0" t="n">
        <f aca="false">ATAN2(Fz1_u,A407)</f>
        <v>1.52840214358102</v>
      </c>
      <c r="Q407" s="0" t="n">
        <f aca="false">SQRT(1+(A407/Fz2_u)^2)</f>
        <v>26749.9029273122</v>
      </c>
      <c r="R407" s="0" t="n">
        <f aca="false">ATAN2(Fz2_u,A407)</f>
        <v>1.57075894348166</v>
      </c>
      <c r="S407" s="0" t="n">
        <f aca="false">1/SQRT(1+(A407/Fp1_u)^2)</f>
        <v>0.0139850129976545</v>
      </c>
      <c r="T407" s="0" t="n">
        <f aca="false">-ATAN2(Fp1_u,A407)</f>
        <v>-1.55681085789094</v>
      </c>
      <c r="U407" s="0" t="n">
        <f aca="false">1/SQRT(1+(A407/Fp2_u)^2)</f>
        <v>0.356667493412017</v>
      </c>
      <c r="V407" s="0" t="n">
        <f aca="false">-ATAN2(Fp2_u,A407)</f>
        <v>-1.20609798364194</v>
      </c>
      <c r="X407" s="0" t="n">
        <f aca="false">20*LOG(C407*J407*O407*Q407*F407*M407*S407*U407)</f>
        <v>-9.20138420618492</v>
      </c>
      <c r="Y407" s="0" t="n">
        <f aca="false">(180/Pi)*(D407+H407+N407+P407+R407+T407+V407)</f>
        <v>-248.776400494237</v>
      </c>
      <c r="Z407" s="0" t="n">
        <f aca="false">Y407+180</f>
        <v>-68.7764004942369</v>
      </c>
      <c r="AC407" s="0" t="n">
        <v>1</v>
      </c>
      <c r="AD407" s="0" t="n">
        <f aca="false">Rcea1_u*Cc1ea_u*A407*2*Pi</f>
        <v>23.574008590776</v>
      </c>
      <c r="AE407" s="0" t="n">
        <f aca="false">-Rcea1_u*Cc1ea_u*Cc2ea_u*(A407*2*Pi)^2</f>
        <v>-0.0214403503486875</v>
      </c>
      <c r="AF407" s="0" t="n">
        <f aca="false">(Cc2ea_u+Cc1ea_u)*A407*2*Pi</f>
        <v>0.008185419649575</v>
      </c>
      <c r="AG407" s="0" t="n">
        <f aca="false">AC407*AE407/(AE407^2+AF407^2)+AD407*AF407/(AE407^2+AF407^2)</f>
        <v>325.661954193437</v>
      </c>
      <c r="AH407" s="0" t="n">
        <f aca="false">AD407*AE407/(AE407^2+AF407^2)-AC407*AF407/(AE407^2+AF407^2)</f>
        <v>-975.18596906146</v>
      </c>
      <c r="AJ407" s="0" t="n">
        <f aca="false">_Rfb1</f>
        <v>20000</v>
      </c>
      <c r="AK407" s="0" t="n">
        <f aca="false">_Rfb1*Rcea2_u*Cc3ea_u*A407*2*Pi</f>
        <v>1429962.49641168</v>
      </c>
      <c r="AL407" s="0" t="n">
        <v>1</v>
      </c>
      <c r="AM407" s="0" t="n">
        <f aca="false">(_Rfb1+Rcea2_u)*Cc3ea_u*A407*2*Pi</f>
        <v>26749.9029086206</v>
      </c>
      <c r="AN407" s="0" t="n">
        <f aca="false">AJ407*AL407/(AL407^2+AM407^2)+AK407*AM407/(AL407^2+AM407^2)</f>
        <v>53.456763823196</v>
      </c>
      <c r="AO407" s="0" t="n">
        <f aca="false">AK407*AL407/(AL407^2+AM407^2)-AJ407*AM407/(AL407^2+AM407^2)</f>
        <v>-0.745667874171936</v>
      </c>
      <c r="AQ407" s="0" t="n">
        <f aca="false">Eadcg/(1+(Eadcg*A407/GBP)^2)</f>
        <v>0.0122259982492554</v>
      </c>
      <c r="AR407" s="0" t="n">
        <f aca="false">-(A407*Eadcg*Eadcg/GBP)/(1+(Eadcg*A407/GBP)^2)</f>
        <v>-6.21759253965009</v>
      </c>
      <c r="AT407" s="0" t="n">
        <f aca="false">-AR407*AH407+AG407*AQ407</f>
        <v>-6059.32746352616</v>
      </c>
      <c r="AU407" s="0" t="n">
        <f aca="false">AQ407*AH407+AG407*AR407</f>
        <v>-2036.75595879142</v>
      </c>
      <c r="AV407" s="0" t="n">
        <f aca="false">ATAN2(AT407,AU407)</f>
        <v>-2.81732214053029</v>
      </c>
      <c r="AW407" s="0" t="n">
        <f aca="false">AG407-AH407*AO407/_Rfb2+AG407*AN407/_Rfb2+AN407-AO407*AR407+AQ407*AN407</f>
        <v>382.642772501409</v>
      </c>
      <c r="AX407" s="0" t="n">
        <f aca="false">AH407+AH407*AN407/_Rfb2+AG407*AO407/_Rfb2+AO407+AO407*AQ407+AN407*AR407</f>
        <v>-1331.8810341707</v>
      </c>
      <c r="AY407" s="0" t="n">
        <f aca="false">ATAN2(AW407,AX407)</f>
        <v>-1.29103585620641</v>
      </c>
      <c r="BA407" s="0" t="n">
        <f aca="false">SQRT(AT407^2+AU407^2)/SQRT(AW407^2+AX407^2)</f>
        <v>4.6129888934547</v>
      </c>
      <c r="BB407" s="0" t="n">
        <f aca="false">20*LOG(BA407)</f>
        <v>13.2796481794528</v>
      </c>
      <c r="BC407" s="0" t="n">
        <f aca="false">AV407-AY407</f>
        <v>-1.52628628432388</v>
      </c>
      <c r="BD407" s="0" t="n">
        <f aca="false">BC407*180/Pi-180</f>
        <v>-267.449762520388</v>
      </c>
      <c r="BF407" s="0" t="n">
        <f aca="false">20*LOG(BA407*J407*F407*C407)</f>
        <v>-21.6017659250247</v>
      </c>
      <c r="BG407" s="0" t="n">
        <f aca="false">(180/Pi)*(D407+H407+BC407)</f>
        <v>-265.491997557295</v>
      </c>
      <c r="BH407" s="0" t="n">
        <f aca="false">IF(BG407&gt;180,BG407-180,BG407+180)</f>
        <v>-85.4919975572946</v>
      </c>
      <c r="BI407" s="0" t="n">
        <f aca="false">IF(BH407&gt;180,BH407-360,BH407)</f>
        <v>-85.4919975572946</v>
      </c>
      <c r="BJ407" s="0" t="n">
        <f aca="false">SUM((BF408&lt;0)*(BF407&gt;0))*A407</f>
        <v>0</v>
      </c>
      <c r="BK407" s="0" t="n">
        <f aca="false">IF(BJ407&gt;0,BI407,0)</f>
        <v>0</v>
      </c>
      <c r="BM407" s="0" t="n">
        <f aca="false">20*LOG(J407*F407*C407)</f>
        <v>-34.8814141044775</v>
      </c>
      <c r="BN407" s="0" t="n">
        <f aca="false">(H407+D407)*180/Pi</f>
        <v>-178.042235036906</v>
      </c>
      <c r="BQ407" s="347" t="n">
        <f aca="false">20*LOG(BA407*7)</f>
        <v>30.1816089797379</v>
      </c>
      <c r="BR407" s="353"/>
      <c r="BS407" s="353"/>
      <c r="BT407" s="353" t="n">
        <v>933254.301</v>
      </c>
      <c r="BU407" s="353" t="n">
        <v>6.24531</v>
      </c>
      <c r="BV407" s="353" t="n">
        <v>100.204</v>
      </c>
      <c r="BY407" s="353"/>
      <c r="BZ407" s="353"/>
      <c r="CA407" s="353"/>
      <c r="CC407" s="353"/>
    </row>
    <row r="408" customFormat="false" ht="12.75" hidden="false" customHeight="false" outlineLevel="0" collapsed="false">
      <c r="A408" s="0" t="n">
        <f aca="false">A407+5000</f>
        <v>970000</v>
      </c>
      <c r="B408" s="0" t="n">
        <f aca="false">A408/1000</f>
        <v>970</v>
      </c>
      <c r="C408" s="0" t="n">
        <f aca="false">SQRT((A408/Fesr)^2+1)</f>
        <v>1.00001857244905</v>
      </c>
      <c r="D408" s="0" t="n">
        <f aca="false">ATAN(A408/Fesr)</f>
        <v>0.00609461427977125</v>
      </c>
      <c r="F408" s="0" t="n">
        <f aca="false">(Ro/(Ro+Rdcr))/SQRT((A408/(Q*Fo))^2+(1-(A408^2/Fo^2))^2)</f>
        <v>0.00198236085933679</v>
      </c>
      <c r="G408" s="0" t="n">
        <f aca="false">-ATAN(A408*Fo/(Q*(Fo^2-A408^2)))</f>
        <v>0.0279608629501886</v>
      </c>
      <c r="H408" s="0" t="n">
        <f aca="false">IF(G408&gt;0,G408-Pi,G408)</f>
        <v>-3.11363178704981</v>
      </c>
      <c r="J408" s="0" t="n">
        <f aca="false">Vin/Vramp</f>
        <v>9</v>
      </c>
      <c r="M408" s="0" t="n">
        <f aca="false">1/(2*Pi*_Rfb1*(Cc1ea_u+Cc2ea_u)*A408)</f>
        <v>0.00607693559655427</v>
      </c>
      <c r="N408" s="0" t="n">
        <f aca="false">-Pi/2</f>
        <v>-1.570796325</v>
      </c>
      <c r="O408" s="0" t="n">
        <f aca="false">SQRT(1+(A408/Fz1_u)^2)</f>
        <v>23.7172447976257</v>
      </c>
      <c r="P408" s="0" t="n">
        <f aca="false">ATAN2(Fz1_u,A408)</f>
        <v>1.52862041057626</v>
      </c>
      <c r="Q408" s="0" t="n">
        <f aca="false">SQRT(1+(A408/Fz2_u)^2)</f>
        <v>26888.5034604212</v>
      </c>
      <c r="R408" s="0" t="n">
        <f aca="false">ATAN2(Fz2_u,A408)</f>
        <v>1.57075913617915</v>
      </c>
      <c r="S408" s="0" t="n">
        <f aca="false">1/SQRT(1+(A408/Fp1_u)^2)</f>
        <v>0.0139129392919401</v>
      </c>
      <c r="T408" s="0" t="n">
        <f aca="false">-ATAN2(Fp1_u,A408)</f>
        <v>-1.55688293860952</v>
      </c>
      <c r="U408" s="0" t="n">
        <f aca="false">1/SQRT(1+(A408/Fp2_u)^2)</f>
        <v>0.355061301601876</v>
      </c>
      <c r="V408" s="0" t="n">
        <f aca="false">-ATAN2(Fp2_u,A408)</f>
        <v>-1.20781668612051</v>
      </c>
      <c r="X408" s="0" t="n">
        <f aca="false">20*LOG(C408*J408*O408*Q408*F408*M408*S408*U408)</f>
        <v>-9.33057956872848</v>
      </c>
      <c r="Y408" s="0" t="n">
        <f aca="false">(180/Pi)*(D408+H408+N408+P408+R408+T408+V408)</f>
        <v>-248.873017841457</v>
      </c>
      <c r="Z408" s="0" t="n">
        <f aca="false">Y408+180</f>
        <v>-68.8730178414569</v>
      </c>
      <c r="AC408" s="0" t="n">
        <v>1</v>
      </c>
      <c r="AD408" s="0" t="n">
        <f aca="false">Rcea1_u*Cc1ea_u*A408*2*Pi</f>
        <v>23.696153713008</v>
      </c>
      <c r="AE408" s="0" t="n">
        <f aca="false">-Rcea1_u*Cc1ea_u*Cc2ea_u*(A408*2*Pi)^2</f>
        <v>-0.0216631057403743</v>
      </c>
      <c r="AF408" s="0" t="n">
        <f aca="false">(Cc2ea_u+Cc1ea_u)*A408*2*Pi</f>
        <v>0.00822783115035</v>
      </c>
      <c r="AG408" s="0" t="n">
        <f aca="false">AC408*AE408/(AE408^2+AF408^2)+AD408*AF408/(AE408^2+AF408^2)</f>
        <v>322.735431411759</v>
      </c>
      <c r="AH408" s="0" t="n">
        <f aca="false">AD408*AE408/(AE408^2+AF408^2)-AC408*AF408/(AE408^2+AF408^2)</f>
        <v>-971.270755416306</v>
      </c>
      <c r="AJ408" s="0" t="n">
        <f aca="false">_Rfb1</f>
        <v>20000</v>
      </c>
      <c r="AK408" s="0" t="n">
        <f aca="false">_Rfb1*Rcea2_u*Cc3ea_u*A408*2*Pi</f>
        <v>1437371.62851744</v>
      </c>
      <c r="AL408" s="0" t="n">
        <v>1</v>
      </c>
      <c r="AM408" s="0" t="n">
        <f aca="false">(_Rfb1+Rcea2_u)*Cc3ea_u*A408*2*Pi</f>
        <v>26888.5034418259</v>
      </c>
      <c r="AN408" s="0" t="n">
        <f aca="false">AJ408*AL408/(AL408^2+AM408^2)+AK408*AM408/(AL408^2+AM408^2)</f>
        <v>53.45676353656</v>
      </c>
      <c r="AO408" s="0" t="n">
        <f aca="false">AK408*AL408/(AL408^2+AM408^2)-AJ408*AM408/(AL408^2+AM408^2)</f>
        <v>-0.741824225346659</v>
      </c>
      <c r="AQ408" s="0" t="n">
        <f aca="false">Eadcg/(1+(Eadcg*A408/GBP)^2)</f>
        <v>0.0121002823597827</v>
      </c>
      <c r="AR408" s="0" t="n">
        <f aca="false">-(A408*Eadcg*Eadcg/GBP)/(1+(Eadcg*A408/GBP)^2)</f>
        <v>-6.18554333949733</v>
      </c>
      <c r="AT408" s="0" t="n">
        <f aca="false">-AR408*AH408+AG408*AQ408</f>
        <v>-6003.93216216628</v>
      </c>
      <c r="AU408" s="0" t="n">
        <f aca="false">AQ408*AH408+AG408*AR408</f>
        <v>-2008.04664857714</v>
      </c>
      <c r="AV408" s="0" t="n">
        <f aca="false">ATAN2(AT408,AU408)</f>
        <v>-2.81883271182853</v>
      </c>
      <c r="AW408" s="0" t="n">
        <f aca="false">AG408-AH408*AO408/_Rfb2+AG408*AN408/_Rfb2+AN408-AO408*AR408+AQ408*AN408</f>
        <v>379.68979674473</v>
      </c>
      <c r="AX408" s="0" t="n">
        <f aca="false">AH408+AH408*AN408/_Rfb2+AG408*AO408/_Rfb2+AO408+AO408*AQ408+AN408*AR408</f>
        <v>-1326.15286539754</v>
      </c>
      <c r="AY408" s="0" t="n">
        <f aca="false">ATAN2(AW408,AX408)</f>
        <v>-1.29194671772252</v>
      </c>
      <c r="BA408" s="0" t="n">
        <f aca="false">SQRT(AT408^2+AU408^2)/SQRT(AW408^2+AX408^2)</f>
        <v>4.58943367111137</v>
      </c>
      <c r="BB408" s="0" t="n">
        <f aca="false">20*LOG(BA408)</f>
        <v>13.2351819517658</v>
      </c>
      <c r="BC408" s="0" t="n">
        <f aca="false">AV408-AY408</f>
        <v>-1.52688599410602</v>
      </c>
      <c r="BD408" s="0" t="n">
        <f aca="false">BC408*180/Pi-180</f>
        <v>-267.484123359877</v>
      </c>
      <c r="BF408" s="0" t="n">
        <f aca="false">20*LOG(BA408*J408*F408*C408)</f>
        <v>-21.7361522586518</v>
      </c>
      <c r="BG408" s="0" t="n">
        <f aca="false">(180/Pi)*(D408+H408+BC408)</f>
        <v>-265.532888243067</v>
      </c>
      <c r="BH408" s="0" t="n">
        <f aca="false">IF(BG408&gt;180,BG408-180,BG408+180)</f>
        <v>-85.5328882430668</v>
      </c>
      <c r="BI408" s="0" t="n">
        <f aca="false">IF(BH408&gt;180,BH408-360,BH408)</f>
        <v>-85.5328882430668</v>
      </c>
      <c r="BJ408" s="0" t="n">
        <f aca="false">SUM((BF409&lt;0)*(BF408&gt;0))*A408</f>
        <v>0</v>
      </c>
      <c r="BK408" s="0" t="n">
        <f aca="false">IF(BJ408&gt;0,BI408,0)</f>
        <v>0</v>
      </c>
      <c r="BM408" s="0" t="n">
        <f aca="false">20*LOG(J408*F408*C408)</f>
        <v>-34.9713342104176</v>
      </c>
      <c r="BN408" s="0" t="n">
        <f aca="false">(H408+D408)*180/Pi</f>
        <v>-178.04876488319</v>
      </c>
      <c r="BQ408" s="347" t="n">
        <f aca="false">20*LOG(BA408*7)</f>
        <v>30.1371427520509</v>
      </c>
      <c r="BR408" s="353"/>
      <c r="BS408" s="353"/>
      <c r="BT408" s="353" t="n">
        <v>954992.586</v>
      </c>
      <c r="BU408" s="353" t="n">
        <v>6.13287</v>
      </c>
      <c r="BV408" s="353" t="n">
        <v>99.9566</v>
      </c>
      <c r="BY408" s="353"/>
      <c r="BZ408" s="353"/>
      <c r="CA408" s="353"/>
      <c r="CC408" s="353"/>
    </row>
    <row r="409" customFormat="false" ht="12.75" hidden="false" customHeight="false" outlineLevel="0" collapsed="false">
      <c r="A409" s="0" t="n">
        <f aca="false">A408+5000</f>
        <v>975000</v>
      </c>
      <c r="B409" s="0" t="n">
        <f aca="false">A409/1000</f>
        <v>975</v>
      </c>
      <c r="C409" s="0" t="n">
        <f aca="false">SQRT((A409/Fesr)^2+1)</f>
        <v>1.00001876440927</v>
      </c>
      <c r="D409" s="0" t="n">
        <f aca="false">ATAN(A409/Fesr)</f>
        <v>0.00612602903333727</v>
      </c>
      <c r="F409" s="0" t="n">
        <f aca="false">(Ro/(Ro+Rdcr))/SQRT((A409/(Q*Fo))^2+(1-(A409^2/Fo^2))^2)</f>
        <v>0.00196204885089581</v>
      </c>
      <c r="G409" s="0" t="n">
        <f aca="false">-ATAN(A409*Fo/(Q*(Fo^2-A409^2)))</f>
        <v>0.0278169796830618</v>
      </c>
      <c r="H409" s="0" t="n">
        <f aca="false">IF(G409&gt;0,G409-Pi,G409)</f>
        <v>-3.11377567031694</v>
      </c>
      <c r="J409" s="0" t="n">
        <f aca="false">Vin/Vramp</f>
        <v>9</v>
      </c>
      <c r="M409" s="0" t="n">
        <f aca="false">1/(2*Pi*_Rfb1*(Cc1ea_u+Cc2ea_u)*A409)</f>
        <v>0.00604577182426425</v>
      </c>
      <c r="N409" s="0" t="n">
        <f aca="false">-Pi/2</f>
        <v>-1.570796325</v>
      </c>
      <c r="O409" s="0" t="n">
        <f aca="false">SQRT(1+(A409/Fz1_u)^2)</f>
        <v>23.8392818558948</v>
      </c>
      <c r="P409" s="0" t="n">
        <f aca="false">ATAN2(Fz1_u,A409)</f>
        <v>1.52883644289508</v>
      </c>
      <c r="Q409" s="0" t="n">
        <f aca="false">SQRT(1+(A409/Fz2_u)^2)</f>
        <v>27027.1039935311</v>
      </c>
      <c r="R409" s="0" t="n">
        <f aca="false">ATAN2(Fz2_u,A409)</f>
        <v>1.57075932690026</v>
      </c>
      <c r="S409" s="0" t="n">
        <f aca="false">1/SQRT(1+(A409/Fp1_u)^2)</f>
        <v>0.0138416045901815</v>
      </c>
      <c r="T409" s="0" t="n">
        <f aca="false">-ATAN2(Fp1_u,A409)</f>
        <v>-1.55695428018106</v>
      </c>
      <c r="U409" s="0" t="n">
        <f aca="false">1/SQRT(1+(A409/Fp2_u)^2)</f>
        <v>0.353468481242303</v>
      </c>
      <c r="V409" s="0" t="n">
        <f aca="false">-ATAN2(Fp2_u,A409)</f>
        <v>-1.2095199732456</v>
      </c>
      <c r="X409" s="0" t="n">
        <f aca="false">20*LOG(C409*J409*O409*Q409*F409*M409*S409*U409)</f>
        <v>-9.45915918455839</v>
      </c>
      <c r="Y409" s="0" t="n">
        <f aca="false">(180/Pi)*(D409+H409+N409+P409+R409+T409+V409)</f>
        <v>-248.96875187962</v>
      </c>
      <c r="Z409" s="0" t="n">
        <f aca="false">Y409+180</f>
        <v>-68.9687518796198</v>
      </c>
      <c r="AC409" s="0" t="n">
        <v>1</v>
      </c>
      <c r="AD409" s="0" t="n">
        <f aca="false">Rcea1_u*Cc1ea_u*A409*2*Pi</f>
        <v>23.81829883524</v>
      </c>
      <c r="AE409" s="0" t="n">
        <f aca="false">-Rcea1_u*Cc1ea_u*Cc2ea_u*(A409*2*Pi)^2</f>
        <v>-0.0218870123227159</v>
      </c>
      <c r="AF409" s="0" t="n">
        <f aca="false">(Cc2ea_u+Cc1ea_u)*A409*2*Pi</f>
        <v>0.008270242651125</v>
      </c>
      <c r="AG409" s="0" t="n">
        <f aca="false">AC409*AE409/(AE409^2+AF409^2)+AD409*AF409/(AE409^2+AF409^2)</f>
        <v>319.846316113255</v>
      </c>
      <c r="AH409" s="0" t="n">
        <f aca="false">AD409*AE409/(AE409^2+AF409^2)-AC409*AF409/(AE409^2+AF409^2)</f>
        <v>-967.3815629893</v>
      </c>
      <c r="AJ409" s="0" t="n">
        <f aca="false">_Rfb1</f>
        <v>20000</v>
      </c>
      <c r="AK409" s="0" t="n">
        <f aca="false">_Rfb1*Rcea2_u*Cc3ea_u*A409*2*Pi</f>
        <v>1444780.7606232</v>
      </c>
      <c r="AL409" s="0" t="n">
        <v>1</v>
      </c>
      <c r="AM409" s="0" t="n">
        <f aca="false">(_Rfb1+Rcea2_u)*Cc3ea_u*A409*2*Pi</f>
        <v>27027.1039750312</v>
      </c>
      <c r="AN409" s="0" t="n">
        <f aca="false">AJ409*AL409/(AL409^2+AM409^2)+AK409*AM409/(AL409^2+AM409^2)</f>
        <v>53.4567632543225</v>
      </c>
      <c r="AO409" s="0" t="n">
        <f aca="false">AK409*AL409/(AL409^2+AM409^2)-AJ409*AM409/(AL409^2+AM409^2)</f>
        <v>-0.738019998560452</v>
      </c>
      <c r="AQ409" s="0" t="n">
        <f aca="false">Eadcg/(1+(Eadcg*A409/GBP)^2)</f>
        <v>0.0119764955876715</v>
      </c>
      <c r="AR409" s="0" t="n">
        <f aca="false">-(A409*Eadcg*Eadcg/GBP)/(1+(Eadcg*A409/GBP)^2)</f>
        <v>-6.1538228453353</v>
      </c>
      <c r="AT409" s="0" t="n">
        <f aca="false">-AR409*AH409+AG409*AQ409</f>
        <v>-5949.26412448606</v>
      </c>
      <c r="AU409" s="0" t="n">
        <f aca="false">AQ409*AH409+AG409*AR409</f>
        <v>-1979.86340811482</v>
      </c>
      <c r="AV409" s="0" t="n">
        <f aca="false">ATAN2(AT409,AU409)</f>
        <v>-2.82032999849303</v>
      </c>
      <c r="AW409" s="0" t="n">
        <f aca="false">AG409-AH409*AO409/_Rfb2+AG409*AN409/_Rfb2+AN409-AO409*AR409+AQ409*AN409</f>
        <v>376.774460565697</v>
      </c>
      <c r="AX409" s="0" t="n">
        <f aca="false">AH409+AH409*AN409/_Rfb2+AG409*AO409/_Rfb2+AO409+AO409*AQ409+AN409*AR409</f>
        <v>-1320.46898590843</v>
      </c>
      <c r="AY409" s="0" t="n">
        <f aca="false">ATAN2(AW409,AX409)</f>
        <v>-1.2928484540131</v>
      </c>
      <c r="BA409" s="0" t="n">
        <f aca="false">SQRT(AT409^2+AU409^2)/SQRT(AW409^2+AX409^2)</f>
        <v>4.56611604207337</v>
      </c>
      <c r="BB409" s="0" t="n">
        <f aca="false">20*LOG(BA409)</f>
        <v>13.1909388868064</v>
      </c>
      <c r="BC409" s="0" t="n">
        <f aca="false">AV409-AY409</f>
        <v>-1.52748154447993</v>
      </c>
      <c r="BD409" s="0" t="n">
        <f aca="false">BC409*180/Pi-180</f>
        <v>-267.518245882829</v>
      </c>
      <c r="BF409" s="0" t="n">
        <f aca="false">20*LOG(BA409*J409*F409*C409)</f>
        <v>-21.8698516163669</v>
      </c>
      <c r="BG409" s="0" t="n">
        <f aca="false">(180/Pi)*(D409+H409+BC409)</f>
        <v>-265.573454737181</v>
      </c>
      <c r="BH409" s="0" t="n">
        <f aca="false">IF(BG409&gt;180,BG409-180,BG409+180)</f>
        <v>-85.573454737181</v>
      </c>
      <c r="BI409" s="0" t="n">
        <f aca="false">IF(BH409&gt;180,BH409-360,BH409)</f>
        <v>-85.573454737181</v>
      </c>
      <c r="BJ409" s="0" t="n">
        <f aca="false">SUM((BF410&lt;0)*(BF409&gt;0))*A409</f>
        <v>0</v>
      </c>
      <c r="BK409" s="0" t="n">
        <f aca="false">IF(BJ409&gt;0,BI409,0)</f>
        <v>0</v>
      </c>
      <c r="BM409" s="0" t="n">
        <f aca="false">20*LOG(J409*F409*C409)</f>
        <v>-35.0607905031733</v>
      </c>
      <c r="BN409" s="0" t="n">
        <f aca="false">(H409+D409)*180/Pi</f>
        <v>-178.055208854352</v>
      </c>
      <c r="BQ409" s="347" t="n">
        <f aca="false">20*LOG(BA409*7)</f>
        <v>30.0928996870915</v>
      </c>
      <c r="BR409" s="353"/>
      <c r="BS409" s="353"/>
      <c r="BT409" s="353" t="n">
        <v>977237.221</v>
      </c>
      <c r="BU409" s="353" t="n">
        <v>5.75476</v>
      </c>
      <c r="BV409" s="353" t="n">
        <v>98.6996</v>
      </c>
      <c r="BY409" s="353"/>
      <c r="BZ409" s="353"/>
      <c r="CA409" s="353"/>
      <c r="CC409" s="353"/>
    </row>
    <row r="410" customFormat="false" ht="12.75" hidden="false" customHeight="false" outlineLevel="0" collapsed="false">
      <c r="A410" s="0" t="n">
        <f aca="false">A409+5000</f>
        <v>980000</v>
      </c>
      <c r="B410" s="0" t="n">
        <f aca="false">A410/1000</f>
        <v>980</v>
      </c>
      <c r="C410" s="0" t="n">
        <f aca="false">SQRT((A410/Fesr)^2+1)</f>
        <v>1.0000189573564</v>
      </c>
      <c r="D410" s="0" t="n">
        <f aca="false">ATAN(A410/Fesr)</f>
        <v>0.00615744377481174</v>
      </c>
      <c r="F410" s="0" t="n">
        <f aca="false">(Ro/(Ro+Rdcr))/SQRT((A410/(Q*Fo))^2+(1-(A410^2/Fo^2))^2)</f>
        <v>0.00194204759867624</v>
      </c>
      <c r="G410" s="0" t="n">
        <f aca="false">-ATAN(A410*Fo/(Q*(Fo^2-A410^2)))</f>
        <v>0.0276745721338468</v>
      </c>
      <c r="H410" s="0" t="n">
        <f aca="false">IF(G410&gt;0,G410-Pi,G410)</f>
        <v>-3.11391807786615</v>
      </c>
      <c r="J410" s="0" t="n">
        <f aca="false">Vin/Vramp</f>
        <v>9</v>
      </c>
      <c r="M410" s="0" t="n">
        <f aca="false">1/(2*Pi*_Rfb1*(Cc1ea_u+Cc2ea_u)*A410)</f>
        <v>0.00601492604965066</v>
      </c>
      <c r="N410" s="0" t="n">
        <f aca="false">-Pi/2</f>
        <v>-1.570796325</v>
      </c>
      <c r="O410" s="0" t="n">
        <f aca="false">SQRT(1+(A410/Fz1_u)^2)</f>
        <v>23.9613200154094</v>
      </c>
      <c r="P410" s="0" t="n">
        <f aca="false">ATAN2(Fz1_u,A410)</f>
        <v>1.52905027466168</v>
      </c>
      <c r="Q410" s="0" t="n">
        <f aca="false">SQRT(1+(A410/Fz2_u)^2)</f>
        <v>27165.704526642</v>
      </c>
      <c r="R410" s="0" t="n">
        <f aca="false">ATAN2(Fz2_u,A410)</f>
        <v>1.57075951567523</v>
      </c>
      <c r="S410" s="0" t="n">
        <f aca="false">1/SQRT(1+(A410/Fp1_u)^2)</f>
        <v>0.0137709975854172</v>
      </c>
      <c r="T410" s="0" t="n">
        <f aca="false">-ATAN2(Fp1_u,A410)</f>
        <v>-1.55702489391614</v>
      </c>
      <c r="U410" s="0" t="n">
        <f aca="false">1/SQRT(1+(A410/Fp2_u)^2)</f>
        <v>0.35188888072492</v>
      </c>
      <c r="V410" s="0" t="n">
        <f aca="false">-ATAN2(Fp2_u,A410)</f>
        <v>-1.21120804173446</v>
      </c>
      <c r="X410" s="0" t="n">
        <f aca="false">20*LOG(C410*J410*O410*Q410*F410*M410*S410*U410)</f>
        <v>-9.58712874244579</v>
      </c>
      <c r="Y410" s="0" t="n">
        <f aca="false">(180/Pi)*(D410+H410+N410+P410+R410+T410+V410)</f>
        <v>-249.063613894343</v>
      </c>
      <c r="Z410" s="0" t="n">
        <f aca="false">Y410+180</f>
        <v>-69.0636138943432</v>
      </c>
      <c r="AC410" s="0" t="n">
        <v>1</v>
      </c>
      <c r="AD410" s="0" t="n">
        <f aca="false">Rcea1_u*Cc1ea_u*A410*2*Pi</f>
        <v>23.940443957472</v>
      </c>
      <c r="AE410" s="0" t="n">
        <f aca="false">-Rcea1_u*Cc1ea_u*Cc2ea_u*(A410*2*Pi)^2</f>
        <v>-0.0221120700957121</v>
      </c>
      <c r="AF410" s="0" t="n">
        <f aca="false">(Cc2ea_u+Cc1ea_u)*A410*2*Pi</f>
        <v>0.0083126541519</v>
      </c>
      <c r="AG410" s="0" t="n">
        <f aca="false">AC410*AE410/(AE410^2+AF410^2)+AD410*AF410/(AE410^2+AF410^2)</f>
        <v>316.994008007262</v>
      </c>
      <c r="AH410" s="0" t="n">
        <f aca="false">AD410*AE410/(AE410^2+AF410^2)-AC410*AF410/(AE410^2+AF410^2)</f>
        <v>-963.51821916549</v>
      </c>
      <c r="AJ410" s="0" t="n">
        <f aca="false">_Rfb1</f>
        <v>20000</v>
      </c>
      <c r="AK410" s="0" t="n">
        <f aca="false">_Rfb1*Rcea2_u*Cc3ea_u*A410*2*Pi</f>
        <v>1452189.89272896</v>
      </c>
      <c r="AL410" s="0" t="n">
        <v>1</v>
      </c>
      <c r="AM410" s="0" t="n">
        <f aca="false">(_Rfb1+Rcea2_u)*Cc3ea_u*A410*2*Pi</f>
        <v>27165.7045082364</v>
      </c>
      <c r="AN410" s="0" t="n">
        <f aca="false">AJ410*AL410/(AL410^2+AM410^2)+AK410*AM410/(AL410^2+AM410^2)</f>
        <v>53.4567629763939</v>
      </c>
      <c r="AO410" s="0" t="n">
        <f aca="false">AK410*AL410/(AL410^2+AM410^2)-AJ410*AM410/(AL410^2+AM410^2)</f>
        <v>-0.734254590414762</v>
      </c>
      <c r="AQ410" s="0" t="n">
        <f aca="false">Eadcg/(1+(Eadcg*A410/GBP)^2)</f>
        <v>0.0118545986640319</v>
      </c>
      <c r="AR410" s="0" t="n">
        <f aca="false">-(A410*Eadcg*Eadcg/GBP)/(1+(Eadcg*A410/GBP)^2)</f>
        <v>-6.1224260260259</v>
      </c>
      <c r="AT410" s="0" t="n">
        <f aca="false">-AR410*AH410+AG410*AQ410</f>
        <v>-5895.31118482509</v>
      </c>
      <c r="AU410" s="0" t="n">
        <f aca="false">AQ410*AH410+AG410*AR410</f>
        <v>-1952.19448651161</v>
      </c>
      <c r="AV410" s="0" t="n">
        <f aca="false">ATAN2(AT410,AU410)</f>
        <v>-2.82181416470799</v>
      </c>
      <c r="AW410" s="0" t="n">
        <f aca="false">AG410-AH410*AO410/_Rfb2+AG410*AN410/_Rfb2+AN410-AO410*AR410+AQ410*AN410</f>
        <v>373.89616268456</v>
      </c>
      <c r="AX410" s="0" t="n">
        <f aca="false">AH410+AH410*AN410/_Rfb2+AG410*AO410/_Rfb2+AO410+AO410*AQ410+AN410*AR410</f>
        <v>-1314.82894868006</v>
      </c>
      <c r="AY410" s="0" t="n">
        <f aca="false">ATAN2(AW410,AX410)</f>
        <v>-1.29374116700992</v>
      </c>
      <c r="BA410" s="0" t="n">
        <f aca="false">SQRT(AT410^2+AU410^2)/SQRT(AW410^2+AX410^2)</f>
        <v>4.54303244620183</v>
      </c>
      <c r="BB410" s="0" t="n">
        <f aca="false">20*LOG(BA410)</f>
        <v>13.146916770878</v>
      </c>
      <c r="BC410" s="0" t="n">
        <f aca="false">AV410-AY410</f>
        <v>-1.52807299769807</v>
      </c>
      <c r="BD410" s="0" t="n">
        <f aca="false">BC410*180/Pi-180</f>
        <v>-267.552133656046</v>
      </c>
      <c r="BF410" s="0" t="n">
        <f aca="false">20*LOG(BA410*J410*F410*C410)</f>
        <v>-22.0028709792589</v>
      </c>
      <c r="BG410" s="0" t="n">
        <f aca="false">(180/Pi)*(D410+H410+BC410)</f>
        <v>-265.613701929846</v>
      </c>
      <c r="BH410" s="0" t="n">
        <f aca="false">IF(BG410&gt;180,BG410-180,BG410+180)</f>
        <v>-85.6137019298458</v>
      </c>
      <c r="BI410" s="0" t="n">
        <f aca="false">IF(BH410&gt;180,BH410-360,BH410)</f>
        <v>-85.6137019298458</v>
      </c>
      <c r="BJ410" s="0" t="n">
        <f aca="false">SUM((BF411&lt;0)*(BF410&gt;0))*A410</f>
        <v>0</v>
      </c>
      <c r="BK410" s="0" t="n">
        <f aca="false">IF(BJ410&gt;0,BI410,0)</f>
        <v>0</v>
      </c>
      <c r="BM410" s="0" t="n">
        <f aca="false">20*LOG(J410*F410*C410)</f>
        <v>-35.1497877501369</v>
      </c>
      <c r="BN410" s="0" t="n">
        <f aca="false">(H410+D410)*180/Pi</f>
        <v>-178.061568273799</v>
      </c>
      <c r="BQ410" s="347" t="n">
        <f aca="false">20*LOG(BA410*7)</f>
        <v>30.0488775711631</v>
      </c>
    </row>
    <row r="411" customFormat="false" ht="12.75" hidden="false" customHeight="false" outlineLevel="0" collapsed="false">
      <c r="A411" s="0" t="n">
        <f aca="false">A410+5000</f>
        <v>985000</v>
      </c>
      <c r="B411" s="0" t="n">
        <f aca="false">A411/1000</f>
        <v>985</v>
      </c>
      <c r="C411" s="0" t="n">
        <f aca="false">SQRT((A411/Fesr)^2+1)</f>
        <v>1.00001915129043</v>
      </c>
      <c r="D411" s="0" t="n">
        <f aca="false">ATAN(A411/Fesr)</f>
        <v>0.00618885850413268</v>
      </c>
      <c r="F411" s="0" t="n">
        <f aca="false">(Ro/(Ro+Rdcr))/SQRT((A411/(Q*Fo))^2+(1-(A411^2/Fo^2))^2)</f>
        <v>0.00192235079254803</v>
      </c>
      <c r="G411" s="0" t="n">
        <f aca="false">-ATAN(A411*Fo/(Q*(Fo^2-A411^2)))</f>
        <v>0.0275336176777654</v>
      </c>
      <c r="H411" s="0" t="n">
        <f aca="false">IF(G411&gt;0,G411-Pi,G411)</f>
        <v>-3.11405903232223</v>
      </c>
      <c r="J411" s="0" t="n">
        <f aca="false">Vin/Vramp</f>
        <v>9</v>
      </c>
      <c r="M411" s="0" t="n">
        <f aca="false">1/(2*Pi*_Rfb1*(Cc1ea_u+Cc2ea_u)*A411)</f>
        <v>0.00598439343010928</v>
      </c>
      <c r="N411" s="0" t="n">
        <f aca="false">-Pi/2</f>
        <v>-1.570796325</v>
      </c>
      <c r="O411" s="0" t="n">
        <f aca="false">SQRT(1+(A411/Fz1_u)^2)</f>
        <v>24.0833592594283</v>
      </c>
      <c r="P411" s="0" t="n">
        <f aca="false">ATAN2(Fz1_u,A411)</f>
        <v>1.52926193930937</v>
      </c>
      <c r="Q411" s="0" t="n">
        <f aca="false">SQRT(1+(A411/Fz2_u)^2)</f>
        <v>27304.3050597539</v>
      </c>
      <c r="R411" s="0" t="n">
        <f aca="false">ATAN2(Fz2_u,A411)</f>
        <v>1.5707597025337</v>
      </c>
      <c r="S411" s="0" t="n">
        <f aca="false">1/SQRT(1+(A411/Fp1_u)^2)</f>
        <v>0.0137011072001599</v>
      </c>
      <c r="T411" s="0" t="n">
        <f aca="false">-ATAN2(Fp1_u,A411)</f>
        <v>-1.55709479089578</v>
      </c>
      <c r="U411" s="0" t="n">
        <f aca="false">1/SQRT(1+(A411/Fp2_u)^2)</f>
        <v>0.35032235043426</v>
      </c>
      <c r="V411" s="0" t="n">
        <f aca="false">-ATAN2(Fp2_u,A411)</f>
        <v>-1.21288108515167</v>
      </c>
      <c r="X411" s="0" t="n">
        <f aca="false">20*LOG(C411*J411*O411*Q411*F411*M411*S411*U411)</f>
        <v>-9.71449385389916</v>
      </c>
      <c r="Y411" s="0" t="n">
        <f aca="false">(180/Pi)*(D411+H411+N411+P411+R411+T411+V411)</f>
        <v>-249.157614989978</v>
      </c>
      <c r="Z411" s="0" t="n">
        <f aca="false">Y411+180</f>
        <v>-69.1576149899779</v>
      </c>
      <c r="AC411" s="0" t="n">
        <v>1</v>
      </c>
      <c r="AD411" s="0" t="n">
        <f aca="false">Rcea1_u*Cc1ea_u*A411*2*Pi</f>
        <v>24.062589079704</v>
      </c>
      <c r="AE411" s="0" t="n">
        <f aca="false">-Rcea1_u*Cc1ea_u*Cc2ea_u*(A411*2*Pi)^2</f>
        <v>-0.0223382790593631</v>
      </c>
      <c r="AF411" s="0" t="n">
        <f aca="false">(Cc2ea_u+Cc1ea_u)*A411*2*Pi</f>
        <v>0.008355065652675</v>
      </c>
      <c r="AG411" s="0" t="n">
        <f aca="false">AC411*AE411/(AE411^2+AF411^2)+AD411*AF411/(AE411^2+AF411^2)</f>
        <v>314.177917987288</v>
      </c>
      <c r="AH411" s="0" t="n">
        <f aca="false">AD411*AE411/(AE411^2+AF411^2)-AC411*AF411/(AE411^2+AF411^2)</f>
        <v>-959.680550651637</v>
      </c>
      <c r="AJ411" s="0" t="n">
        <f aca="false">_Rfb1</f>
        <v>20000</v>
      </c>
      <c r="AK411" s="0" t="n">
        <f aca="false">_Rfb1*Rcea2_u*Cc3ea_u*A411*2*Pi</f>
        <v>1459599.02483472</v>
      </c>
      <c r="AL411" s="0" t="n">
        <v>1</v>
      </c>
      <c r="AM411" s="0" t="n">
        <f aca="false">(_Rfb1+Rcea2_u)*Cc3ea_u*A411*2*Pi</f>
        <v>27304.3050414417</v>
      </c>
      <c r="AN411" s="0" t="n">
        <f aca="false">AJ411*AL411/(AL411^2+AM411^2)+AK411*AM411/(AL411^2+AM411^2)</f>
        <v>53.456762702687</v>
      </c>
      <c r="AO411" s="0" t="n">
        <f aca="false">AK411*AL411/(AL411^2+AM411^2)-AJ411*AM411/(AL411^2+AM411^2)</f>
        <v>-0.730527409762782</v>
      </c>
      <c r="AQ411" s="0" t="n">
        <f aca="false">Eadcg/(1+(Eadcg*A411/GBP)^2)</f>
        <v>0.0117345533141028</v>
      </c>
      <c r="AR411" s="0" t="n">
        <f aca="false">-(A411*Eadcg*Eadcg/GBP)/(1+(Eadcg*A411/GBP)^2)</f>
        <v>-6.09134795258418</v>
      </c>
      <c r="AT411" s="0" t="n">
        <f aca="false">-AR411*AH411+AG411*AQ411</f>
        <v>-5842.06141981797</v>
      </c>
      <c r="AU411" s="0" t="n">
        <f aca="false">AQ411*AH411+AG411*AR411</f>
        <v>-1925.02844006516</v>
      </c>
      <c r="AV411" s="0" t="n">
        <f aca="false">ATAN2(AT411,AU411)</f>
        <v>-2.82328537216356</v>
      </c>
      <c r="AW411" s="0" t="n">
        <f aca="false">AG411-AH411*AO411/_Rfb2+AG411*AN411/_Rfb2+AN411-AO411*AR411+AQ411*AN411</f>
        <v>371.054312937776</v>
      </c>
      <c r="AX411" s="0" t="n">
        <f aca="false">AH411+AH411*AN411/_Rfb2+AG411*AO411/_Rfb2+AO411+AO411*AQ411+AN411*AR411</f>
        <v>-1309.23231148627</v>
      </c>
      <c r="AY411" s="0" t="n">
        <f aca="false">ATAN2(AW411,AX411)</f>
        <v>-1.29462495738122</v>
      </c>
      <c r="BA411" s="0" t="n">
        <f aca="false">SQRT(AT411^2+AU411^2)/SQRT(AW411^2+AX411^2)</f>
        <v>4.52017939375492</v>
      </c>
      <c r="BB411" s="0" t="n">
        <f aca="false">20*LOG(BA411)</f>
        <v>13.1031134226516</v>
      </c>
      <c r="BC411" s="0" t="n">
        <f aca="false">AV411-AY411</f>
        <v>-1.52866041478234</v>
      </c>
      <c r="BD411" s="0" t="n">
        <f aca="false">BC411*180/Pi-180</f>
        <v>-267.585790175827</v>
      </c>
      <c r="BF411" s="0" t="n">
        <f aca="false">20*LOG(BA411*J411*F411*C411)</f>
        <v>-22.1352172228076</v>
      </c>
      <c r="BG411" s="0" t="n">
        <f aca="false">(180/Pi)*(D411+H411+BC411)</f>
        <v>-265.653634613666</v>
      </c>
      <c r="BH411" s="0" t="n">
        <f aca="false">IF(BG411&gt;180,BG411-180,BG411+180)</f>
        <v>-85.6536346136661</v>
      </c>
      <c r="BI411" s="0" t="n">
        <f aca="false">IF(BH411&gt;180,BH411-360,BH411)</f>
        <v>-85.6536346136661</v>
      </c>
      <c r="BJ411" s="0" t="n">
        <f aca="false">SUM((BF412&lt;0)*(BF411&gt;0))*A411</f>
        <v>0</v>
      </c>
      <c r="BK411" s="0" t="n">
        <f aca="false">IF(BJ411&gt;0,BI411,0)</f>
        <v>0</v>
      </c>
      <c r="BM411" s="0" t="n">
        <f aca="false">20*LOG(J411*F411*C411)</f>
        <v>-35.2383306454592</v>
      </c>
      <c r="BN411" s="0" t="n">
        <f aca="false">(H411+D411)*180/Pi</f>
        <v>-178.067844437839</v>
      </c>
      <c r="BQ411" s="347" t="n">
        <f aca="false">20*LOG(BA411*7)</f>
        <v>30.0050742229367</v>
      </c>
    </row>
    <row r="412" customFormat="false" ht="12.75" hidden="false" customHeight="false" outlineLevel="0" collapsed="false">
      <c r="A412" s="0" t="n">
        <f aca="false">A411+5000</f>
        <v>990000</v>
      </c>
      <c r="B412" s="0" t="n">
        <f aca="false">A412/1000</f>
        <v>990</v>
      </c>
      <c r="C412" s="0" t="n">
        <f aca="false">SQRT((A412/Fesr)^2+1)</f>
        <v>1.00001934621137</v>
      </c>
      <c r="D412" s="0" t="n">
        <f aca="false">ATAN(A412/Fesr)</f>
        <v>0.00622027322123808</v>
      </c>
      <c r="F412" s="0" t="n">
        <f aca="false">(Ro/(Ro+Rdcr))/SQRT((A412/(Q*Fo))^2+(1-(A412^2/Fo^2))^2)</f>
        <v>0.00190295228181723</v>
      </c>
      <c r="G412" s="0" t="n">
        <f aca="false">-ATAN(A412*Fo/(Q*(Fo^2-A412^2)))</f>
        <v>0.0273940941509237</v>
      </c>
      <c r="H412" s="0" t="n">
        <f aca="false">IF(G412&gt;0,G412-Pi,G412)</f>
        <v>-3.11419855584908</v>
      </c>
      <c r="J412" s="0" t="n">
        <f aca="false">Vin/Vramp</f>
        <v>9</v>
      </c>
      <c r="M412" s="0" t="n">
        <f aca="false">1/(2*Pi*_Rfb1*(Cc1ea_u+Cc2ea_u)*A412)</f>
        <v>0.00595416922086631</v>
      </c>
      <c r="N412" s="0" t="n">
        <f aca="false">-Pi/2</f>
        <v>-1.570796325</v>
      </c>
      <c r="O412" s="0" t="n">
        <f aca="false">SQRT(1+(A412/Fz1_u)^2)</f>
        <v>24.2053995715479</v>
      </c>
      <c r="P412" s="0" t="n">
        <f aca="false">ATAN2(Fz1_u,A412)</f>
        <v>1.52947146959799</v>
      </c>
      <c r="Q412" s="0" t="n">
        <f aca="false">SQRT(1+(A412/Fz2_u)^2)</f>
        <v>27442.9055928667</v>
      </c>
      <c r="R412" s="0" t="n">
        <f aca="false">ATAN2(Fz2_u,A412)</f>
        <v>1.57075988750472</v>
      </c>
      <c r="S412" s="0" t="n">
        <f aca="false">1/SQRT(1+(A412/Fp1_u)^2)</f>
        <v>0.0136319225806047</v>
      </c>
      <c r="T412" s="0" t="n">
        <f aca="false">-ATAN2(Fp1_u,A412)</f>
        <v>-1.55716398197718</v>
      </c>
      <c r="U412" s="0" t="n">
        <f aca="false">1/SQRT(1+(A412/Fp2_u)^2)</f>
        <v>0.348768742722783</v>
      </c>
      <c r="V412" s="0" t="n">
        <f aca="false">-ATAN2(Fp2_u,A412)</f>
        <v>-1.21453929396785</v>
      </c>
      <c r="X412" s="0" t="n">
        <f aca="false">20*LOG(C412*J412*O412*Q412*F412*M412*S412*U412)</f>
        <v>-9.84126005455599</v>
      </c>
      <c r="Y412" s="0" t="n">
        <f aca="false">(180/Pi)*(D412+H412+N412+P412+R412+T412+V412)</f>
        <v>-249.250766092997</v>
      </c>
      <c r="Z412" s="0" t="n">
        <f aca="false">Y412+180</f>
        <v>-69.2507660929965</v>
      </c>
      <c r="AC412" s="0" t="n">
        <v>1</v>
      </c>
      <c r="AD412" s="0" t="n">
        <f aca="false">Rcea1_u*Cc1ea_u*A412*2*Pi</f>
        <v>24.184734201936</v>
      </c>
      <c r="AE412" s="0" t="n">
        <f aca="false">-Rcea1_u*Cc1ea_u*Cc2ea_u*(A412*2*Pi)^2</f>
        <v>-0.0225656392136687</v>
      </c>
      <c r="AF412" s="0" t="n">
        <f aca="false">(Cc2ea_u+Cc1ea_u)*A412*2*Pi</f>
        <v>0.00839747715345</v>
      </c>
      <c r="AG412" s="0" t="n">
        <f aca="false">AC412*AE412/(AE412^2+AF412^2)+AD412*AF412/(AE412^2+AF412^2)</f>
        <v>311.397467905104</v>
      </c>
      <c r="AH412" s="0" t="n">
        <f aca="false">AD412*AE412/(AE412^2+AF412^2)-AC412*AF412/(AE412^2+AF412^2)</f>
        <v>-955.868383577418</v>
      </c>
      <c r="AJ412" s="0" t="n">
        <f aca="false">_Rfb1</f>
        <v>20000</v>
      </c>
      <c r="AK412" s="0" t="n">
        <f aca="false">_Rfb1*Rcea2_u*Cc3ea_u*A412*2*Pi</f>
        <v>1467008.15694048</v>
      </c>
      <c r="AL412" s="0" t="n">
        <v>1</v>
      </c>
      <c r="AM412" s="0" t="n">
        <f aca="false">(_Rfb1+Rcea2_u)*Cc3ea_u*A412*2*Pi</f>
        <v>27442.905574647</v>
      </c>
      <c r="AN412" s="0" t="n">
        <f aca="false">AJ412*AL412/(AL412^2+AM412^2)+AK412*AM412/(AL412^2+AM412^2)</f>
        <v>53.4567624331166</v>
      </c>
      <c r="AO412" s="0" t="n">
        <f aca="false">AK412*AL412/(AL412^2+AM412^2)-AJ412*AM412/(AL412^2+AM412^2)</f>
        <v>-0.726837877400066</v>
      </c>
      <c r="AQ412" s="0" t="n">
        <f aca="false">Eadcg/(1+(Eadcg*A412/GBP)^2)</f>
        <v>0.0116163222272034</v>
      </c>
      <c r="AR412" s="0" t="n">
        <f aca="false">-(A412*Eadcg*Eadcg/GBP)/(1+(Eadcg*A412/GBP)^2)</f>
        <v>-6.06058379559882</v>
      </c>
      <c r="AT412" s="0" t="n">
        <f aca="false">-AR412*AH412+AG412*AQ412</f>
        <v>-5789.50314290662</v>
      </c>
      <c r="AU412" s="0" t="n">
        <f aca="false">AQ412*AH412+AG412*AR412</f>
        <v>-1898.35412312661</v>
      </c>
      <c r="AV412" s="0" t="n">
        <f aca="false">ATAN2(AT412,AU412)</f>
        <v>-2.82474378009787</v>
      </c>
      <c r="AW412" s="0" t="n">
        <f aca="false">AG412-AH412*AO412/_Rfb2+AG412*AN412/_Rfb2+AN412-AO412*AR412+AQ412*AN412</f>
        <v>368.248332056756</v>
      </c>
      <c r="AX412" s="0" t="n">
        <f aca="false">AH412+AH412*AN412/_Rfb2+AG412*AO412/_Rfb2+AO412+AO412*AQ412+AN412*AR412</f>
        <v>-1303.6786368629</v>
      </c>
      <c r="AY412" s="0" t="n">
        <f aca="false">ATAN2(AW412,AX412)</f>
        <v>-1.29549992454372</v>
      </c>
      <c r="BA412" s="0" t="n">
        <f aca="false">SQRT(AT412^2+AU412^2)/SQRT(AW412^2+AX412^2)</f>
        <v>4.49755346366576</v>
      </c>
      <c r="BB412" s="0" t="n">
        <f aca="false">20*LOG(BA412)</f>
        <v>13.0595266925453</v>
      </c>
      <c r="BC412" s="0" t="n">
        <f aca="false">AV412-AY412</f>
        <v>-1.52924385555415</v>
      </c>
      <c r="BD412" s="0" t="n">
        <f aca="false">BC412*180/Pi-180</f>
        <v>-267.619218869686</v>
      </c>
      <c r="BF412" s="0" t="n">
        <f aca="false">20*LOG(BA412*J412*F412*C412)</f>
        <v>-22.2668971189992</v>
      </c>
      <c r="BG412" s="0" t="n">
        <f aca="false">(180/Pi)*(D412+H412+BC412)</f>
        <v>-265.693257486058</v>
      </c>
      <c r="BH412" s="0" t="n">
        <f aca="false">IF(BG412&gt;180,BG412-180,BG412+180)</f>
        <v>-85.6932574860583</v>
      </c>
      <c r="BI412" s="0" t="n">
        <f aca="false">IF(BH412&gt;180,BH412-360,BH412)</f>
        <v>-85.6932574860583</v>
      </c>
      <c r="BJ412" s="0" t="n">
        <f aca="false">SUM((BF413&lt;0)*(BF412&gt;0))*A412</f>
        <v>0</v>
      </c>
      <c r="BK412" s="0" t="n">
        <f aca="false">IF(BJ412&gt;0,BI412,0)</f>
        <v>0</v>
      </c>
      <c r="BM412" s="0" t="n">
        <f aca="false">20*LOG(J412*F412*C412)</f>
        <v>-35.3264238115445</v>
      </c>
      <c r="BN412" s="0" t="n">
        <f aca="false">(H412+D412)*180/Pi</f>
        <v>-178.074038616372</v>
      </c>
      <c r="BQ412" s="347" t="n">
        <f aca="false">20*LOG(BA412*7)</f>
        <v>29.9614874928304</v>
      </c>
    </row>
    <row r="413" customFormat="false" ht="12.75" hidden="false" customHeight="false" outlineLevel="0" collapsed="false">
      <c r="A413" s="0" t="n">
        <f aca="false">A412+5000</f>
        <v>995000</v>
      </c>
      <c r="B413" s="0" t="n">
        <f aca="false">A413/1000</f>
        <v>995</v>
      </c>
      <c r="C413" s="0" t="n">
        <f aca="false">SQRT((A413/Fesr)^2+1)</f>
        <v>1.0000195421192</v>
      </c>
      <c r="D413" s="0" t="n">
        <f aca="false">ATAN(A413/Fesr)</f>
        <v>0.00625168792606594</v>
      </c>
      <c r="F413" s="0" t="n">
        <f aca="false">(Ro/(Ro+Rdcr))/SQRT((A413/(Q*Fo))^2+(1-(A413^2/Fo^2))^2)</f>
        <v>0.00188384607041377</v>
      </c>
      <c r="G413" s="0" t="n">
        <f aca="false">-ATAN(A413*Fo/(Q*(Fo^2-A413^2)))</f>
        <v>0.0272559798386175</v>
      </c>
      <c r="H413" s="0" t="n">
        <f aca="false">IF(G413&gt;0,G413-Pi,G413)</f>
        <v>-3.11433667016138</v>
      </c>
      <c r="J413" s="0" t="n">
        <f aca="false">Vin/Vramp</f>
        <v>9</v>
      </c>
      <c r="M413" s="0" t="n">
        <f aca="false">1/(2*Pi*_Rfb1*(Cc1ea_u+Cc2ea_u)*A413)</f>
        <v>0.00592424877252024</v>
      </c>
      <c r="N413" s="0" t="n">
        <f aca="false">-Pi/2</f>
        <v>-1.570796325</v>
      </c>
      <c r="O413" s="0" t="n">
        <f aca="false">SQRT(1+(A413/Fz1_u)^2)</f>
        <v>24.3274409356937</v>
      </c>
      <c r="P413" s="0" t="n">
        <f aca="false">ATAN2(Fz1_u,A413)</f>
        <v>1.52967889763078</v>
      </c>
      <c r="Q413" s="0" t="n">
        <f aca="false">SQRT(1+(A413/Fz2_u)^2)</f>
        <v>27581.5061259804</v>
      </c>
      <c r="R413" s="0" t="n">
        <f aca="false">ATAN2(Fz2_u,A413)</f>
        <v>1.57076007061673</v>
      </c>
      <c r="S413" s="0" t="n">
        <f aca="false">1/SQRT(1+(A413/Fp1_u)^2)</f>
        <v>0.0135634330910125</v>
      </c>
      <c r="T413" s="0" t="n">
        <f aca="false">-ATAN2(Fp1_u,A413)</f>
        <v>-1.55723247779941</v>
      </c>
      <c r="U413" s="0" t="n">
        <f aca="false">1/SQRT(1+(A413/Fp2_u)^2)</f>
        <v>0.347227911885996</v>
      </c>
      <c r="V413" s="0" t="n">
        <f aca="false">-ATAN2(Fp2_u,A413)</f>
        <v>-1.21618285561716</v>
      </c>
      <c r="X413" s="0" t="n">
        <f aca="false">20*LOG(C413*J413*O413*Q413*F413*M413*S413*U413)</f>
        <v>-9.96743280554267</v>
      </c>
      <c r="Y413" s="0" t="n">
        <f aca="false">(180/Pi)*(D413+H413+N413+P413+R413+T413+V413)</f>
        <v>-249.343077955313</v>
      </c>
      <c r="Z413" s="0" t="n">
        <f aca="false">Y413+180</f>
        <v>-69.343077955313</v>
      </c>
      <c r="AC413" s="0" t="n">
        <v>1</v>
      </c>
      <c r="AD413" s="0" t="n">
        <f aca="false">Rcea1_u*Cc1ea_u*A413*2*Pi</f>
        <v>24.306879324168</v>
      </c>
      <c r="AE413" s="0" t="n">
        <f aca="false">-Rcea1_u*Cc1ea_u*Cc2ea_u*(A413*2*Pi)^2</f>
        <v>-0.0227941505586291</v>
      </c>
      <c r="AF413" s="0" t="n">
        <f aca="false">(Cc2ea_u+Cc1ea_u)*A413*2*Pi</f>
        <v>0.008439888654225</v>
      </c>
      <c r="AG413" s="0" t="n">
        <f aca="false">AC413*AE413/(AE413^2+AF413^2)+AD413*AF413/(AE413^2+AF413^2)</f>
        <v>308.652090349335</v>
      </c>
      <c r="AH413" s="0" t="n">
        <f aca="false">AD413*AE413/(AE413^2+AF413^2)-AC413*AF413/(AE413^2+AF413^2)</f>
        <v>-952.081543591903</v>
      </c>
      <c r="AJ413" s="0" t="n">
        <f aca="false">_Rfb1</f>
        <v>20000</v>
      </c>
      <c r="AK413" s="0" t="n">
        <f aca="false">_Rfb1*Rcea2_u*Cc3ea_u*A413*2*Pi</f>
        <v>1474417.28904624</v>
      </c>
      <c r="AL413" s="0" t="n">
        <v>1</v>
      </c>
      <c r="AM413" s="0" t="n">
        <f aca="false">(_Rfb1+Rcea2_u)*Cc3ea_u*A413*2*Pi</f>
        <v>27581.5061078523</v>
      </c>
      <c r="AN413" s="0" t="n">
        <f aca="false">AJ413*AL413/(AL413^2+AM413^2)+AK413*AM413/(AL413^2+AM413^2)</f>
        <v>53.4567621675999</v>
      </c>
      <c r="AO413" s="0" t="n">
        <f aca="false">AK413*AL413/(AL413^2+AM413^2)-AJ413*AM413/(AL413^2+AM413^2)</f>
        <v>-0.723185425764466</v>
      </c>
      <c r="AQ413" s="0" t="n">
        <f aca="false">Eadcg/(1+(Eadcg*A413/GBP)^2)</f>
        <v>0.0114998690277389</v>
      </c>
      <c r="AR413" s="0" t="n">
        <f aca="false">-(A413*Eadcg*Eadcg/GBP)/(1+(Eadcg*A413/GBP)^2)</f>
        <v>-6.0301288227303</v>
      </c>
      <c r="AT413" s="0" t="n">
        <f aca="false">-AR413*AH413+AG413*AQ413</f>
        <v>-5737.62489898893</v>
      </c>
      <c r="AU413" s="0" t="n">
        <f aca="false">AQ413*AH413+AG413*AR413</f>
        <v>-1872.16067926651</v>
      </c>
      <c r="AV413" s="0" t="n">
        <f aca="false">ATAN2(AT413,AU413)</f>
        <v>-2.82618954533854</v>
      </c>
      <c r="AW413" s="0" t="n">
        <f aca="false">AG413-AH413*AO413/_Rfb2+AG413*AN413/_Rfb2+AN413-AO413*AR413+AQ413*AN413</f>
        <v>365.477651450871</v>
      </c>
      <c r="AX413" s="0" t="n">
        <f aca="false">AH413+AH413*AN413/_Rfb2+AG413*AO413/_Rfb2+AO413+AO413*AQ413+AN413*AR413</f>
        <v>-1298.16749207203</v>
      </c>
      <c r="AY413" s="0" t="n">
        <f aca="false">ATAN2(AW413,AX413)</f>
        <v>-1.29636616667488</v>
      </c>
      <c r="BA413" s="0" t="n">
        <f aca="false">SQRT(AT413^2+AU413^2)/SQRT(AW413^2+AX413^2)</f>
        <v>4.47515130187036</v>
      </c>
      <c r="BB413" s="0" t="n">
        <f aca="false">20*LOG(BA413)</f>
        <v>13.0161544621183</v>
      </c>
      <c r="BC413" s="0" t="n">
        <f aca="false">AV413-AY413</f>
        <v>-1.52982337866366</v>
      </c>
      <c r="BD413" s="0" t="n">
        <f aca="false">BC413*180/Pi-180</f>
        <v>-267.652423098029</v>
      </c>
      <c r="BF413" s="0" t="n">
        <f aca="false">20*LOG(BA413*J413*F413*C413)</f>
        <v>-22.3979173383889</v>
      </c>
      <c r="BG413" s="0" t="n">
        <f aca="false">(180/Pi)*(D413+H413+BC413)</f>
        <v>-265.732575151592</v>
      </c>
      <c r="BH413" s="0" t="n">
        <f aca="false">IF(BG413&gt;180,BG413-180,BG413+180)</f>
        <v>-85.7325751515925</v>
      </c>
      <c r="BI413" s="0" t="n">
        <f aca="false">IF(BH413&gt;180,BH413-360,BH413)</f>
        <v>-85.7325751515925</v>
      </c>
      <c r="BJ413" s="0" t="n">
        <f aca="false">SUM((BF414&lt;0)*(BF413&gt;0))*A413</f>
        <v>0</v>
      </c>
      <c r="BK413" s="0" t="n">
        <f aca="false">IF(BJ413&gt;0,BI413,0)</f>
        <v>0</v>
      </c>
      <c r="BM413" s="0" t="n">
        <f aca="false">20*LOG(J413*F413*C413)</f>
        <v>-35.4140718005073</v>
      </c>
      <c r="BN413" s="0" t="n">
        <f aca="false">(H413+D413)*180/Pi</f>
        <v>-178.080152053563</v>
      </c>
      <c r="BQ413" s="347" t="n">
        <f aca="false">20*LOG(BA413*7)</f>
        <v>29.9181152624035</v>
      </c>
    </row>
    <row r="414" customFormat="false" ht="12.75" hidden="false" customHeight="false" outlineLevel="0" collapsed="false">
      <c r="A414" s="0" t="n">
        <f aca="false">A413+5000</f>
        <v>1000000</v>
      </c>
      <c r="B414" s="0" t="n">
        <f aca="false">A414/1000</f>
        <v>1000</v>
      </c>
      <c r="C414" s="0" t="n">
        <f aca="false">SQRT((A414/Fesr)^2+1)</f>
        <v>1.00001973901394</v>
      </c>
      <c r="D414" s="0" t="n">
        <f aca="false">ATAN(A414/Fesr)</f>
        <v>0.00628310261855427</v>
      </c>
      <c r="F414" s="0" t="n">
        <f aca="false">(Ro/(Ro+Rdcr))/SQRT((A414/(Q*Fo))^2+(1-(A414^2/Fo^2))^2)</f>
        <v>0.00186502631224794</v>
      </c>
      <c r="G414" s="0" t="n">
        <f aca="false">-ATAN(A414*Fo/(Q*(Fo^2-A414^2)))</f>
        <v>0.0271192534639921</v>
      </c>
      <c r="H414" s="0" t="n">
        <f aca="false">IF(G414&gt;0,G414-Pi,G414)</f>
        <v>-3.11447339653601</v>
      </c>
      <c r="J414" s="0" t="n">
        <f aca="false">Vin/Vramp</f>
        <v>9</v>
      </c>
      <c r="M414" s="0" t="n">
        <f aca="false">1/(2*Pi*_Rfb1*(Cc1ea_u+Cc2ea_u)*A414)</f>
        <v>0.00589462752865764</v>
      </c>
      <c r="N414" s="0" t="n">
        <f aca="false">-Pi/2</f>
        <v>-1.570796325</v>
      </c>
      <c r="O414" s="0" t="n">
        <f aca="false">SQRT(1+(A414/Fz1_u)^2)</f>
        <v>24.4494833361118</v>
      </c>
      <c r="P414" s="0" t="n">
        <f aca="false">ATAN2(Fz1_u,A414)</f>
        <v>1.52988425487069</v>
      </c>
      <c r="Q414" s="0" t="n">
        <f aca="false">SQRT(1+(A414/Fz2_u)^2)</f>
        <v>27720.106659095</v>
      </c>
      <c r="R414" s="0" t="n">
        <f aca="false">ATAN2(Fz2_u,A414)</f>
        <v>1.57076025189762</v>
      </c>
      <c r="S414" s="0" t="n">
        <f aca="false">1/SQRT(1+(A414/Fp1_u)^2)</f>
        <v>0.013495628308261</v>
      </c>
      <c r="T414" s="0" t="n">
        <f aca="false">-ATAN2(Fp1_u,A414)</f>
        <v>-1.5573002887888</v>
      </c>
      <c r="U414" s="0" t="n">
        <f aca="false">1/SQRT(1+(A414/Fp2_u)^2)</f>
        <v>0.345699714137687</v>
      </c>
      <c r="V414" s="0" t="n">
        <f aca="false">-ATAN2(Fp2_u,A414)</f>
        <v>-1.21781195455366</v>
      </c>
      <c r="X414" s="0" t="n">
        <f aca="false">20*LOG(C414*J414*O414*Q414*F414*M414*S414*U414)</f>
        <v>-10.0930174948037</v>
      </c>
      <c r="Y414" s="0" t="n">
        <f aca="false">(180/Pi)*(D414+H414+N414+P414+R414+T414+V414)</f>
        <v>-249.434561157535</v>
      </c>
      <c r="Z414" s="0" t="n">
        <f aca="false">Y414+180</f>
        <v>-69.4345611575354</v>
      </c>
      <c r="AC414" s="0" t="n">
        <v>1</v>
      </c>
      <c r="AD414" s="0" t="n">
        <f aca="false">Rcea1_u*Cc1ea_u*A414*2*Pi</f>
        <v>24.4290244464</v>
      </c>
      <c r="AE414" s="0" t="n">
        <f aca="false">-Rcea1_u*Cc1ea_u*Cc2ea_u*(A414*2*Pi)^2</f>
        <v>-0.0230238130942442</v>
      </c>
      <c r="AF414" s="0" t="n">
        <f aca="false">(Cc2ea_u+Cc1ea_u)*A414*2*Pi</f>
        <v>0.008482300155</v>
      </c>
      <c r="AG414" s="0" t="n">
        <f aca="false">AC414*AE414/(AE414^2+AF414^2)+AD414*AF414/(AE414^2+AF414^2)</f>
        <v>305.941228428488</v>
      </c>
      <c r="AH414" s="0" t="n">
        <f aca="false">AD414*AE414/(AE414^2+AF414^2)-AC414*AF414/(AE414^2+AF414^2)</f>
        <v>-948.319855955507</v>
      </c>
      <c r="AJ414" s="0" t="n">
        <f aca="false">_Rfb1</f>
        <v>20000</v>
      </c>
      <c r="AK414" s="0" t="n">
        <f aca="false">_Rfb1*Rcea2_u*Cc3ea_u*A414*2*Pi</f>
        <v>1481826.421152</v>
      </c>
      <c r="AL414" s="0" t="n">
        <v>1</v>
      </c>
      <c r="AM414" s="0" t="n">
        <f aca="false">(_Rfb1+Rcea2_u)*Cc3ea_u*A414*2*Pi</f>
        <v>27720.1066410576</v>
      </c>
      <c r="AN414" s="0" t="n">
        <f aca="false">AJ414*AL414/(AL414^2+AM414^2)+AK414*AM414/(AL414^2+AM414^2)</f>
        <v>53.456761906056</v>
      </c>
      <c r="AO414" s="0" t="n">
        <f aca="false">AK414*AL414/(AL414^2+AM414^2)-AJ414*AM414/(AL414^2+AM414^2)</f>
        <v>-0.719569498645079</v>
      </c>
      <c r="AQ414" s="0" t="n">
        <f aca="false">Eadcg/(1+(Eadcg*A414/GBP)^2)</f>
        <v>0.0113851582472185</v>
      </c>
      <c r="AR414" s="0" t="n">
        <f aca="false">-(A414*Eadcg*Eadcg/GBP)/(1+(Eadcg*A414/GBP)^2)</f>
        <v>-5.99997839628416</v>
      </c>
      <c r="AT414" s="0" t="n">
        <f aca="false">-AR414*AH414+AG414*AQ414</f>
        <v>-5686.41545920034</v>
      </c>
      <c r="AU414" s="0" t="n">
        <f aca="false">AQ414*AH414+AG414*AR414</f>
        <v>-1846.4375327326</v>
      </c>
      <c r="AV414" s="0" t="n">
        <f aca="false">ATAN2(AT414,AU414)</f>
        <v>-2.82762282234337</v>
      </c>
      <c r="AW414" s="0" t="n">
        <f aca="false">AG414-AH414*AO414/_Rfb2+AG414*AN414/_Rfb2+AN414-AO414*AR414+AQ414*AN414</f>
        <v>362.741712994652</v>
      </c>
      <c r="AX414" s="0" t="n">
        <f aca="false">AH414+AH414*AN414/_Rfb2+AG414*AO414/_Rfb2+AO414+AO414*AQ414+AN414*AR414</f>
        <v>-1292.69844906554</v>
      </c>
      <c r="AY414" s="0" t="n">
        <f aca="false">ATAN2(AW414,AX414)</f>
        <v>-1.29722378072527</v>
      </c>
      <c r="BA414" s="0" t="n">
        <f aca="false">SQRT(AT414^2+AU414^2)/SQRT(AW414^2+AX414^2)</f>
        <v>4.45296961968386</v>
      </c>
      <c r="BB414" s="0" t="n">
        <f aca="false">20*LOG(BA414)</f>
        <v>12.9729946434793</v>
      </c>
      <c r="BC414" s="0" t="n">
        <f aca="false">AV414-AY414</f>
        <v>-1.5303990416181</v>
      </c>
      <c r="BD414" s="0" t="n">
        <f aca="false">BC414*180/Pi-180</f>
        <v>-267.685406155779</v>
      </c>
      <c r="BF414" s="0" t="n">
        <f aca="false">20*LOG(BA414*J414*F414*C414)</f>
        <v>-22.5282844521129</v>
      </c>
      <c r="BG414" s="0" t="n">
        <f aca="false">(180/Pi)*(D414+H414+BC414)</f>
        <v>-265.771592124269</v>
      </c>
      <c r="BH414" s="0" t="n">
        <f aca="false">IF(BG414&gt;180,BG414-180,BG414+180)</f>
        <v>-85.7715921242686</v>
      </c>
      <c r="BI414" s="0" t="n">
        <f aca="false">IF(BH414&gt;180,BH414-360,BH414)</f>
        <v>-85.7715921242686</v>
      </c>
      <c r="BJ414" s="0" t="n">
        <f aca="false">SUM((BF415&lt;0)*(BF414&gt;0))*A414</f>
        <v>0</v>
      </c>
      <c r="BK414" s="0" t="n">
        <f aca="false">IF(BJ414&gt;0,BI414,0)</f>
        <v>0</v>
      </c>
      <c r="BM414" s="0" t="n">
        <f aca="false">20*LOG(J414*F414*C414)</f>
        <v>-35.5012790955922</v>
      </c>
      <c r="BN414" s="0" t="n">
        <f aca="false">(H414+D414)*180/Pi</f>
        <v>-178.08618596849</v>
      </c>
      <c r="BQ414" s="347" t="n">
        <f aca="false">20*LOG(BA414*7)</f>
        <v>29.8749554437644</v>
      </c>
    </row>
    <row r="415" customFormat="false" ht="12.75" hidden="false" customHeight="false" outlineLevel="0" collapsed="false">
      <c r="A415" s="0" t="n">
        <f aca="false">A414+5000</f>
        <v>1005000</v>
      </c>
      <c r="B415" s="0" t="n">
        <f aca="false">A415/1000</f>
        <v>1005</v>
      </c>
      <c r="C415" s="0" t="n">
        <f aca="false">SQRT((A415/Fesr)^2+1)</f>
        <v>1.00001993689559</v>
      </c>
      <c r="D415" s="0" t="n">
        <f aca="false">ATAN(A415/Fesr)</f>
        <v>0.00631451729864107</v>
      </c>
      <c r="F415" s="0" t="n">
        <f aca="false">(Ro/(Ro+Rdcr))/SQRT((A415/(Q*Fo))^2+(1-(A415^2/Fo^2))^2)</f>
        <v>0.00184648730672888</v>
      </c>
      <c r="G415" s="0" t="n">
        <f aca="false">-ATAN(A415*Fo/(Q*(Fo^2-A415^2)))</f>
        <v>0.0269838941770456</v>
      </c>
      <c r="H415" s="0" t="n">
        <f aca="false">IF(G415&gt;0,G415-Pi,G415)</f>
        <v>-3.11460875582295</v>
      </c>
      <c r="J415" s="0" t="n">
        <f aca="false">Vin/Vramp</f>
        <v>9</v>
      </c>
      <c r="M415" s="0" t="n">
        <f aca="false">1/(2*Pi*_Rfb1*(Cc1ea_u+Cc2ea_u)*A415)</f>
        <v>0.00586530102353994</v>
      </c>
      <c r="N415" s="0" t="n">
        <f aca="false">-Pi/2</f>
        <v>-1.570796325</v>
      </c>
      <c r="O415" s="0" t="n">
        <f aca="false">SQRT(1+(A415/Fz1_u)^2)</f>
        <v>24.5715267573613</v>
      </c>
      <c r="P415" s="0" t="n">
        <f aca="false">ATAN2(Fz1_u,A415)</f>
        <v>1.53008757215632</v>
      </c>
      <c r="Q415" s="0" t="n">
        <f aca="false">SQRT(1+(A415/Fz2_u)^2)</f>
        <v>27858.7071922106</v>
      </c>
      <c r="R415" s="0" t="n">
        <f aca="false">ATAN2(Fz2_u,A415)</f>
        <v>1.57076043137472</v>
      </c>
      <c r="S415" s="0" t="n">
        <f aca="false">1/SQRT(1+(A415/Fp1_u)^2)</f>
        <v>0.0134284980165587</v>
      </c>
      <c r="T415" s="0" t="n">
        <f aca="false">-ATAN2(Fp1_u,A415)</f>
        <v>-1.55736742516425</v>
      </c>
      <c r="U415" s="0" t="n">
        <f aca="false">1/SQRT(1+(A415/Fp2_u)^2)</f>
        <v>0.344184007585295</v>
      </c>
      <c r="V415" s="0" t="n">
        <f aca="false">-ATAN2(Fp2_u,A415)</f>
        <v>-1.21942677230649</v>
      </c>
      <c r="X415" s="0" t="n">
        <f aca="false">20*LOG(C415*J415*O415*Q415*F415*M415*S415*U415)</f>
        <v>-10.2180194384006</v>
      </c>
      <c r="Y415" s="0" t="n">
        <f aca="false">(180/Pi)*(D415+H415+N415+P415+R415+T415+V415)</f>
        <v>-249.525226112151</v>
      </c>
      <c r="Z415" s="0" t="n">
        <f aca="false">Y415+180</f>
        <v>-69.5252261121514</v>
      </c>
      <c r="AC415" s="0" t="n">
        <v>1</v>
      </c>
      <c r="AD415" s="0" t="n">
        <f aca="false">Rcea1_u*Cc1ea_u*A415*2*Pi</f>
        <v>24.551169568632</v>
      </c>
      <c r="AE415" s="0" t="n">
        <f aca="false">-Rcea1_u*Cc1ea_u*Cc2ea_u*(A415*2*Pi)^2</f>
        <v>-0.023254626820514</v>
      </c>
      <c r="AF415" s="0" t="n">
        <f aca="false">(Cc2ea_u+Cc1ea_u)*A415*2*Pi</f>
        <v>0.008524711655775</v>
      </c>
      <c r="AG415" s="0" t="n">
        <f aca="false">AC415*AE415/(AE415^2+AF415^2)+AD415*AF415/(AE415^2+AF415^2)</f>
        <v>303.264335558335</v>
      </c>
      <c r="AH415" s="0" t="n">
        <f aca="false">AD415*AE415/(AE415^2+AF415^2)-AC415*AF415/(AE415^2+AF415^2)</f>
        <v>-944.583145627598</v>
      </c>
      <c r="AJ415" s="0" t="n">
        <f aca="false">_Rfb1</f>
        <v>20000</v>
      </c>
      <c r="AK415" s="0" t="n">
        <f aca="false">_Rfb1*Rcea2_u*Cc3ea_u*A415*2*Pi</f>
        <v>1489235.55325776</v>
      </c>
      <c r="AL415" s="0" t="n">
        <v>1</v>
      </c>
      <c r="AM415" s="0" t="n">
        <f aca="false">(_Rfb1+Rcea2_u)*Cc3ea_u*A415*2*Pi</f>
        <v>27858.7071742629</v>
      </c>
      <c r="AN415" s="0" t="n">
        <f aca="false">AJ415*AL415/(AL415^2+AM415^2)+AK415*AM415/(AL415^2+AM415^2)</f>
        <v>53.4567616484061</v>
      </c>
      <c r="AO415" s="0" t="n">
        <f aca="false">AK415*AL415/(AL415^2+AM415^2)-AJ415*AM415/(AL415^2+AM415^2)</f>
        <v>-0.715989550899874</v>
      </c>
      <c r="AQ415" s="0" t="n">
        <f aca="false">Eadcg/(1+(Eadcg*A415/GBP)^2)</f>
        <v>0.0112721552972457</v>
      </c>
      <c r="AR415" s="0" t="n">
        <f aca="false">-(A415*Eadcg*Eadcg/GBP)/(1+(Eadcg*A415/GBP)^2)</f>
        <v>-5.97012797085673</v>
      </c>
      <c r="AT415" s="0" t="n">
        <f aca="false">-AR415*AH415+AG415*AQ415</f>
        <v>-5635.86381582463</v>
      </c>
      <c r="AU415" s="0" t="n">
        <f aca="false">AQ415*AH415+AG415*AR415</f>
        <v>-1821.17438018877</v>
      </c>
      <c r="AV415" s="0" t="n">
        <f aca="false">ATAN2(AT415,AU415)</f>
        <v>-2.82904376324046</v>
      </c>
      <c r="AW415" s="0" t="n">
        <f aca="false">AG415-AH415*AO415/_Rfb2+AG415*AN415/_Rfb2+AN415-AO415*AR415+AQ415*AN415</f>
        <v>360.039968819141</v>
      </c>
      <c r="AX415" s="0" t="n">
        <f aca="false">AH415+AH415*AN415/_Rfb2+AG415*AO415/_Rfb2+AO415+AO415*AQ415+AN415*AR415</f>
        <v>-1287.27108444823</v>
      </c>
      <c r="AY415" s="0" t="n">
        <f aca="false">ATAN2(AW415,AX415)</f>
        <v>-1.2980728624311</v>
      </c>
      <c r="BA415" s="0" t="n">
        <f aca="false">SQRT(AT415^2+AU415^2)/SQRT(AW415^2+AX415^2)</f>
        <v>4.43100519222355</v>
      </c>
      <c r="BB415" s="0" t="n">
        <f aca="false">20*LOG(BA415)</f>
        <v>12.9300451787081</v>
      </c>
      <c r="BC415" s="0" t="n">
        <f aca="false">AV415-AY415</f>
        <v>-1.53097090080936</v>
      </c>
      <c r="BD415" s="0" t="n">
        <f aca="false">BC415*180/Pi-180</f>
        <v>-267.718171273951</v>
      </c>
      <c r="BF415" s="0" t="n">
        <f aca="false">20*LOG(BA415*J415*F415*C415)</f>
        <v>-22.6580049338507</v>
      </c>
      <c r="BG415" s="0" t="n">
        <f aca="false">(180/Pi)*(D415+H415+BC415)</f>
        <v>-265.810312829724</v>
      </c>
      <c r="BH415" s="0" t="n">
        <f aca="false">IF(BG415&gt;180,BG415-180,BG415+180)</f>
        <v>-85.8103128297238</v>
      </c>
      <c r="BI415" s="0" t="n">
        <f aca="false">IF(BH415&gt;180,BH415-360,BH415)</f>
        <v>-85.8103128297238</v>
      </c>
      <c r="BJ415" s="0" t="n">
        <f aca="false">SUM((BF416&lt;0)*(BF415&gt;0))*A415</f>
        <v>0</v>
      </c>
      <c r="BK415" s="0" t="n">
        <f aca="false">IF(BJ415&gt;0,BI415,0)</f>
        <v>0</v>
      </c>
      <c r="BM415" s="0" t="n">
        <f aca="false">20*LOG(J415*F415*C415)</f>
        <v>-35.5880501125589</v>
      </c>
      <c r="BN415" s="0" t="n">
        <f aca="false">(H415+D415)*180/Pi</f>
        <v>-178.092141555773</v>
      </c>
      <c r="BQ415" s="347" t="n">
        <f aca="false">20*LOG(BA415*7)</f>
        <v>29.8320059789933</v>
      </c>
    </row>
    <row r="416" customFormat="false" ht="12.75" hidden="false" customHeight="false" outlineLevel="0" collapsed="false">
      <c r="A416" s="0" t="n">
        <f aca="false">A415+5000</f>
        <v>1010000</v>
      </c>
      <c r="B416" s="0" t="n">
        <f aca="false">A416/1000</f>
        <v>1010</v>
      </c>
      <c r="C416" s="0" t="n">
        <f aca="false">SQRT((A416/Fesr)^2+1)</f>
        <v>1.00002013576413</v>
      </c>
      <c r="D416" s="0" t="n">
        <f aca="false">ATAN(A416/Fesr)</f>
        <v>0.00634593196626434</v>
      </c>
      <c r="F416" s="0" t="n">
        <f aca="false">(Ro/(Ro+Rdcr))/SQRT((A416/(Q*Fo))^2+(1-(A416^2/Fo^2))^2)</f>
        <v>0.00182822349443853</v>
      </c>
      <c r="G416" s="0" t="n">
        <f aca="false">-ATAN(A416*Fo/(Q*(Fo^2-A416^2)))</f>
        <v>0.026849881543961</v>
      </c>
      <c r="H416" s="0" t="n">
        <f aca="false">IF(G416&gt;0,G416-Pi,G416)</f>
        <v>-3.11474276845604</v>
      </c>
      <c r="J416" s="0" t="n">
        <f aca="false">Vin/Vramp</f>
        <v>9</v>
      </c>
      <c r="M416" s="0" t="n">
        <f aca="false">1/(2*Pi*_Rfb1*(Cc1ea_u+Cc2ea_u)*A416)</f>
        <v>0.00583626487985905</v>
      </c>
      <c r="N416" s="0" t="n">
        <f aca="false">-Pi/2</f>
        <v>-1.570796325</v>
      </c>
      <c r="O416" s="0" t="n">
        <f aca="false">SQRT(1+(A416/Fz1_u)^2)</f>
        <v>24.6935711843064</v>
      </c>
      <c r="P416" s="0" t="n">
        <f aca="false">ATAN2(Fz1_u,A416)</f>
        <v>1.53028887971726</v>
      </c>
      <c r="Q416" s="0" t="n">
        <f aca="false">SQRT(1+(A416/Fz2_u)^2)</f>
        <v>27997.307725327</v>
      </c>
      <c r="R416" s="0" t="n">
        <f aca="false">ATAN2(Fz2_u,A416)</f>
        <v>1.57076060907482</v>
      </c>
      <c r="S416" s="0" t="n">
        <f aca="false">1/SQRT(1+(A416/Fp1_u)^2)</f>
        <v>0.0133620322023159</v>
      </c>
      <c r="T416" s="0" t="n">
        <f aca="false">-ATAN2(Fp1_u,A416)</f>
        <v>-1.5574338969424</v>
      </c>
      <c r="U416" s="0" t="n">
        <f aca="false">1/SQRT(1+(A416/Fp2_u)^2)</f>
        <v>0.342680652205423</v>
      </c>
      <c r="V416" s="0" t="n">
        <f aca="false">-ATAN2(Fp2_u,A416)</f>
        <v>-1.22102748753394</v>
      </c>
      <c r="X416" s="0" t="n">
        <f aca="false">20*LOG(C416*J416*O416*Q416*F416*M416*S416*U416)</f>
        <v>-10.3424438817823</v>
      </c>
      <c r="Y416" s="0" t="n">
        <f aca="false">(180/Pi)*(D416+H416+N416+P416+R416+T416+V416)</f>
        <v>-249.615083066649</v>
      </c>
      <c r="Z416" s="0" t="n">
        <f aca="false">Y416+180</f>
        <v>-69.6150830666495</v>
      </c>
      <c r="AC416" s="0" t="n">
        <v>1</v>
      </c>
      <c r="AD416" s="0" t="n">
        <f aca="false">Rcea1_u*Cc1ea_u*A416*2*Pi</f>
        <v>24.673314690864</v>
      </c>
      <c r="AE416" s="0" t="n">
        <f aca="false">-Rcea1_u*Cc1ea_u*Cc2ea_u*(A416*2*Pi)^2</f>
        <v>-0.0234865917374385</v>
      </c>
      <c r="AF416" s="0" t="n">
        <f aca="false">(Cc2ea_u+Cc1ea_u)*A416*2*Pi</f>
        <v>0.00856712315655</v>
      </c>
      <c r="AG416" s="0" t="n">
        <f aca="false">AC416*AE416/(AE416^2+AF416^2)+AD416*AF416/(AE416^2+AF416^2)</f>
        <v>300.620875253592</v>
      </c>
      <c r="AH416" s="0" t="n">
        <f aca="false">AD416*AE416/(AE416^2+AF416^2)-AC416*AF416/(AE416^2+AF416^2)</f>
        <v>-940.87123734994</v>
      </c>
      <c r="AJ416" s="0" t="n">
        <f aca="false">_Rfb1</f>
        <v>20000</v>
      </c>
      <c r="AK416" s="0" t="n">
        <f aca="false">_Rfb1*Rcea2_u*Cc3ea_u*A416*2*Pi</f>
        <v>1496644.68536352</v>
      </c>
      <c r="AL416" s="0" t="n">
        <v>1</v>
      </c>
      <c r="AM416" s="0" t="n">
        <f aca="false">(_Rfb1+Rcea2_u)*Cc3ea_u*A416*2*Pi</f>
        <v>27997.3077074682</v>
      </c>
      <c r="AN416" s="0" t="n">
        <f aca="false">AJ416*AL416/(AL416^2+AM416^2)+AK416*AM416/(AL416^2+AM416^2)</f>
        <v>53.4567613945731</v>
      </c>
      <c r="AO416" s="0" t="n">
        <f aca="false">AK416*AL416/(AL416^2+AM416^2)-AJ416*AM416/(AL416^2+AM416^2)</f>
        <v>-0.712445048181714</v>
      </c>
      <c r="AQ416" s="0" t="n">
        <f aca="false">Eadcg/(1+(Eadcg*A416/GBP)^2)</f>
        <v>0.0111608264434417</v>
      </c>
      <c r="AR416" s="0" t="n">
        <f aca="false">-(A416*Eadcg*Eadcg/GBP)/(1+(Eadcg*A416/GBP)^2)</f>
        <v>-5.9405730910507</v>
      </c>
      <c r="AT416" s="0" t="n">
        <f aca="false">-AR416*AH416+AG416*AQ416</f>
        <v>-5585.95917733065</v>
      </c>
      <c r="AU416" s="0" t="n">
        <f aca="false">AQ416*AH416+AG416*AR416</f>
        <v>-1796.36118272528</v>
      </c>
      <c r="AV416" s="0" t="n">
        <f aca="false">ATAN2(AT416,AU416)</f>
        <v>-2.83045251786759</v>
      </c>
      <c r="AW416" s="0" t="n">
        <f aca="false">AG416-AH416*AO416/_Rfb2+AG416*AN416/_Rfb2+AN416-AO416*AR416+AQ416*AN416</f>
        <v>357.371881107322</v>
      </c>
      <c r="AX416" s="0" t="n">
        <f aca="false">AH416+AH416*AN416/_Rfb2+AG416*AO416/_Rfb2+AO416+AO416*AQ416+AN416*AR416</f>
        <v>-1281.88497944037</v>
      </c>
      <c r="AY416" s="0" t="n">
        <f aca="false">ATAN2(AW416,AX416)</f>
        <v>-1.29891350632689</v>
      </c>
      <c r="BA416" s="0" t="n">
        <f aca="false">SQRT(AT416^2+AU416^2)/SQRT(AW416^2+AX416^2)</f>
        <v>4.40925485687711</v>
      </c>
      <c r="BB416" s="0" t="n">
        <f aca="false">20*LOG(BA416)</f>
        <v>12.8873040392916</v>
      </c>
      <c r="BC416" s="0" t="n">
        <f aca="false">AV416-AY416</f>
        <v>-1.5315390115407</v>
      </c>
      <c r="BD416" s="0" t="n">
        <f aca="false">BC416*180/Pi-180</f>
        <v>-267.75072162119</v>
      </c>
      <c r="BF416" s="0" t="n">
        <f aca="false">20*LOG(BA416*J416*F416*C416)</f>
        <v>-22.787085161739</v>
      </c>
      <c r="BG416" s="0" t="n">
        <f aca="false">(180/Pi)*(D416+H416+BC416)</f>
        <v>-265.848741607377</v>
      </c>
      <c r="BH416" s="0" t="n">
        <f aca="false">IF(BG416&gt;180,BG416-180,BG416+180)</f>
        <v>-85.8487416073771</v>
      </c>
      <c r="BI416" s="0" t="n">
        <f aca="false">IF(BH416&gt;180,BH416-360,BH416)</f>
        <v>-85.8487416073771</v>
      </c>
      <c r="BJ416" s="0" t="n">
        <f aca="false">SUM((BF417&lt;0)*(BF416&gt;0))*A416</f>
        <v>0</v>
      </c>
      <c r="BK416" s="0" t="n">
        <f aca="false">IF(BJ416&gt;0,BI416,0)</f>
        <v>0</v>
      </c>
      <c r="BM416" s="0" t="n">
        <f aca="false">20*LOG(J416*F416*C416)</f>
        <v>-35.6743892010307</v>
      </c>
      <c r="BN416" s="0" t="n">
        <f aca="false">(H416+D416)*180/Pi</f>
        <v>-178.098019986187</v>
      </c>
      <c r="BQ416" s="347" t="n">
        <f aca="false">20*LOG(BA416*7)</f>
        <v>29.7892648395768</v>
      </c>
    </row>
    <row r="417" customFormat="false" ht="12.75" hidden="false" customHeight="false" outlineLevel="0" collapsed="false">
      <c r="A417" s="0" t="n">
        <f aca="false">A416+5000</f>
        <v>1015000</v>
      </c>
      <c r="B417" s="0" t="n">
        <f aca="false">A417/1000</f>
        <v>1015</v>
      </c>
      <c r="C417" s="0" t="n">
        <f aca="false">SQRT((A417/Fesr)^2+1)</f>
        <v>1.00002033561957</v>
      </c>
      <c r="D417" s="0" t="n">
        <f aca="false">ATAN(A417/Fesr)</f>
        <v>0.00637734662136209</v>
      </c>
      <c r="F417" s="0" t="n">
        <f aca="false">(Ro/(Ro+Rdcr))/SQRT((A417/(Q*Fo))^2+(1-(A417^2/Fo^2))^2)</f>
        <v>0.00181022945295504</v>
      </c>
      <c r="G417" s="0" t="n">
        <f aca="false">-ATAN(A417*Fo/(Q*(Fo^2-A417^2)))</f>
        <v>0.0267171955367581</v>
      </c>
      <c r="H417" s="0" t="n">
        <f aca="false">IF(G417&gt;0,G417-Pi,G417)</f>
        <v>-3.11487545446324</v>
      </c>
      <c r="J417" s="0" t="n">
        <f aca="false">Vin/Vramp</f>
        <v>9</v>
      </c>
      <c r="M417" s="0" t="n">
        <f aca="false">1/(2*Pi*_Rfb1*(Cc1ea_u+Cc2ea_u)*A417)</f>
        <v>0.00580751480655925</v>
      </c>
      <c r="N417" s="0" t="n">
        <f aca="false">-Pi/2</f>
        <v>-1.570796325</v>
      </c>
      <c r="O417" s="0" t="n">
        <f aca="false">SQRT(1+(A417/Fz1_u)^2)</f>
        <v>24.8156166021088</v>
      </c>
      <c r="P417" s="0" t="n">
        <f aca="false">ATAN2(Fz1_u,A417)</f>
        <v>1.53048820718911</v>
      </c>
      <c r="Q417" s="0" t="n">
        <f aca="false">SQRT(1+(A417/Fz2_u)^2)</f>
        <v>28135.9082584443</v>
      </c>
      <c r="R417" s="0" t="n">
        <f aca="false">ATAN2(Fz2_u,A417)</f>
        <v>1.57076078502418</v>
      </c>
      <c r="S417" s="0" t="n">
        <f aca="false">1/SQRT(1+(A417/Fp1_u)^2)</f>
        <v>0.0132962210491669</v>
      </c>
      <c r="T417" s="0" t="n">
        <f aca="false">-ATAN2(Fp1_u,A417)</f>
        <v>-1.55749971394253</v>
      </c>
      <c r="U417" s="0" t="n">
        <f aca="false">1/SQRT(1+(A417/Fp2_u)^2)</f>
        <v>0.341189509819497</v>
      </c>
      <c r="V417" s="0" t="n">
        <f aca="false">-ATAN2(Fp2_u,A417)</f>
        <v>-1.22261427607652</v>
      </c>
      <c r="X417" s="0" t="n">
        <f aca="false">20*LOG(C417*J417*O417*Q417*F417*M417*S417*U417)</f>
        <v>-10.4662960010262</v>
      </c>
      <c r="Y417" s="0" t="n">
        <f aca="false">(180/Pi)*(D417+H417+N417+P417+R417+T417+V417)</f>
        <v>-249.704142106576</v>
      </c>
      <c r="Z417" s="0" t="n">
        <f aca="false">Y417+180</f>
        <v>-69.7041421065761</v>
      </c>
      <c r="AC417" s="0" t="n">
        <v>1</v>
      </c>
      <c r="AD417" s="0" t="n">
        <f aca="false">Rcea1_u*Cc1ea_u*A417*2*Pi</f>
        <v>24.795459813096</v>
      </c>
      <c r="AE417" s="0" t="n">
        <f aca="false">-Rcea1_u*Cc1ea_u*Cc2ea_u*(A417*2*Pi)^2</f>
        <v>-0.0237197078450177</v>
      </c>
      <c r="AF417" s="0" t="n">
        <f aca="false">(Cc2ea_u+Cc1ea_u)*A417*2*Pi</f>
        <v>0.008609534657325</v>
      </c>
      <c r="AG417" s="0" t="n">
        <f aca="false">AC417*AE417/(AE417^2+AF417^2)+AD417*AF417/(AE417^2+AF417^2)</f>
        <v>298.010320923823</v>
      </c>
      <c r="AH417" s="0" t="n">
        <f aca="false">AD417*AE417/(AE417^2+AF417^2)-AC417*AF417/(AE417^2+AF417^2)</f>
        <v>-937.18395572613</v>
      </c>
      <c r="AJ417" s="0" t="n">
        <f aca="false">_Rfb1</f>
        <v>20000</v>
      </c>
      <c r="AK417" s="0" t="n">
        <f aca="false">_Rfb1*Rcea2_u*Cc3ea_u*A417*2*Pi</f>
        <v>1504053.81746928</v>
      </c>
      <c r="AL417" s="0" t="n">
        <v>1</v>
      </c>
      <c r="AM417" s="0" t="n">
        <f aca="false">(_Rfb1+Rcea2_u)*Cc3ea_u*A417*2*Pi</f>
        <v>28135.9082406735</v>
      </c>
      <c r="AN417" s="0" t="n">
        <f aca="false">AJ417*AL417/(AL417^2+AM417^2)+AK417*AM417/(AL417^2+AM417^2)</f>
        <v>53.4567611444821</v>
      </c>
      <c r="AO417" s="0" t="n">
        <f aca="false">AK417*AL417/(AL417^2+AM417^2)-AJ417*AM417/(AL417^2+AM417^2)</f>
        <v>-0.708935466672466</v>
      </c>
      <c r="AQ417" s="0" t="n">
        <f aca="false">Eadcg/(1+(Eadcg*A417/GBP)^2)</f>
        <v>0.0110511387802662</v>
      </c>
      <c r="AR417" s="0" t="n">
        <f aca="false">-(A417*Eadcg*Eadcg/GBP)/(1+(Eadcg*A417/GBP)^2)</f>
        <v>-5.91130938925832</v>
      </c>
      <c r="AT417" s="0" t="n">
        <f aca="false">-AR417*AH417+AG417*AQ417</f>
        <v>-5536.69096353164</v>
      </c>
      <c r="AU417" s="0" t="n">
        <f aca="false">AQ417*AH417+AG417*AR417</f>
        <v>-1771.98815813025</v>
      </c>
      <c r="AV417" s="0" t="n">
        <f aca="false">ATAN2(AT417,AU417)</f>
        <v>-2.83184923381099</v>
      </c>
      <c r="AW417" s="0" t="n">
        <f aca="false">AG417-AH417*AO417/_Rfb2+AG417*AN417/_Rfb2+AN417-AO417*AR417+AQ417*AN417</f>
        <v>354.73692189358</v>
      </c>
      <c r="AX417" s="0" t="n">
        <f aca="false">AH417+AH417*AN417/_Rfb2+AG417*AO417/_Rfb2+AO417+AO417*AQ417+AN417*AR417</f>
        <v>-1276.53971983978</v>
      </c>
      <c r="AY417" s="0" t="n">
        <f aca="false">ATAN2(AW417,AX417)</f>
        <v>-1.2997458057582</v>
      </c>
      <c r="BA417" s="0" t="n">
        <f aca="false">SQRT(AT417^2+AU417^2)/SQRT(AW417^2+AX417^2)</f>
        <v>4.38771551181444</v>
      </c>
      <c r="BB417" s="0" t="n">
        <f aca="false">20*LOG(BA417)</f>
        <v>12.8447692255719</v>
      </c>
      <c r="BC417" s="0" t="n">
        <f aca="false">AV417-AY417</f>
        <v>-1.53210342805279</v>
      </c>
      <c r="BD417" s="0" t="n">
        <f aca="false">BC417*180/Pi-180</f>
        <v>-267.783060305257</v>
      </c>
      <c r="BF417" s="0" t="n">
        <f aca="false">20*LOG(BA417*J417*F417*C417)</f>
        <v>-22.9155314202396</v>
      </c>
      <c r="BG417" s="0" t="n">
        <f aca="false">(180/Pi)*(D417+H417+BC417)</f>
        <v>-265.886882712512</v>
      </c>
      <c r="BH417" s="0" t="n">
        <f aca="false">IF(BG417&gt;180,BG417-180,BG417+180)</f>
        <v>-85.886882712512</v>
      </c>
      <c r="BI417" s="0" t="n">
        <f aca="false">IF(BH417&gt;180,BH417-360,BH417)</f>
        <v>-85.886882712512</v>
      </c>
      <c r="BJ417" s="0" t="n">
        <f aca="false">SUM((BF418&lt;0)*(BF417&gt;0))*A417</f>
        <v>0</v>
      </c>
      <c r="BK417" s="0" t="n">
        <f aca="false">IF(BJ417&gt;0,BI417,0)</f>
        <v>0</v>
      </c>
      <c r="BM417" s="0" t="n">
        <f aca="false">20*LOG(J417*F417*C417)</f>
        <v>-35.7603006458115</v>
      </c>
      <c r="BN417" s="0" t="n">
        <f aca="false">(H417+D417)*180/Pi</f>
        <v>-178.103822407255</v>
      </c>
      <c r="BQ417" s="347" t="n">
        <f aca="false">20*LOG(BA417*7)</f>
        <v>29.746730025857</v>
      </c>
    </row>
    <row r="418" customFormat="false" ht="12.75" hidden="false" customHeight="false" outlineLevel="0" collapsed="false">
      <c r="A418" s="0" t="n">
        <f aca="false">A417+5000</f>
        <v>1020000</v>
      </c>
      <c r="B418" s="0" t="n">
        <f aca="false">A418/1000</f>
        <v>1020</v>
      </c>
      <c r="C418" s="0" t="n">
        <f aca="false">SQRT((A418/Fesr)^2+1)</f>
        <v>1.00002053646192</v>
      </c>
      <c r="D418" s="0" t="n">
        <f aca="false">ATAN(A418/Fesr)</f>
        <v>0.00640876126387231</v>
      </c>
      <c r="F418" s="0" t="n">
        <f aca="false">(Ro/(Ro+Rdcr))/SQRT((A418/(Q*Fo))^2+(1-(A418^2/Fo^2))^2)</f>
        <v>0.00179249989281964</v>
      </c>
      <c r="G418" s="0" t="n">
        <f aca="false">-ATAN(A418*Fo/(Q*(Fo^2-A418^2)))</f>
        <v>0.026585816523253</v>
      </c>
      <c r="H418" s="0" t="n">
        <f aca="false">IF(G418&gt;0,G418-Pi,G418)</f>
        <v>-3.11500683347675</v>
      </c>
      <c r="J418" s="0" t="n">
        <f aca="false">Vin/Vramp</f>
        <v>9</v>
      </c>
      <c r="M418" s="0" t="n">
        <f aca="false">1/(2*Pi*_Rfb1*(Cc1ea_u+Cc2ea_u)*A418)</f>
        <v>0.00577904659672318</v>
      </c>
      <c r="N418" s="0" t="n">
        <f aca="false">-Pi/2</f>
        <v>-1.570796325</v>
      </c>
      <c r="O418" s="0" t="n">
        <f aca="false">SQRT(1+(A418/Fz1_u)^2)</f>
        <v>24.9376629962208</v>
      </c>
      <c r="P418" s="0" t="n">
        <f aca="false">ATAN2(Fz1_u,A418)</f>
        <v>1.53068558362792</v>
      </c>
      <c r="Q418" s="0" t="n">
        <f aca="false">SQRT(1+(A418/Fz2_u)^2)</f>
        <v>28274.5087915625</v>
      </c>
      <c r="R418" s="0" t="n">
        <f aca="false">ATAN2(Fz2_u,A418)</f>
        <v>1.57076095924855</v>
      </c>
      <c r="S418" s="0" t="n">
        <f aca="false">1/SQRT(1+(A418/Fp1_u)^2)</f>
        <v>0.0132310549331387</v>
      </c>
      <c r="T418" s="0" t="n">
        <f aca="false">-ATAN2(Fp1_u,A418)</f>
        <v>-1.55756488579147</v>
      </c>
      <c r="U418" s="0" t="n">
        <f aca="false">1/SQRT(1+(A418/Fp2_u)^2)</f>
        <v>0.339710444069595</v>
      </c>
      <c r="V418" s="0" t="n">
        <f aca="false">-ATAN2(Fp2_u,A418)</f>
        <v>-1.22418731100881</v>
      </c>
      <c r="X418" s="0" t="n">
        <f aca="false">20*LOG(C418*J418*O418*Q418*F418*M418*S418*U418)</f>
        <v>-10.5895809040526</v>
      </c>
      <c r="Y418" s="0" t="n">
        <f aca="false">(180/Pi)*(D418+H418+N418+P418+R418+T418+V418)</f>
        <v>-249.792413158531</v>
      </c>
      <c r="Z418" s="0" t="n">
        <f aca="false">Y418+180</f>
        <v>-69.7924131585312</v>
      </c>
      <c r="AC418" s="0" t="n">
        <v>1</v>
      </c>
      <c r="AD418" s="0" t="n">
        <f aca="false">Rcea1_u*Cc1ea_u*A418*2*Pi</f>
        <v>24.917604935328</v>
      </c>
      <c r="AE418" s="0" t="n">
        <f aca="false">-Rcea1_u*Cc1ea_u*Cc2ea_u*(A418*2*Pi)^2</f>
        <v>-0.0239539751432516</v>
      </c>
      <c r="AF418" s="0" t="n">
        <f aca="false">(Cc2ea_u+Cc1ea_u)*A418*2*Pi</f>
        <v>0.0086519461581</v>
      </c>
      <c r="AG418" s="0" t="n">
        <f aca="false">AC418*AE418/(AE418^2+AF418^2)+AD418*AF418/(AE418^2+AF418^2)</f>
        <v>295.432155673502</v>
      </c>
      <c r="AH418" s="0" t="n">
        <f aca="false">AD418*AE418/(AE418^2+AF418^2)-AC418*AF418/(AE418^2+AF418^2)</f>
        <v>-933.521125297201</v>
      </c>
      <c r="AJ418" s="0" t="n">
        <f aca="false">_Rfb1</f>
        <v>20000</v>
      </c>
      <c r="AK418" s="0" t="n">
        <f aca="false">_Rfb1*Rcea2_u*Cc3ea_u*A418*2*Pi</f>
        <v>1511462.94957504</v>
      </c>
      <c r="AL418" s="0" t="n">
        <v>1</v>
      </c>
      <c r="AM418" s="0" t="n">
        <f aca="false">(_Rfb1+Rcea2_u)*Cc3ea_u*A418*2*Pi</f>
        <v>28274.5087738788</v>
      </c>
      <c r="AN418" s="0" t="n">
        <f aca="false">AJ418*AL418/(AL418^2+AM418^2)+AK418*AM418/(AL418^2+AM418^2)</f>
        <v>53.4567608980599</v>
      </c>
      <c r="AO418" s="0" t="n">
        <f aca="false">AK418*AL418/(AL418^2+AM418^2)-AJ418*AM418/(AL418^2+AM418^2)</f>
        <v>-0.705460292824944</v>
      </c>
      <c r="AQ418" s="0" t="n">
        <f aca="false">Eadcg/(1+(Eadcg*A418/GBP)^2)</f>
        <v>0.0109430602067003</v>
      </c>
      <c r="AR418" s="0" t="n">
        <f aca="false">-(A418*Eadcg*Eadcg/GBP)/(1+(Eadcg*A418/GBP)^2)</f>
        <v>-5.88233258350968</v>
      </c>
      <c r="AT418" s="0" t="n">
        <f aca="false">-AR418*AH418+AG418*AQ418</f>
        <v>-5488.04880086382</v>
      </c>
      <c r="AU418" s="0" t="n">
        <f aca="false">AQ418*AH418+AG418*AR418</f>
        <v>-1748.0457734131</v>
      </c>
      <c r="AV418" s="0" t="n">
        <f aca="false">ATAN2(AT418,AU418)</f>
        <v>-2.8332340564434</v>
      </c>
      <c r="AW418" s="0" t="n">
        <f aca="false">AG418-AH418*AO418/_Rfb2+AG418*AN418/_Rfb2+AN418-AO418*AR418+AQ418*AN418</f>
        <v>352.13457286713</v>
      </c>
      <c r="AX418" s="0" t="n">
        <f aca="false">AH418+AH418*AN418/_Rfb2+AG418*AO418/_Rfb2+AO418+AO418*AQ418+AN418*AR418</f>
        <v>-1271.23489598354</v>
      </c>
      <c r="AY418" s="0" t="n">
        <f aca="false">ATAN2(AW418,AX418)</f>
        <v>-1.30056985289447</v>
      </c>
      <c r="BA418" s="0" t="n">
        <f aca="false">SQRT(AT418^2+AU418^2)/SQRT(AW418^2+AX418^2)</f>
        <v>4.36638411454182</v>
      </c>
      <c r="BB418" s="0" t="n">
        <f aca="false">20*LOG(BA418)</f>
        <v>12.8024387662078</v>
      </c>
      <c r="BC418" s="0" t="n">
        <f aca="false">AV418-AY418</f>
        <v>-1.53266420354893</v>
      </c>
      <c r="BD418" s="0" t="n">
        <f aca="false">BC418*180/Pi-180</f>
        <v>-267.815190374477</v>
      </c>
      <c r="BF418" s="0" t="n">
        <f aca="false">20*LOG(BA418*J418*F418*C418)</f>
        <v>-23.043349901961</v>
      </c>
      <c r="BG418" s="0" t="n">
        <f aca="false">(180/Pi)*(D418+H418+BC418)</f>
        <v>-265.924740318298</v>
      </c>
      <c r="BH418" s="0" t="n">
        <f aca="false">IF(BG418&gt;180,BG418-180,BG418+180)</f>
        <v>-85.9247403182985</v>
      </c>
      <c r="BI418" s="0" t="n">
        <f aca="false">IF(BH418&gt;180,BH418-360,BH418)</f>
        <v>-85.9247403182985</v>
      </c>
      <c r="BJ418" s="0" t="n">
        <f aca="false">SUM((BF419&lt;0)*(BF418&gt;0))*A418</f>
        <v>0</v>
      </c>
      <c r="BK418" s="0" t="n">
        <f aca="false">IF(BJ418&gt;0,BI418,0)</f>
        <v>0</v>
      </c>
      <c r="BM418" s="0" t="n">
        <f aca="false">20*LOG(J418*F418*C418)</f>
        <v>-35.8457886681688</v>
      </c>
      <c r="BN418" s="0" t="n">
        <f aca="false">(H418+D418)*180/Pi</f>
        <v>-178.109549943822</v>
      </c>
      <c r="BQ418" s="347" t="n">
        <f aca="false">20*LOG(BA418*7)</f>
        <v>29.7043995664929</v>
      </c>
    </row>
    <row r="419" customFormat="false" ht="12.75" hidden="false" customHeight="false" outlineLevel="0" collapsed="false">
      <c r="A419" s="0" t="n">
        <f aca="false">A418+5000</f>
        <v>1025000</v>
      </c>
      <c r="B419" s="0" t="n">
        <f aca="false">A419/1000</f>
        <v>1025</v>
      </c>
      <c r="C419" s="0" t="n">
        <f aca="false">SQRT((A419/Fesr)^2+1)</f>
        <v>1.00002073829116</v>
      </c>
      <c r="D419" s="0" t="n">
        <f aca="false">ATAN(A419/Fesr)</f>
        <v>0.006440175893733</v>
      </c>
      <c r="F419" s="0" t="n">
        <f aca="false">(Ro/(Ro+Rdcr))/SQRT((A419/(Q*Fo))^2+(1-(A419^2/Fo^2))^2)</f>
        <v>0.00177502965364149</v>
      </c>
      <c r="G419" s="0" t="n">
        <f aca="false">-ATAN(A419*Fo/(Q*(Fo^2-A419^2)))</f>
        <v>0.0264557252573141</v>
      </c>
      <c r="H419" s="0" t="n">
        <f aca="false">IF(G419&gt;0,G419-Pi,G419)</f>
        <v>-3.11513692474269</v>
      </c>
      <c r="J419" s="0" t="n">
        <f aca="false">Vin/Vramp</f>
        <v>9</v>
      </c>
      <c r="M419" s="0" t="n">
        <f aca="false">1/(2*Pi*_Rfb1*(Cc1ea_u+Cc2ea_u)*A419)</f>
        <v>0.00575085612551965</v>
      </c>
      <c r="N419" s="0" t="n">
        <f aca="false">-Pi/2</f>
        <v>-1.570796325</v>
      </c>
      <c r="O419" s="0" t="n">
        <f aca="false">SQRT(1+(A419/Fz1_u)^2)</f>
        <v>25.0597103523779</v>
      </c>
      <c r="P419" s="0" t="n">
        <f aca="false">ATAN2(Fz1_u,A419)</f>
        <v>1.53088103752432</v>
      </c>
      <c r="Q419" s="0" t="n">
        <f aca="false">SQRT(1+(A419/Fz2_u)^2)</f>
        <v>28413.1093246815</v>
      </c>
      <c r="R419" s="0" t="n">
        <f aca="false">ATAN2(Fz2_u,A419)</f>
        <v>1.57076113177316</v>
      </c>
      <c r="S419" s="0" t="n">
        <f aca="false">1/SQRT(1+(A419/Fp1_u)^2)</f>
        <v>0.0131665244179607</v>
      </c>
      <c r="T419" s="0" t="n">
        <f aca="false">-ATAN2(Fp1_u,A419)</f>
        <v>-1.55762942192826</v>
      </c>
      <c r="U419" s="0" t="n">
        <f aca="false">1/SQRT(1+(A419/Fp2_u)^2)</f>
        <v>0.338243320394452</v>
      </c>
      <c r="V419" s="0" t="n">
        <f aca="false">-ATAN2(Fp2_u,A419)</f>
        <v>-1.22574676269038</v>
      </c>
      <c r="X419" s="0" t="n">
        <f aca="false">20*LOG(C419*J419*O419*Q419*F419*M419*S419*U419)</f>
        <v>-10.712303631812</v>
      </c>
      <c r="Y419" s="0" t="n">
        <f aca="false">(180/Pi)*(D419+H419+N419+P419+R419+T419+V419)</f>
        <v>-249.879905993102</v>
      </c>
      <c r="Z419" s="0" t="n">
        <f aca="false">Y419+180</f>
        <v>-69.879905993102</v>
      </c>
      <c r="AC419" s="0" t="n">
        <v>1</v>
      </c>
      <c r="AD419" s="0" t="n">
        <f aca="false">Rcea1_u*Cc1ea_u*A419*2*Pi</f>
        <v>25.03975005756</v>
      </c>
      <c r="AE419" s="0" t="n">
        <f aca="false">-Rcea1_u*Cc1ea_u*Cc2ea_u*(A419*2*Pi)^2</f>
        <v>-0.0241893936321403</v>
      </c>
      <c r="AF419" s="0" t="n">
        <f aca="false">(Cc2ea_u+Cc1ea_u)*A419*2*Pi</f>
        <v>0.008694357658875</v>
      </c>
      <c r="AG419" s="0" t="n">
        <f aca="false">AC419*AE419/(AE419^2+AF419^2)+AD419*AF419/(AE419^2+AF419^2)</f>
        <v>292.885872106147</v>
      </c>
      <c r="AH419" s="0" t="n">
        <f aca="false">AD419*AE419/(AE419^2+AF419^2)-AC419*AF419/(AE419^2+AF419^2)</f>
        <v>-929.88257061355</v>
      </c>
      <c r="AJ419" s="0" t="n">
        <f aca="false">_Rfb1</f>
        <v>20000</v>
      </c>
      <c r="AK419" s="0" t="n">
        <f aca="false">_Rfb1*Rcea2_u*Cc3ea_u*A419*2*Pi</f>
        <v>1518872.0816808</v>
      </c>
      <c r="AL419" s="0" t="n">
        <v>1</v>
      </c>
      <c r="AM419" s="0" t="n">
        <f aca="false">(_Rfb1+Rcea2_u)*Cc3ea_u*A419*2*Pi</f>
        <v>28413.109307084</v>
      </c>
      <c r="AN419" s="0" t="n">
        <f aca="false">AJ419*AL419/(AL419^2+AM419^2)+AK419*AM419/(AL419^2+AM419^2)</f>
        <v>53.4567606552351</v>
      </c>
      <c r="AO419" s="0" t="n">
        <f aca="false">AK419*AL419/(AL419^2+AM419^2)-AJ419*AM419/(AL419^2+AM419^2)</f>
        <v>-0.702019023112393</v>
      </c>
      <c r="AQ419" s="0" t="n">
        <f aca="false">Eadcg/(1+(Eadcg*A419/GBP)^2)</f>
        <v>0.0108365594027567</v>
      </c>
      <c r="AR419" s="0" t="n">
        <f aca="false">-(A419*Eadcg*Eadcg/GBP)/(1+(Eadcg*A419/GBP)^2)</f>
        <v>-5.85363847538408</v>
      </c>
      <c r="AT419" s="0" t="n">
        <f aca="false">-AR419*AH419+AG419*AQ419</f>
        <v>-5440.02251778123</v>
      </c>
      <c r="AU419" s="0" t="n">
        <f aca="false">AQ419*AH419+AG419*AR419</f>
        <v>-1724.52473757101</v>
      </c>
      <c r="AV419" s="0" t="n">
        <f aca="false">ATAN2(AT419,AU419)</f>
        <v>-2.83460712896158</v>
      </c>
      <c r="AW419" s="0" t="n">
        <f aca="false">AG419-AH419*AO419/_Rfb2+AG419*AN419/_Rfb2+AN419-AO419*AR419+AQ419*AN419</f>
        <v>349.56432517935</v>
      </c>
      <c r="AX419" s="0" t="n">
        <f aca="false">AH419+AH419*AN419/_Rfb2+AG419*AO419/_Rfb2+AO419+AO419*AQ419+AN419*AR419</f>
        <v>-1265.97010270925</v>
      </c>
      <c r="AY419" s="0" t="n">
        <f aca="false">ATAN2(AW419,AX419)</f>
        <v>-1.30138573874193</v>
      </c>
      <c r="BA419" s="0" t="n">
        <f aca="false">SQRT(AT419^2+AU419^2)/SQRT(AW419^2+AX419^2)</f>
        <v>4.34525768049694</v>
      </c>
      <c r="BB419" s="0" t="n">
        <f aca="false">20*LOG(BA419)</f>
        <v>12.7603107176484</v>
      </c>
      <c r="BC419" s="0" t="n">
        <f aca="false">AV419-AY419</f>
        <v>-1.53322139021965</v>
      </c>
      <c r="BD419" s="0" t="n">
        <f aca="false">BC419*180/Pi-180</f>
        <v>-267.847114819146</v>
      </c>
      <c r="BF419" s="0" t="n">
        <f aca="false">20*LOG(BA419*J419*F419*C419)</f>
        <v>-23.170546709437</v>
      </c>
      <c r="BG419" s="0" t="n">
        <f aca="false">(180/Pi)*(D419+H419+BC419)</f>
        <v>-265.962318517758</v>
      </c>
      <c r="BH419" s="0" t="n">
        <f aca="false">IF(BG419&gt;180,BG419-180,BG419+180)</f>
        <v>-85.9623185177581</v>
      </c>
      <c r="BI419" s="0" t="n">
        <f aca="false">IF(BH419&gt;180,BH419-360,BH419)</f>
        <v>-85.9623185177581</v>
      </c>
      <c r="BJ419" s="0" t="n">
        <f aca="false">SUM((BF420&lt;0)*(BF419&gt;0))*A419</f>
        <v>0</v>
      </c>
      <c r="BK419" s="0" t="n">
        <f aca="false">IF(BJ419&gt;0,BI419,0)</f>
        <v>0</v>
      </c>
      <c r="BM419" s="0" t="n">
        <f aca="false">20*LOG(J419*F419*C419)</f>
        <v>-35.9308574270854</v>
      </c>
      <c r="BN419" s="0" t="n">
        <f aca="false">(H419+D419)*180/Pi</f>
        <v>-178.115203698612</v>
      </c>
      <c r="BQ419" s="347" t="n">
        <f aca="false">20*LOG(BA419*7)</f>
        <v>29.6622715179335</v>
      </c>
    </row>
    <row r="420" customFormat="false" ht="12.75" hidden="false" customHeight="false" outlineLevel="0" collapsed="false">
      <c r="A420" s="0" t="n">
        <f aca="false">A419+5000</f>
        <v>1030000</v>
      </c>
      <c r="B420" s="0" t="n">
        <f aca="false">A420/1000</f>
        <v>1030</v>
      </c>
      <c r="C420" s="0" t="n">
        <f aca="false">SQRT((A420/Fesr)^2+1)</f>
        <v>1.00002094110731</v>
      </c>
      <c r="D420" s="0" t="n">
        <f aca="false">ATAN(A420/Fesr)</f>
        <v>0.00647159051088218</v>
      </c>
      <c r="F420" s="0" t="n">
        <f aca="false">(Ro/(Ro+Rdcr))/SQRT((A420/(Q*Fo))^2+(1-(A420^2/Fo^2))^2)</f>
        <v>0.00175781370033498</v>
      </c>
      <c r="G420" s="0" t="n">
        <f aca="false">-ATAN(A420*Fo/(Q*(Fo^2-A420^2)))</f>
        <v>0.0263269028694055</v>
      </c>
      <c r="H420" s="0" t="n">
        <f aca="false">IF(G420&gt;0,G420-Pi,G420)</f>
        <v>-3.11526574713059</v>
      </c>
      <c r="J420" s="0" t="n">
        <f aca="false">Vin/Vramp</f>
        <v>9</v>
      </c>
      <c r="M420" s="0" t="n">
        <f aca="false">1/(2*Pi*_Rfb1*(Cc1ea_u+Cc2ea_u)*A420)</f>
        <v>0.0057229393482113</v>
      </c>
      <c r="N420" s="0" t="n">
        <f aca="false">-Pi/2</f>
        <v>-1.570796325</v>
      </c>
      <c r="O420" s="0" t="n">
        <f aca="false">SQRT(1+(A420/Fz1_u)^2)</f>
        <v>25.1817586565919</v>
      </c>
      <c r="P420" s="0" t="n">
        <f aca="false">ATAN2(Fz1_u,A420)</f>
        <v>1.53107459681721</v>
      </c>
      <c r="Q420" s="0" t="n">
        <f aca="false">SQRT(1+(A420/Fz2_u)^2)</f>
        <v>28551.7098578014</v>
      </c>
      <c r="R420" s="0" t="n">
        <f aca="false">ATAN2(Fz2_u,A420)</f>
        <v>1.57076130262278</v>
      </c>
      <c r="S420" s="0" t="n">
        <f aca="false">1/SQRT(1+(A420/Fp1_u)^2)</f>
        <v>0.0131026202505118</v>
      </c>
      <c r="T420" s="0" t="n">
        <f aca="false">-ATAN2(Fp1_u,A420)</f>
        <v>-1.55769333160871</v>
      </c>
      <c r="U420" s="0" t="n">
        <f aca="false">1/SQRT(1+(A420/Fp2_u)^2)</f>
        <v>0.336788006005635</v>
      </c>
      <c r="V420" s="0" t="n">
        <f aca="false">-ATAN2(Fp2_u,A420)</f>
        <v>-1.22729279881562</v>
      </c>
      <c r="X420" s="0" t="n">
        <f aca="false">20*LOG(C420*J420*O420*Q420*F420*M420*S420*U420)</f>
        <v>-10.8344691594461</v>
      </c>
      <c r="Y420" s="0" t="n">
        <f aca="false">(180/Pi)*(D420+H420+N420+P420+R420+T420+V420)</f>
        <v>-249.966630227738</v>
      </c>
      <c r="Z420" s="0" t="n">
        <f aca="false">Y420+180</f>
        <v>-69.9666302277379</v>
      </c>
      <c r="AC420" s="0" t="n">
        <v>1</v>
      </c>
      <c r="AD420" s="0" t="n">
        <f aca="false">Rcea1_u*Cc1ea_u*A420*2*Pi</f>
        <v>25.161895179792</v>
      </c>
      <c r="AE420" s="0" t="n">
        <f aca="false">-Rcea1_u*Cc1ea_u*Cc2ea_u*(A420*2*Pi)^2</f>
        <v>-0.0244259633116836</v>
      </c>
      <c r="AF420" s="0" t="n">
        <f aca="false">(Cc2ea_u+Cc1ea_u)*A420*2*Pi</f>
        <v>0.00873676915965</v>
      </c>
      <c r="AG420" s="0" t="n">
        <f aca="false">AC420*AE420/(AE420^2+AF420^2)+AD420*AF420/(AE420^2+AF420^2)</f>
        <v>290.370972132485</v>
      </c>
      <c r="AH420" s="0" t="n">
        <f aca="false">AD420*AE420/(AE420^2+AF420^2)-AC420*AF420/(AE420^2+AF420^2)</f>
        <v>-926.268116303324</v>
      </c>
      <c r="AJ420" s="0" t="n">
        <f aca="false">_Rfb1</f>
        <v>20000</v>
      </c>
      <c r="AK420" s="0" t="n">
        <f aca="false">_Rfb1*Rcea2_u*Cc3ea_u*A420*2*Pi</f>
        <v>1526281.21378656</v>
      </c>
      <c r="AL420" s="0" t="n">
        <v>1</v>
      </c>
      <c r="AM420" s="0" t="n">
        <f aca="false">(_Rfb1+Rcea2_u)*Cc3ea_u*A420*2*Pi</f>
        <v>28551.7098402893</v>
      </c>
      <c r="AN420" s="0" t="n">
        <f aca="false">AJ420*AL420/(AL420^2+AM420^2)+AK420*AM420/(AL420^2+AM420^2)</f>
        <v>53.4567604159379</v>
      </c>
      <c r="AO420" s="0" t="n">
        <f aca="false">AK420*AL420/(AL420^2+AM420^2)-AJ420*AM420/(AL420^2+AM420^2)</f>
        <v>-0.698611163785277</v>
      </c>
      <c r="AQ420" s="0" t="n">
        <f aca="false">Eadcg/(1+(Eadcg*A420/GBP)^2)</f>
        <v>0.0107316058067872</v>
      </c>
      <c r="AR420" s="0" t="n">
        <f aca="false">-(A420*Eadcg*Eadcg/GBP)/(1+(Eadcg*A420/GBP)^2)</f>
        <v>-5.82522294798216</v>
      </c>
      <c r="AT420" s="0" t="n">
        <f aca="false">-AR420*AH420+AG420*AQ420</f>
        <v>-5392.60214026367</v>
      </c>
      <c r="AU420" s="0" t="n">
        <f aca="false">AQ420*AH420+AG420*AR420</f>
        <v>-1701.4159945896</v>
      </c>
      <c r="AV420" s="0" t="n">
        <f aca="false">ATAN2(AT420,AU420)</f>
        <v>-2.83596859242303</v>
      </c>
      <c r="AW420" s="0" t="n">
        <f aca="false">AG420-AH420*AO420/_Rfb2+AG420*AN420/_Rfb2+AN420-AO420*AR420+AQ420*AN420</f>
        <v>347.025679254961</v>
      </c>
      <c r="AX420" s="0" t="n">
        <f aca="false">AH420+AH420*AN420/_Rfb2+AG420*AO420/_Rfb2+AO420+AO420*AQ420+AN420*AR420</f>
        <v>-1260.74493931605</v>
      </c>
      <c r="AY420" s="0" t="n">
        <f aca="false">ATAN2(AW420,AX420)</f>
        <v>-1.30219355315654</v>
      </c>
      <c r="BA420" s="0" t="n">
        <f aca="false">SQRT(AT420^2+AU420^2)/SQRT(AW420^2+AX420^2)</f>
        <v>4.32433328168336</v>
      </c>
      <c r="BB420" s="0" t="n">
        <f aca="false">20*LOG(BA420)</f>
        <v>12.7183831636186</v>
      </c>
      <c r="BC420" s="0" t="n">
        <f aca="false">AV420-AY420</f>
        <v>-1.53377503926648</v>
      </c>
      <c r="BD420" s="0" t="n">
        <f aca="false">BC420*180/Pi-180</f>
        <v>-267.878836572898</v>
      </c>
      <c r="BF420" s="0" t="n">
        <f aca="false">20*LOG(BA420*J420*F420*C420)</f>
        <v>-23.297127856862</v>
      </c>
      <c r="BG420" s="0" t="n">
        <f aca="false">(180/Pi)*(D420+H420+BC420)</f>
        <v>-265.999621325672</v>
      </c>
      <c r="BH420" s="0" t="n">
        <f aca="false">IF(BG420&gt;180,BG420-180,BG420+180)</f>
        <v>-85.9996213256723</v>
      </c>
      <c r="BI420" s="0" t="n">
        <f aca="false">IF(BH420&gt;180,BH420-360,BH420)</f>
        <v>-85.9996213256723</v>
      </c>
      <c r="BJ420" s="0" t="n">
        <f aca="false">SUM((BF421&lt;0)*(BF420&gt;0))*A420</f>
        <v>0</v>
      </c>
      <c r="BK420" s="0" t="n">
        <f aca="false">IF(BJ420&gt;0,BI420,0)</f>
        <v>0</v>
      </c>
      <c r="BM420" s="0" t="n">
        <f aca="false">20*LOG(J420*F420*C420)</f>
        <v>-36.0155110204806</v>
      </c>
      <c r="BN420" s="0" t="n">
        <f aca="false">(H420+D420)*180/Pi</f>
        <v>-178.120784752774</v>
      </c>
      <c r="BQ420" s="347" t="n">
        <f aca="false">20*LOG(BA420*7)</f>
        <v>29.6203439639038</v>
      </c>
    </row>
    <row r="421" customFormat="false" ht="12.75" hidden="false" customHeight="false" outlineLevel="0" collapsed="false">
      <c r="A421" s="0" t="n">
        <f aca="false">A420+5000</f>
        <v>1035000</v>
      </c>
      <c r="B421" s="0" t="n">
        <f aca="false">A421/1000</f>
        <v>1035</v>
      </c>
      <c r="C421" s="0" t="n">
        <f aca="false">SQRT((A421/Fesr)^2+1)</f>
        <v>1.00002114491035</v>
      </c>
      <c r="D421" s="0" t="n">
        <f aca="false">ATAN(A421/Fesr)</f>
        <v>0.00650300511525785</v>
      </c>
      <c r="F421" s="0" t="n">
        <f aca="false">(Ro/(Ro+Rdcr))/SQRT((A421/(Q*Fo))^2+(1-(A421^2/Fo^2))^2)</f>
        <v>0.00174084711948452</v>
      </c>
      <c r="G421" s="0" t="n">
        <f aca="false">-ATAN(A421*Fo/(Q*(Fo^2-A421^2)))</f>
        <v>0.0261993308574072</v>
      </c>
      <c r="H421" s="0" t="n">
        <f aca="false">IF(G421&gt;0,G421-Pi,G421)</f>
        <v>-3.11539331914259</v>
      </c>
      <c r="J421" s="0" t="n">
        <f aca="false">Vin/Vramp</f>
        <v>9</v>
      </c>
      <c r="M421" s="0" t="n">
        <f aca="false">1/(2*Pi*_Rfb1*(Cc1ea_u+Cc2ea_u)*A421)</f>
        <v>0.00569529229821994</v>
      </c>
      <c r="N421" s="0" t="n">
        <f aca="false">-Pi/2</f>
        <v>-1.570796325</v>
      </c>
      <c r="O421" s="0" t="n">
        <f aca="false">SQRT(1+(A421/Fz1_u)^2)</f>
        <v>25.3038078951444</v>
      </c>
      <c r="P421" s="0" t="n">
        <f aca="false">ATAN2(Fz1_u,A421)</f>
        <v>1.531266288907</v>
      </c>
      <c r="Q421" s="0" t="n">
        <f aca="false">SQRT(1+(A421/Fz2_u)^2)</f>
        <v>28690.3103909221</v>
      </c>
      <c r="R421" s="0" t="n">
        <f aca="false">ATAN2(Fz2_u,A421)</f>
        <v>1.57076147182168</v>
      </c>
      <c r="S421" s="0" t="n">
        <f aca="false">1/SQRT(1+(A421/Fp1_u)^2)</f>
        <v>0.0130393333563981</v>
      </c>
      <c r="T421" s="0" t="n">
        <f aca="false">-ATAN2(Fp1_u,A421)</f>
        <v>-1.55775662390982</v>
      </c>
      <c r="U421" s="0" t="n">
        <f aca="false">1/SQRT(1+(A421/Fp2_u)^2)</f>
        <v>0.335344369863923</v>
      </c>
      <c r="V421" s="0" t="n">
        <f aca="false">-ATAN2(Fp2_u,A421)</f>
        <v>-1.22882558446257</v>
      </c>
      <c r="X421" s="0" t="n">
        <f aca="false">20*LOG(C421*J421*O421*Q421*F421*M421*S421*U421)</f>
        <v>-10.9560823974239</v>
      </c>
      <c r="Y421" s="0" t="n">
        <f aca="false">(180/Pi)*(D421+H421+N421+P421+R421+T421+V421)</f>
        <v>-250.052595329566</v>
      </c>
      <c r="Z421" s="0" t="n">
        <f aca="false">Y421+180</f>
        <v>-70.0525953295658</v>
      </c>
      <c r="AC421" s="0" t="n">
        <v>1</v>
      </c>
      <c r="AD421" s="0" t="n">
        <f aca="false">Rcea1_u*Cc1ea_u*A421*2*Pi</f>
        <v>25.284040302024</v>
      </c>
      <c r="AE421" s="0" t="n">
        <f aca="false">-Rcea1_u*Cc1ea_u*Cc2ea_u*(A421*2*Pi)^2</f>
        <v>-0.0246636841818817</v>
      </c>
      <c r="AF421" s="0" t="n">
        <f aca="false">(Cc2ea_u+Cc1ea_u)*A421*2*Pi</f>
        <v>0.008779180660425</v>
      </c>
      <c r="AG421" s="0" t="n">
        <f aca="false">AC421*AE421/(AE421^2+AF421^2)+AD421*AF421/(AE421^2+AF421^2)</f>
        <v>287.886966782544</v>
      </c>
      <c r="AH421" s="0" t="n">
        <f aca="false">AD421*AE421/(AE421^2+AF421^2)-AC421*AF421/(AE421^2+AF421^2)</f>
        <v>-922.677587137432</v>
      </c>
      <c r="AJ421" s="0" t="n">
        <f aca="false">_Rfb1</f>
        <v>20000</v>
      </c>
      <c r="AK421" s="0" t="n">
        <f aca="false">_Rfb1*Rcea2_u*Cc3ea_u*A421*2*Pi</f>
        <v>1533690.34589232</v>
      </c>
      <c r="AL421" s="0" t="n">
        <v>1</v>
      </c>
      <c r="AM421" s="0" t="n">
        <f aca="false">(_Rfb1+Rcea2_u)*Cc3ea_u*A421*2*Pi</f>
        <v>28690.3103734946</v>
      </c>
      <c r="AN421" s="0" t="n">
        <f aca="false">AJ421*AL421/(AL421^2+AM421^2)+AK421*AM421/(AL421^2+AM421^2)</f>
        <v>53.4567601801005</v>
      </c>
      <c r="AO421" s="0" t="n">
        <f aca="false">AK421*AL421/(AL421^2+AM421^2)-AJ421*AM421/(AL421^2+AM421^2)</f>
        <v>-0.695236230635114</v>
      </c>
      <c r="AQ421" s="0" t="n">
        <f aca="false">Eadcg/(1+(Eadcg*A421/GBP)^2)</f>
        <v>0.0106281695935553</v>
      </c>
      <c r="AR421" s="0" t="n">
        <f aca="false">-(A421*Eadcg*Eadcg/GBP)/(1+(Eadcg*A421/GBP)^2)</f>
        <v>-5.79708196395678</v>
      </c>
      <c r="AT421" s="0" t="n">
        <f aca="false">-AR421*AH421+AG421*AQ421</f>
        <v>-5345.77788743483</v>
      </c>
      <c r="AU421" s="0" t="n">
        <f aca="false">AQ421*AH421+AG421*AR421</f>
        <v>-1678.71071666958</v>
      </c>
      <c r="AV421" s="0" t="n">
        <f aca="false">ATAN2(AT421,AU421)</f>
        <v>-2.83731858578225</v>
      </c>
      <c r="AW421" s="0" t="n">
        <f aca="false">AG421-AH421*AO421/_Rfb2+AG421*AN421/_Rfb2+AN421-AO421*AR421+AQ421*AN421</f>
        <v>344.518144606981</v>
      </c>
      <c r="AX421" s="0" t="n">
        <f aca="false">AH421+AH421*AN421/_Rfb2+AG421*AO421/_Rfb2+AO421+AO421*AQ421+AN421*AR421</f>
        <v>-1255.55900952522</v>
      </c>
      <c r="AY421" s="0" t="n">
        <f aca="false">ATAN2(AW421,AX421)</f>
        <v>-1.30299338485701</v>
      </c>
      <c r="BA421" s="0" t="n">
        <f aca="false">SQRT(AT421^2+AU421^2)/SQRT(AW421^2+AX421^2)</f>
        <v>4.30360804534339</v>
      </c>
      <c r="BB421" s="0" t="n">
        <f aca="false">20*LOG(BA421)</f>
        <v>12.6766542146168</v>
      </c>
      <c r="BC421" s="0" t="n">
        <f aca="false">AV421-AY421</f>
        <v>-1.53432520092525</v>
      </c>
      <c r="BD421" s="0" t="n">
        <f aca="false">BC421*180/Pi-180</f>
        <v>-267.910358514031</v>
      </c>
      <c r="BF421" s="0" t="n">
        <f aca="false">20*LOG(BA421*J421*F421*C421)</f>
        <v>-23.4230992717844</v>
      </c>
      <c r="BG421" s="0" t="n">
        <f aca="false">(180/Pi)*(D421+H421+BC421)</f>
        <v>-266.036652680437</v>
      </c>
      <c r="BH421" s="0" t="n">
        <f aca="false">IF(BG421&gt;180,BG421-180,BG421+180)</f>
        <v>-86.0366526804373</v>
      </c>
      <c r="BI421" s="0" t="n">
        <f aca="false">IF(BH421&gt;180,BH421-360,BH421)</f>
        <v>-86.0366526804373</v>
      </c>
      <c r="BJ421" s="0" t="n">
        <f aca="false">SUM((BF422&lt;0)*(BF421&gt;0))*A421</f>
        <v>0</v>
      </c>
      <c r="BK421" s="0" t="n">
        <f aca="false">IF(BJ421&gt;0,BI421,0)</f>
        <v>0</v>
      </c>
      <c r="BM421" s="0" t="n">
        <f aca="false">20*LOG(J421*F421*C421)</f>
        <v>-36.0997534864013</v>
      </c>
      <c r="BN421" s="0" t="n">
        <f aca="false">(H421+D421)*180/Pi</f>
        <v>-178.126294166406</v>
      </c>
      <c r="BQ421" s="347" t="n">
        <f aca="false">20*LOG(BA421*7)</f>
        <v>29.578615014902</v>
      </c>
    </row>
    <row r="422" customFormat="false" ht="12.75" hidden="false" customHeight="false" outlineLevel="0" collapsed="false">
      <c r="A422" s="0" t="n">
        <f aca="false">A421+5000</f>
        <v>1040000</v>
      </c>
      <c r="B422" s="0" t="n">
        <f aca="false">A422/1000</f>
        <v>1040</v>
      </c>
      <c r="C422" s="0" t="n">
        <f aca="false">SQRT((A422/Fesr)^2+1)</f>
        <v>1.00002134970029</v>
      </c>
      <c r="D422" s="0" t="n">
        <f aca="false">ATAN(A422/Fesr)</f>
        <v>0.006534419706798</v>
      </c>
      <c r="F422" s="0" t="n">
        <f aca="false">(Ro/(Ro+Rdcr))/SQRT((A422/(Q*Fo))^2+(1-(A422^2/Fo^2))^2)</f>
        <v>0.00172412511583179</v>
      </c>
      <c r="G422" s="0" t="n">
        <f aca="false">-ATAN(A422*Fo/(Q*(Fo^2-A422^2)))</f>
        <v>0.0260729910777029</v>
      </c>
      <c r="H422" s="0" t="n">
        <f aca="false">IF(G422&gt;0,G422-Pi,G422)</f>
        <v>-3.1155196589223</v>
      </c>
      <c r="J422" s="0" t="n">
        <f aca="false">Vin/Vramp</f>
        <v>9</v>
      </c>
      <c r="M422" s="0" t="n">
        <f aca="false">1/(2*Pi*_Rfb1*(Cc1ea_u+Cc2ea_u)*A422)</f>
        <v>0.00566791108524773</v>
      </c>
      <c r="N422" s="0" t="n">
        <f aca="false">-Pi/2</f>
        <v>-1.570796325</v>
      </c>
      <c r="O422" s="0" t="n">
        <f aca="false">SQRT(1+(A422/Fz1_u)^2)</f>
        <v>25.4258580545805</v>
      </c>
      <c r="P422" s="0" t="n">
        <f aca="false">ATAN2(Fz1_u,A422)</f>
        <v>1.53145614066857</v>
      </c>
      <c r="Q422" s="0" t="n">
        <f aca="false">SQRT(1+(A422/Fz2_u)^2)</f>
        <v>28828.9109240436</v>
      </c>
      <c r="R422" s="0" t="n">
        <f aca="false">ATAN2(Fz2_u,A422)</f>
        <v>1.57076163939367</v>
      </c>
      <c r="S422" s="0" t="n">
        <f aca="false">1/SQRT(1+(A422/Fp1_u)^2)</f>
        <v>0.0129766548356593</v>
      </c>
      <c r="T422" s="0" t="n">
        <f aca="false">-ATAN2(Fp1_u,A422)</f>
        <v>-1.5578193077341</v>
      </c>
      <c r="U422" s="0" t="n">
        <f aca="false">1/SQRT(1+(A422/Fp2_u)^2)</f>
        <v>0.333912282655867</v>
      </c>
      <c r="V422" s="0" t="n">
        <f aca="false">-ATAN2(Fp2_u,A422)</f>
        <v>-1.23034528214082</v>
      </c>
      <c r="X422" s="0" t="n">
        <f aca="false">20*LOG(C422*J422*O422*Q422*F422*M422*S422*U422)</f>
        <v>-11.0771481926524</v>
      </c>
      <c r="Y422" s="0" t="n">
        <f aca="false">(180/Pi)*(D422+H422+N422+P422+R422+T422+V422)</f>
        <v>-250.13781061815</v>
      </c>
      <c r="Z422" s="0" t="n">
        <f aca="false">Y422+180</f>
        <v>-70.13781061815</v>
      </c>
      <c r="AC422" s="0" t="n">
        <v>1</v>
      </c>
      <c r="AD422" s="0" t="n">
        <f aca="false">Rcea1_u*Cc1ea_u*A422*2*Pi</f>
        <v>25.406185424256</v>
      </c>
      <c r="AE422" s="0" t="n">
        <f aca="false">-Rcea1_u*Cc1ea_u*Cc2ea_u*(A422*2*Pi)^2</f>
        <v>-0.0249025562427345</v>
      </c>
      <c r="AF422" s="0" t="n">
        <f aca="false">(Cc2ea_u+Cc1ea_u)*A422*2*Pi</f>
        <v>0.0088215921612</v>
      </c>
      <c r="AG422" s="0" t="n">
        <f aca="false">AC422*AE422/(AE422^2+AF422^2)+AD422*AF422/(AE422^2+AF422^2)</f>
        <v>285.433376021636</v>
      </c>
      <c r="AH422" s="0" t="n">
        <f aca="false">AD422*AE422/(AE422^2+AF422^2)-AC422*AF422/(AE422^2+AF422^2)</f>
        <v>-919.110808091297</v>
      </c>
      <c r="AJ422" s="0" t="n">
        <f aca="false">_Rfb1</f>
        <v>20000</v>
      </c>
      <c r="AK422" s="0" t="n">
        <f aca="false">_Rfb1*Rcea2_u*Cc3ea_u*A422*2*Pi</f>
        <v>1541099.47799808</v>
      </c>
      <c r="AL422" s="0" t="n">
        <v>1</v>
      </c>
      <c r="AM422" s="0" t="n">
        <f aca="false">(_Rfb1+Rcea2_u)*Cc3ea_u*A422*2*Pi</f>
        <v>28828.9109066999</v>
      </c>
      <c r="AN422" s="0" t="n">
        <f aca="false">AJ422*AL422/(AL422^2+AM422^2)+AK422*AM422/(AL422^2+AM422^2)</f>
        <v>53.4567599476564</v>
      </c>
      <c r="AO422" s="0" t="n">
        <f aca="false">AK422*AL422/(AL422^2+AM422^2)-AJ422*AM422/(AL422^2+AM422^2)</f>
        <v>-0.691893748765123</v>
      </c>
      <c r="AQ422" s="0" t="n">
        <f aca="false">Eadcg/(1+(Eadcg*A422/GBP)^2)</f>
        <v>0.0105262216530449</v>
      </c>
      <c r="AR422" s="0" t="n">
        <f aca="false">-(A422*Eadcg*Eadcg/GBP)/(1+(Eadcg*A422/GBP)^2)</f>
        <v>-5.76921156360084</v>
      </c>
      <c r="AT422" s="0" t="n">
        <f aca="false">-AR422*AH422+AG422*AQ422</f>
        <v>-5299.54016728764</v>
      </c>
      <c r="AU422" s="0" t="n">
        <f aca="false">AQ422*AH422+AG422*AR422</f>
        <v>-1656.40029767133</v>
      </c>
      <c r="AV422" s="0" t="n">
        <f aca="false">ATAN2(AT422,AU422)</f>
        <v>-2.83865724592626</v>
      </c>
      <c r="AW422" s="0" t="n">
        <f aca="false">AG422-AH422*AO422/_Rfb2+AG422*AN422/_Rfb2+AN422-AO422*AR422+AQ422*AN422</f>
        <v>342.04123965542</v>
      </c>
      <c r="AX422" s="0" t="n">
        <f aca="false">AH422+AH422*AN422/_Rfb2+AG422*AO422/_Rfb2+AO422+AO422*AQ422+AN422*AR422</f>
        <v>-1250.41192144057</v>
      </c>
      <c r="AY422" s="0" t="n">
        <f aca="false">ATAN2(AW422,AX422)</f>
        <v>-1.30378532143775</v>
      </c>
      <c r="BA422" s="0" t="n">
        <f aca="false">SQRT(AT422^2+AU422^2)/SQRT(AW422^2+AX422^2)</f>
        <v>4.2830791526678</v>
      </c>
      <c r="BB422" s="0" t="n">
        <f aca="false">20*LOG(BA422)</f>
        <v>12.6351220074234</v>
      </c>
      <c r="BC422" s="0" t="n">
        <f aca="false">AV422-AY422</f>
        <v>-1.53487192448851</v>
      </c>
      <c r="BD422" s="0" t="n">
        <f aca="false">BC422*180/Pi-180</f>
        <v>-267.941683466802</v>
      </c>
      <c r="BF422" s="0" t="n">
        <f aca="false">20*LOG(BA422*J422*F422*C422)</f>
        <v>-23.5484667967608</v>
      </c>
      <c r="BG422" s="0" t="n">
        <f aca="false">(180/Pi)*(D422+H422+BC422)</f>
        <v>-266.073416445866</v>
      </c>
      <c r="BH422" s="0" t="n">
        <f aca="false">IF(BG422&gt;180,BG422-180,BG422+180)</f>
        <v>-86.0734164458659</v>
      </c>
      <c r="BI422" s="0" t="n">
        <f aca="false">IF(BH422&gt;180,BH422-360,BH422)</f>
        <v>-86.0734164458659</v>
      </c>
      <c r="BJ422" s="0" t="n">
        <f aca="false">SUM((BF423&lt;0)*(BF422&gt;0))*A422</f>
        <v>0</v>
      </c>
      <c r="BK422" s="0" t="n">
        <f aca="false">IF(BJ422&gt;0,BI422,0)</f>
        <v>0</v>
      </c>
      <c r="BM422" s="0" t="n">
        <f aca="false">20*LOG(J422*F422*C422)</f>
        <v>-36.1835888041842</v>
      </c>
      <c r="BN422" s="0" t="n">
        <f aca="false">(H422+D422)*180/Pi</f>
        <v>-178.131732979064</v>
      </c>
      <c r="BQ422" s="347" t="n">
        <f aca="false">20*LOG(BA422*7)</f>
        <v>29.5370828077085</v>
      </c>
    </row>
    <row r="423" customFormat="false" ht="12.75" hidden="false" customHeight="false" outlineLevel="0" collapsed="false">
      <c r="A423" s="0" t="n">
        <f aca="false">A422+5000</f>
        <v>1045000</v>
      </c>
      <c r="B423" s="0" t="n">
        <f aca="false">A423/1000</f>
        <v>1045</v>
      </c>
      <c r="C423" s="0" t="n">
        <f aca="false">SQRT((A423/Fesr)^2+1)</f>
        <v>1.00002155547712</v>
      </c>
      <c r="D423" s="0" t="n">
        <f aca="false">ATAN(A423/Fesr)</f>
        <v>0.00656583428544063</v>
      </c>
      <c r="F423" s="0" t="n">
        <f aca="false">(Ro/(Ro+Rdcr))/SQRT((A423/(Q*Fo))^2+(1-(A423^2/Fo^2))^2)</f>
        <v>0.00170764300888085</v>
      </c>
      <c r="G423" s="0" t="n">
        <f aca="false">-ATAN(A423*Fo/(Q*(Fo^2-A423^2)))</f>
        <v>0.0259478657365264</v>
      </c>
      <c r="H423" s="0" t="n">
        <f aca="false">IF(G423&gt;0,G423-Pi,G423)</f>
        <v>-3.11564478426347</v>
      </c>
      <c r="J423" s="0" t="n">
        <f aca="false">Vin/Vramp</f>
        <v>9</v>
      </c>
      <c r="M423" s="0" t="n">
        <f aca="false">1/(2*Pi*_Rfb1*(Cc1ea_u+Cc2ea_u)*A423)</f>
        <v>0.00564079189345229</v>
      </c>
      <c r="N423" s="0" t="n">
        <f aca="false">-Pi/2</f>
        <v>-1.570796325</v>
      </c>
      <c r="O423" s="0" t="n">
        <f aca="false">SQRT(1+(A423/Fz1_u)^2)</f>
        <v>25.5479091217022</v>
      </c>
      <c r="P423" s="0" t="n">
        <f aca="false">ATAN2(Fz1_u,A423)</f>
        <v>1.53164417846375</v>
      </c>
      <c r="Q423" s="0" t="n">
        <f aca="false">SQRT(1+(A423/Fz2_u)^2)</f>
        <v>28967.5114571659</v>
      </c>
      <c r="R423" s="0" t="n">
        <f aca="false">ATAN2(Fz2_u,A423)</f>
        <v>1.5707618053621</v>
      </c>
      <c r="S423" s="0" t="n">
        <f aca="false">1/SQRT(1+(A423/Fp1_u)^2)</f>
        <v>0.0129145759585974</v>
      </c>
      <c r="T423" s="0" t="n">
        <f aca="false">-ATAN2(Fp1_u,A423)</f>
        <v>-1.55788139181369</v>
      </c>
      <c r="U423" s="0" t="n">
        <f aca="false">1/SQRT(1+(A423/Fp2_u)^2)</f>
        <v>0.332491616770569</v>
      </c>
      <c r="V423" s="0" t="n">
        <f aca="false">-ATAN2(Fp2_u,A423)</f>
        <v>-1.23185205183835</v>
      </c>
      <c r="X423" s="0" t="n">
        <f aca="false">20*LOG(C423*J423*O423*Q423*F423*M423*S423*U423)</f>
        <v>-11.1976713295641</v>
      </c>
      <c r="Y423" s="0" t="n">
        <f aca="false">(180/Pi)*(D423+H423+N423+P423+R423+T423+V423)</f>
        <v>-250.222285268194</v>
      </c>
      <c r="Z423" s="0" t="n">
        <f aca="false">Y423+180</f>
        <v>-70.2222852681939</v>
      </c>
      <c r="AC423" s="0" t="n">
        <v>1</v>
      </c>
      <c r="AD423" s="0" t="n">
        <f aca="false">Rcea1_u*Cc1ea_u*A423*2*Pi</f>
        <v>25.528330546488</v>
      </c>
      <c r="AE423" s="0" t="n">
        <f aca="false">-Rcea1_u*Cc1ea_u*Cc2ea_u*(A423*2*Pi)^2</f>
        <v>-0.025142579494242</v>
      </c>
      <c r="AF423" s="0" t="n">
        <f aca="false">(Cc2ea_u+Cc1ea_u)*A423*2*Pi</f>
        <v>0.008864003661975</v>
      </c>
      <c r="AG423" s="0" t="n">
        <f aca="false">AC423*AE423/(AE423^2+AF423^2)+AD423*AF423/(AE423^2+AF423^2)</f>
        <v>283.00972857013</v>
      </c>
      <c r="AH423" s="0" t="n">
        <f aca="false">AD423*AE423/(AE423^2+AF423^2)-AC423*AF423/(AE423^2+AF423^2)</f>
        <v>-915.567604403504</v>
      </c>
      <c r="AJ423" s="0" t="n">
        <f aca="false">_Rfb1</f>
        <v>20000</v>
      </c>
      <c r="AK423" s="0" t="n">
        <f aca="false">_Rfb1*Rcea2_u*Cc3ea_u*A423*2*Pi</f>
        <v>1548508.61010384</v>
      </c>
      <c r="AL423" s="0" t="n">
        <v>1</v>
      </c>
      <c r="AM423" s="0" t="n">
        <f aca="false">(_Rfb1+Rcea2_u)*Cc3ea_u*A423*2*Pi</f>
        <v>28967.5114399052</v>
      </c>
      <c r="AN423" s="0" t="n">
        <f aca="false">AJ423*AL423/(AL423^2+AM423^2)+AK423*AM423/(AL423^2+AM423^2)</f>
        <v>53.4567597185408</v>
      </c>
      <c r="AO423" s="0" t="n">
        <f aca="false">AK423*AL423/(AL423^2+AM423^2)-AJ423*AM423/(AL423^2+AM423^2)</f>
        <v>-0.688583252367458</v>
      </c>
      <c r="AQ423" s="0" t="n">
        <f aca="false">Eadcg/(1+(Eadcg*A423/GBP)^2)</f>
        <v>0.0104257335699769</v>
      </c>
      <c r="AR423" s="0" t="n">
        <f aca="false">-(A423*Eadcg*Eadcg/GBP)/(1+(Eadcg*A423/GBP)^2)</f>
        <v>-5.7416078629898</v>
      </c>
      <c r="AT423" s="0" t="n">
        <f aca="false">-AR423*AH423+AG423*AQ423</f>
        <v>-5253.87957251412</v>
      </c>
      <c r="AU423" s="0" t="n">
        <f aca="false">AQ423*AH423+AG423*AR423</f>
        <v>-1634.47634676968</v>
      </c>
      <c r="AV423" s="0" t="n">
        <f aca="false">ATAN2(AT423,AU423)</f>
        <v>-2.83998470770955</v>
      </c>
      <c r="AW423" s="0" t="n">
        <f aca="false">AG423-AH423*AO423/_Rfb2+AG423*AN423/_Rfb2+AN423-AO423*AR423+AQ423*AN423</f>
        <v>339.594491549616</v>
      </c>
      <c r="AX423" s="0" t="n">
        <f aca="false">AH423+AH423*AN423/_Rfb2+AG423*AO423/_Rfb2+AO423+AO423*AQ423+AN423*AR423</f>
        <v>-1245.30328750865</v>
      </c>
      <c r="AY423" s="0" t="n">
        <f aca="false">ATAN2(AW423,AX423)</f>
        <v>-1.304569449382</v>
      </c>
      <c r="BA423" s="0" t="n">
        <f aca="false">SQRT(AT423^2+AU423^2)/SQRT(AW423^2+AX423^2)</f>
        <v>4.26274383754143</v>
      </c>
      <c r="BB423" s="0" t="n">
        <f aca="false">20*LOG(BA423)</f>
        <v>12.5937847046206</v>
      </c>
      <c r="BC423" s="0" t="n">
        <f aca="false">AV423-AY423</f>
        <v>-1.53541525832755</v>
      </c>
      <c r="BD423" s="0" t="n">
        <f aca="false">BC423*180/Pi-180</f>
        <v>-267.972814202681</v>
      </c>
      <c r="BF423" s="0" t="n">
        <f aca="false">20*LOG(BA423*J423*F423*C423)</f>
        <v>-23.6732361909698</v>
      </c>
      <c r="BG423" s="0" t="n">
        <f aca="false">(180/Pi)*(D423+H423+BC423)</f>
        <v>-266.109916412939</v>
      </c>
      <c r="BH423" s="0" t="n">
        <f aca="false">IF(BG423&gt;180,BG423-180,BG423+180)</f>
        <v>-86.1099164129392</v>
      </c>
      <c r="BI423" s="0" t="n">
        <f aca="false">IF(BH423&gt;180,BH423-360,BH423)</f>
        <v>-86.1099164129392</v>
      </c>
      <c r="BJ423" s="0" t="n">
        <f aca="false">SUM((BF424&lt;0)*(BF423&gt;0))*A423</f>
        <v>0</v>
      </c>
      <c r="BK423" s="0" t="n">
        <f aca="false">IF(BJ423&gt;0,BI423,0)</f>
        <v>0</v>
      </c>
      <c r="BM423" s="0" t="n">
        <f aca="false">20*LOG(J423*F423*C423)</f>
        <v>-36.2670208955904</v>
      </c>
      <c r="BN423" s="0" t="n">
        <f aca="false">(H423+D423)*180/Pi</f>
        <v>-178.137102210258</v>
      </c>
      <c r="BQ423" s="347" t="n">
        <f aca="false">20*LOG(BA423*7)</f>
        <v>29.4957455049057</v>
      </c>
    </row>
    <row r="424" customFormat="false" ht="12.75" hidden="false" customHeight="false" outlineLevel="0" collapsed="false">
      <c r="A424" s="0" t="n">
        <f aca="false">A423+5000</f>
        <v>1050000</v>
      </c>
      <c r="B424" s="0" t="n">
        <f aca="false">A424/1000</f>
        <v>1050</v>
      </c>
      <c r="C424" s="0" t="n">
        <f aca="false">SQRT((A424/Fesr)^2+1)</f>
        <v>1.00002176224086</v>
      </c>
      <c r="D424" s="0" t="n">
        <f aca="false">ATAN(A424/Fesr)</f>
        <v>0.00659724885112377</v>
      </c>
      <c r="F424" s="0" t="n">
        <f aca="false">(Ro/(Ro+Rdcr))/SQRT((A424/(Q*Fo))^2+(1-(A424^2/Fo^2))^2)</f>
        <v>0.00169139622961646</v>
      </c>
      <c r="G424" s="0" t="n">
        <f aca="false">-ATAN(A424*Fo/(Q*(Fo^2-A424^2)))</f>
        <v>0.0258239373815579</v>
      </c>
      <c r="H424" s="0" t="n">
        <f aca="false">IF(G424&gt;0,G424-Pi,G424)</f>
        <v>-3.11576871261844</v>
      </c>
      <c r="J424" s="0" t="n">
        <f aca="false">Vin/Vramp</f>
        <v>9</v>
      </c>
      <c r="M424" s="0" t="n">
        <f aca="false">1/(2*Pi*_Rfb1*(Cc1ea_u+Cc2ea_u)*A424)</f>
        <v>0.00561393097967395</v>
      </c>
      <c r="N424" s="0" t="n">
        <f aca="false">-Pi/2</f>
        <v>-1.570796325</v>
      </c>
      <c r="O424" s="0" t="n">
        <f aca="false">SQRT(1+(A424/Fz1_u)^2)</f>
        <v>25.6699610835622</v>
      </c>
      <c r="P424" s="0" t="n">
        <f aca="false">ATAN2(Fz1_u,A424)</f>
        <v>1.53183042815354</v>
      </c>
      <c r="Q424" s="0" t="n">
        <f aca="false">SQRT(1+(A424/Fz2_u)^2)</f>
        <v>29106.111990289</v>
      </c>
      <c r="R424" s="0" t="n">
        <f aca="false">ATAN2(Fz2_u,A424)</f>
        <v>1.57076196974987</v>
      </c>
      <c r="S424" s="0" t="n">
        <f aca="false">1/SQRT(1+(A424/Fp1_u)^2)</f>
        <v>0.0128530881617251</v>
      </c>
      <c r="T424" s="0" t="n">
        <f aca="false">-ATAN2(Fp1_u,A424)</f>
        <v>-1.55794288471448</v>
      </c>
      <c r="U424" s="0" t="n">
        <f aca="false">1/SQRT(1+(A424/Fp2_u)^2)</f>
        <v>0.331082246276657</v>
      </c>
      <c r="V424" s="0" t="n">
        <f aca="false">-ATAN2(Fp2_u,A424)</f>
        <v>-1.23334605106751</v>
      </c>
      <c r="X424" s="0" t="n">
        <f aca="false">20*LOG(C424*J424*O424*Q424*F424*M424*S424*U424)</f>
        <v>-11.3176565311808</v>
      </c>
      <c r="Y424" s="0" t="n">
        <f aca="false">(180/Pi)*(D424+H424+N424+P424+R424+T424+V424)</f>
        <v>-250.306028312188</v>
      </c>
      <c r="Z424" s="0" t="n">
        <f aca="false">Y424+180</f>
        <v>-70.3060283121883</v>
      </c>
      <c r="AC424" s="0" t="n">
        <v>1</v>
      </c>
      <c r="AD424" s="0" t="n">
        <f aca="false">Rcea1_u*Cc1ea_u*A424*2*Pi</f>
        <v>25.65047566872</v>
      </c>
      <c r="AE424" s="0" t="n">
        <f aca="false">-Rcea1_u*Cc1ea_u*Cc2ea_u*(A424*2*Pi)^2</f>
        <v>-0.0253837539364042</v>
      </c>
      <c r="AF424" s="0" t="n">
        <f aca="false">(Cc2ea_u+Cc1ea_u)*A424*2*Pi</f>
        <v>0.00890641516275</v>
      </c>
      <c r="AG424" s="0" t="n">
        <f aca="false">AC424*AE424/(AE424^2+AF424^2)+AD424*AF424/(AE424^2+AF424^2)</f>
        <v>280.615561726969</v>
      </c>
      <c r="AH424" s="0" t="n">
        <f aca="false">AD424*AE424/(AE424^2+AF424^2)-AC424*AF424/(AE424^2+AF424^2)</f>
        <v>-912.047801631458</v>
      </c>
      <c r="AJ424" s="0" t="n">
        <f aca="false">_Rfb1</f>
        <v>20000</v>
      </c>
      <c r="AK424" s="0" t="n">
        <f aca="false">_Rfb1*Rcea2_u*Cc3ea_u*A424*2*Pi</f>
        <v>1555917.7422096</v>
      </c>
      <c r="AL424" s="0" t="n">
        <v>1</v>
      </c>
      <c r="AM424" s="0" t="n">
        <f aca="false">(_Rfb1+Rcea2_u)*Cc3ea_u*A424*2*Pi</f>
        <v>29106.1119731105</v>
      </c>
      <c r="AN424" s="0" t="n">
        <f aca="false">AJ424*AL424/(AL424^2+AM424^2)+AK424*AM424/(AL424^2+AM424^2)</f>
        <v>53.4567594926904</v>
      </c>
      <c r="AO424" s="0" t="n">
        <f aca="false">AK424*AL424/(AL424^2+AM424^2)-AJ424*AM424/(AL424^2+AM424^2)</f>
        <v>-0.685304284506801</v>
      </c>
      <c r="AQ424" s="0" t="n">
        <f aca="false">Eadcg/(1+(Eadcg*A424/GBP)^2)</f>
        <v>0.0103266776040073</v>
      </c>
      <c r="AR424" s="0" t="n">
        <f aca="false">-(A424*Eadcg*Eadcg/GBP)/(1+(Eadcg*A424/GBP)^2)</f>
        <v>-5.71426705217746</v>
      </c>
      <c r="AT424" s="0" t="n">
        <f aca="false">-AR424*AH424+AG424*AQ424</f>
        <v>-5208.7868764369</v>
      </c>
      <c r="AU424" s="0" t="n">
        <f aca="false">AQ424*AH424+AG424*AR424</f>
        <v>-1612.93068231158</v>
      </c>
      <c r="AV424" s="0" t="n">
        <f aca="false">ATAN2(AT424,AU424)</f>
        <v>-2.8413011039884</v>
      </c>
      <c r="AW424" s="0" t="n">
        <f aca="false">AG424-AH424*AO424/_Rfb2+AG424*AN424/_Rfb2+AN424-AO424*AR424+AQ424*AN424</f>
        <v>337.177435994177</v>
      </c>
      <c r="AX424" s="0" t="n">
        <f aca="false">AH424+AH424*AN424/_Rfb2+AG424*AO424/_Rfb2+AO424+AO424*AQ424+AN424*AR424</f>
        <v>-1240.23272447861</v>
      </c>
      <c r="AY424" s="0" t="n">
        <f aca="false">ATAN2(AW424,AX424)</f>
        <v>-1.30534585407476</v>
      </c>
      <c r="BA424" s="0" t="n">
        <f aca="false">SQRT(AT424^2+AU424^2)/SQRT(AW424^2+AX424^2)</f>
        <v>4.24259938532351</v>
      </c>
      <c r="BB424" s="0" t="n">
        <f aca="false">20*LOG(BA424)</f>
        <v>12.5526404941232</v>
      </c>
      <c r="BC424" s="0" t="n">
        <f aca="false">AV424-AY424</f>
        <v>-1.53595524991364</v>
      </c>
      <c r="BD424" s="0" t="n">
        <f aca="false">BC424*180/Pi-180</f>
        <v>-268.003753441572</v>
      </c>
      <c r="BF424" s="0" t="n">
        <f aca="false">20*LOG(BA424*J424*F424*C424)</f>
        <v>-23.7974131317883</v>
      </c>
      <c r="BG424" s="0" t="n">
        <f aca="false">(180/Pi)*(D424+H424+BC424)</f>
        <v>-266.146156301509</v>
      </c>
      <c r="BH424" s="0" t="n">
        <f aca="false">IF(BG424&gt;180,BG424-180,BG424+180)</f>
        <v>-86.1461563015092</v>
      </c>
      <c r="BI424" s="0" t="n">
        <f aca="false">IF(BH424&gt;180,BH424-360,BH424)</f>
        <v>-86.1461563015092</v>
      </c>
      <c r="BJ424" s="0" t="n">
        <f aca="false">SUM((BF425&lt;0)*(BF424&gt;0))*A424</f>
        <v>0</v>
      </c>
      <c r="BK424" s="0" t="n">
        <f aca="false">IF(BJ424&gt;0,BI424,0)</f>
        <v>0</v>
      </c>
      <c r="BM424" s="0" t="n">
        <f aca="false">20*LOG(J424*F424*C424)</f>
        <v>-36.3500536259115</v>
      </c>
      <c r="BN424" s="0" t="n">
        <f aca="false">(H424+D424)*180/Pi</f>
        <v>-178.142402859937</v>
      </c>
      <c r="BQ424" s="347" t="n">
        <f aca="false">20*LOG(BA424*7)</f>
        <v>29.4546012944083</v>
      </c>
    </row>
    <row r="425" customFormat="false" ht="12.75" hidden="false" customHeight="false" outlineLevel="0" collapsed="false">
      <c r="A425" s="0" t="n">
        <f aca="false">A424+5000</f>
        <v>1055000</v>
      </c>
      <c r="B425" s="0" t="n">
        <f aca="false">A425/1000</f>
        <v>1055</v>
      </c>
      <c r="C425" s="0" t="n">
        <f aca="false">SQRT((A425/Fesr)^2+1)</f>
        <v>1.00002196999149</v>
      </c>
      <c r="D425" s="0" t="n">
        <f aca="false">ATAN(A425/Fesr)</f>
        <v>0.0066286634037854</v>
      </c>
      <c r="F425" s="0" t="n">
        <f aca="false">(Ro/(Ro+Rdcr))/SQRT((A425/(Q*Fo))^2+(1-(A425^2/Fo^2))^2)</f>
        <v>0.00167538031733151</v>
      </c>
      <c r="G425" s="0" t="n">
        <f aca="false">-ATAN(A425*Fo/(Q*(Fo^2-A425^2)))</f>
        <v>0.0257011888937611</v>
      </c>
      <c r="H425" s="0" t="n">
        <f aca="false">IF(G425&gt;0,G425-Pi,G425)</f>
        <v>-3.11589146110624</v>
      </c>
      <c r="J425" s="0" t="n">
        <f aca="false">Vin/Vramp</f>
        <v>9</v>
      </c>
      <c r="M425" s="0" t="n">
        <f aca="false">1/(2*Pi*_Rfb1*(Cc1ea_u+Cc2ea_u)*A425)</f>
        <v>0.00558732467171341</v>
      </c>
      <c r="N425" s="0" t="n">
        <f aca="false">-Pi/2</f>
        <v>-1.570796325</v>
      </c>
      <c r="O425" s="0" t="n">
        <f aca="false">SQRT(1+(A425/Fz1_u)^2)</f>
        <v>25.7920139274585</v>
      </c>
      <c r="P425" s="0" t="n">
        <f aca="false">ATAN2(Fz1_u,A425)</f>
        <v>1.5320149151099</v>
      </c>
      <c r="Q425" s="0" t="n">
        <f aca="false">SQRT(1+(A425/Fz2_u)^2)</f>
        <v>29244.7125234129</v>
      </c>
      <c r="R425" s="0" t="n">
        <f aca="false">ATAN2(Fz2_u,A425)</f>
        <v>1.57076213257947</v>
      </c>
      <c r="S425" s="0" t="n">
        <f aca="false">1/SQRT(1+(A425/Fp1_u)^2)</f>
        <v>0.012792183043829</v>
      </c>
      <c r="T425" s="0" t="n">
        <f aca="false">-ATAN2(Fp1_u,A425)</f>
        <v>-1.55800379484001</v>
      </c>
      <c r="U425" s="0" t="n">
        <f aca="false">1/SQRT(1+(A425/Fp2_u)^2)</f>
        <v>0.329684046899483</v>
      </c>
      <c r="V425" s="0" t="n">
        <f aca="false">-ATAN2(Fp2_u,A425)</f>
        <v>-1.23482743491001</v>
      </c>
      <c r="X425" s="0" t="n">
        <f aca="false">20*LOG(C425*J425*O425*Q425*F425*M425*S425*U425)</f>
        <v>-11.4371084601542</v>
      </c>
      <c r="Y425" s="0" t="n">
        <f aca="false">(180/Pi)*(D425+H425+N425+P425+R425+T425+V425)</f>
        <v>-250.389048643006</v>
      </c>
      <c r="Z425" s="0" t="n">
        <f aca="false">Y425+180</f>
        <v>-70.3890486430059</v>
      </c>
      <c r="AC425" s="0" t="n">
        <v>1</v>
      </c>
      <c r="AD425" s="0" t="n">
        <f aca="false">Rcea1_u*Cc1ea_u*A425*2*Pi</f>
        <v>25.772620790952</v>
      </c>
      <c r="AE425" s="0" t="n">
        <f aca="false">-Rcea1_u*Cc1ea_u*Cc2ea_u*(A425*2*Pi)^2</f>
        <v>-0.0256260795692211</v>
      </c>
      <c r="AF425" s="0" t="n">
        <f aca="false">(Cc2ea_u+Cc1ea_u)*A425*2*Pi</f>
        <v>0.008948826663525</v>
      </c>
      <c r="AG425" s="0" t="n">
        <f aca="false">AC425*AE425/(AE425^2+AF425^2)+AD425*AF425/(AE425^2+AF425^2)</f>
        <v>278.250421196853</v>
      </c>
      <c r="AH425" s="0" t="n">
        <f aca="false">AD425*AE425/(AE425^2+AF425^2)-AC425*AF425/(AE425^2+AF425^2)</f>
        <v>-908.551225704174</v>
      </c>
      <c r="AJ425" s="0" t="n">
        <f aca="false">_Rfb1</f>
        <v>20000</v>
      </c>
      <c r="AK425" s="0" t="n">
        <f aca="false">_Rfb1*Rcea2_u*Cc3ea_u*A425*2*Pi</f>
        <v>1563326.87431536</v>
      </c>
      <c r="AL425" s="0" t="n">
        <v>1</v>
      </c>
      <c r="AM425" s="0" t="n">
        <f aca="false">(_Rfb1+Rcea2_u)*Cc3ea_u*A425*2*Pi</f>
        <v>29244.7125063158</v>
      </c>
      <c r="AN425" s="0" t="n">
        <f aca="false">AJ425*AL425/(AL425^2+AM425^2)+AK425*AM425/(AL425^2+AM425^2)</f>
        <v>53.4567592700437</v>
      </c>
      <c r="AO425" s="0" t="n">
        <f aca="false">AK425*AL425/(AL425^2+AM425^2)-AJ425*AM425/(AL425^2+AM425^2)</f>
        <v>-0.682056396910117</v>
      </c>
      <c r="AQ425" s="0" t="n">
        <f aca="false">Eadcg/(1+(Eadcg*A425/GBP)^2)</f>
        <v>0.0102290266705808</v>
      </c>
      <c r="AR425" s="0" t="n">
        <f aca="false">-(A425*Eadcg*Eadcg/GBP)/(1+(Eadcg*A425/GBP)^2)</f>
        <v>-5.68718539344286</v>
      </c>
      <c r="AT425" s="0" t="n">
        <f aca="false">-AR425*AH425+AG425*AQ425</f>
        <v>-5164.25302903987</v>
      </c>
      <c r="AU425" s="0" t="n">
        <f aca="false">AQ425*AH425+AG425*AR425</f>
        <v>-1591.75532586938</v>
      </c>
      <c r="AV425" s="0" t="n">
        <f aca="false">ATAN2(AT425,AU425)</f>
        <v>-2.84260656565468</v>
      </c>
      <c r="AW425" s="0" t="n">
        <f aca="false">AG425-AH425*AO425/_Rfb2+AG425*AN425/_Rfb2+AN425-AO425*AR425+AQ425*AN425</f>
        <v>334.789617078464</v>
      </c>
      <c r="AX425" s="0" t="n">
        <f aca="false">AH425+AH425*AN425/_Rfb2+AG425*AO425/_Rfb2+AO425+AO425*AQ425+AN425*AR425</f>
        <v>-1235.19985336205</v>
      </c>
      <c r="AY425" s="0" t="n">
        <f aca="false">ATAN2(AW425,AX425)</f>
        <v>-1.30611461981586</v>
      </c>
      <c r="BA425" s="0" t="n">
        <f aca="false">SQRT(AT425^2+AU425^2)/SQRT(AW425^2+AX425^2)</f>
        <v>4.22264313166145</v>
      </c>
      <c r="BB425" s="0" t="n">
        <f aca="false">20*LOG(BA425)</f>
        <v>12.5116875887199</v>
      </c>
      <c r="BC425" s="0" t="n">
        <f aca="false">AV425-AY425</f>
        <v>-1.53649194583882</v>
      </c>
      <c r="BD425" s="0" t="n">
        <f aca="false">BC425*180/Pi-180</f>
        <v>-268.034503853002</v>
      </c>
      <c r="BF425" s="0" t="n">
        <f aca="false">20*LOG(BA425*J425*F425*C425)</f>
        <v>-23.9210032163309</v>
      </c>
      <c r="BG425" s="0" t="n">
        <f aca="false">(180/Pi)*(D425+H425+BC425)</f>
        <v>-266.182139761954</v>
      </c>
      <c r="BH425" s="0" t="n">
        <f aca="false">IF(BG425&gt;180,BG425-180,BG425+180)</f>
        <v>-86.1821397619543</v>
      </c>
      <c r="BI425" s="0" t="n">
        <f aca="false">IF(BH425&gt;180,BH425-360,BH425)</f>
        <v>-86.1821397619543</v>
      </c>
      <c r="BJ425" s="0" t="n">
        <f aca="false">SUM((BF426&lt;0)*(BF425&gt;0))*A425</f>
        <v>0</v>
      </c>
      <c r="BK425" s="0" t="n">
        <f aca="false">IF(BJ425&gt;0,BI425,0)</f>
        <v>0</v>
      </c>
      <c r="BM425" s="0" t="n">
        <f aca="false">20*LOG(J425*F425*C425)</f>
        <v>-36.4326908050508</v>
      </c>
      <c r="BN425" s="0" t="n">
        <f aca="false">(H425+D425)*180/Pi</f>
        <v>-178.147635908953</v>
      </c>
      <c r="BQ425" s="347" t="n">
        <f aca="false">20*LOG(BA425*7)</f>
        <v>29.413648389005</v>
      </c>
    </row>
    <row r="426" customFormat="false" ht="12.75" hidden="false" customHeight="false" outlineLevel="0" collapsed="false">
      <c r="A426" s="0" t="n">
        <f aca="false">A425+5000</f>
        <v>1060000</v>
      </c>
      <c r="B426" s="0" t="n">
        <f aca="false">A426/1000</f>
        <v>1060</v>
      </c>
      <c r="C426" s="0" t="n">
        <f aca="false">SQRT((A426/Fesr)^2+1)</f>
        <v>1.00002217872901</v>
      </c>
      <c r="D426" s="0" t="n">
        <f aca="false">ATAN(A426/Fesr)</f>
        <v>0.00666007794336353</v>
      </c>
      <c r="F426" s="0" t="n">
        <f aca="false">(Ro/(Ro+Rdcr))/SQRT((A426/(Q*Fo))^2+(1-(A426^2/Fo^2))^2)</f>
        <v>0.00165959091655927</v>
      </c>
      <c r="G426" s="0" t="n">
        <f aca="false">-ATAN(A426*Fo/(Q*(Fo^2-A426^2)))</f>
        <v>0.0255796034794546</v>
      </c>
      <c r="H426" s="0" t="n">
        <f aca="false">IF(G426&gt;0,G426-Pi,G426)</f>
        <v>-3.11601304652055</v>
      </c>
      <c r="J426" s="0" t="n">
        <f aca="false">Vin/Vramp</f>
        <v>9</v>
      </c>
      <c r="M426" s="0" t="n">
        <f aca="false">1/(2*Pi*_Rfb1*(Cc1ea_u+Cc2ea_u)*A426)</f>
        <v>0.00556096936665815</v>
      </c>
      <c r="N426" s="0" t="n">
        <f aca="false">-Pi/2</f>
        <v>-1.570796325</v>
      </c>
      <c r="O426" s="0" t="n">
        <f aca="false">SQRT(1+(A426/Fz1_u)^2)</f>
        <v>25.9140676409281</v>
      </c>
      <c r="P426" s="0" t="n">
        <f aca="false">ATAN2(Fz1_u,A426)</f>
        <v>1.53219766422731</v>
      </c>
      <c r="Q426" s="0" t="n">
        <f aca="false">SQRT(1+(A426/Fz2_u)^2)</f>
        <v>29383.3130565375</v>
      </c>
      <c r="R426" s="0" t="n">
        <f aca="false">ATAN2(Fz2_u,A426)</f>
        <v>1.57076229387294</v>
      </c>
      <c r="S426" s="0" t="n">
        <f aca="false">1/SQRT(1+(A426/Fp1_u)^2)</f>
        <v>0.0127318523621443</v>
      </c>
      <c r="T426" s="0" t="n">
        <f aca="false">-ATAN2(Fp1_u,A426)</f>
        <v>-1.55806413043531</v>
      </c>
      <c r="U426" s="0" t="n">
        <f aca="false">1/SQRT(1+(A426/Fp2_u)^2)</f>
        <v>0.328296895998534</v>
      </c>
      <c r="V426" s="0" t="n">
        <f aca="false">-ATAN2(Fp2_u,A426)</f>
        <v>-1.23629635606107</v>
      </c>
      <c r="X426" s="0" t="n">
        <f aca="false">20*LOG(C426*J426*O426*Q426*F426*M426*S426*U426)</f>
        <v>-11.5560317197849</v>
      </c>
      <c r="Y426" s="0" t="n">
        <f aca="false">(180/Pi)*(D426+H426+N426+P426+R426+T426+V426)</f>
        <v>-250.471355016443</v>
      </c>
      <c r="Z426" s="0" t="n">
        <f aca="false">Y426+180</f>
        <v>-70.4713550164425</v>
      </c>
      <c r="AC426" s="0" t="n">
        <v>1</v>
      </c>
      <c r="AD426" s="0" t="n">
        <f aca="false">Rcea1_u*Cc1ea_u*A426*2*Pi</f>
        <v>25.894765913184</v>
      </c>
      <c r="AE426" s="0" t="n">
        <f aca="false">-Rcea1_u*Cc1ea_u*Cc2ea_u*(A426*2*Pi)^2</f>
        <v>-0.0258695563926927</v>
      </c>
      <c r="AF426" s="0" t="n">
        <f aca="false">(Cc2ea_u+Cc1ea_u)*A426*2*Pi</f>
        <v>0.0089912381643</v>
      </c>
      <c r="AG426" s="0" t="n">
        <f aca="false">AC426*AE426/(AE426^2+AF426^2)+AD426*AF426/(AE426^2+AF426^2)</f>
        <v>275.913860921016</v>
      </c>
      <c r="AH426" s="0" t="n">
        <f aca="false">AD426*AE426/(AE426^2+AF426^2)-AC426*AF426/(AE426^2+AF426^2)</f>
        <v>-905.077702972333</v>
      </c>
      <c r="AJ426" s="0" t="n">
        <f aca="false">_Rfb1</f>
        <v>20000</v>
      </c>
      <c r="AK426" s="0" t="n">
        <f aca="false">_Rfb1*Rcea2_u*Cc3ea_u*A426*2*Pi</f>
        <v>1570736.00642112</v>
      </c>
      <c r="AL426" s="0" t="n">
        <v>1</v>
      </c>
      <c r="AM426" s="0" t="n">
        <f aca="false">(_Rfb1+Rcea2_u)*Cc3ea_u*A426*2*Pi</f>
        <v>29383.3130395211</v>
      </c>
      <c r="AN426" s="0" t="n">
        <f aca="false">AJ426*AL426/(AL426^2+AM426^2)+AK426*AM426/(AL426^2+AM426^2)</f>
        <v>53.4567590505401</v>
      </c>
      <c r="AO426" s="0" t="n">
        <f aca="false">AK426*AL426/(AL426^2+AM426^2)-AJ426*AM426/(AL426^2+AM426^2)</f>
        <v>-0.678839149762351</v>
      </c>
      <c r="AQ426" s="0" t="n">
        <f aca="false">Eadcg/(1+(Eadcg*A426/GBP)^2)</f>
        <v>0.0101327543224141</v>
      </c>
      <c r="AR426" s="0" t="n">
        <f aca="false">-(A426*Eadcg*Eadcg/GBP)/(1+(Eadcg*A426/GBP)^2)</f>
        <v>-5.66035921958698</v>
      </c>
      <c r="AT426" s="0" t="n">
        <f aca="false">-AR426*AH426+AG426*AQ426</f>
        <v>-5120.26915309519</v>
      </c>
      <c r="AU426" s="0" t="n">
        <f aca="false">AQ426*AH426+AG426*AR426</f>
        <v>-1570.94249648303</v>
      </c>
      <c r="AV426" s="0" t="n">
        <f aca="false">ATAN2(AT426,AU426)</f>
        <v>-2.84390122166891</v>
      </c>
      <c r="AW426" s="0" t="n">
        <f aca="false">AG426-AH426*AO426/_Rfb2+AG426*AN426/_Rfb2+AN426-AO426*AR426+AQ426*AN426</f>
        <v>332.430587109536</v>
      </c>
      <c r="AX426" s="0" t="n">
        <f aca="false">AH426+AH426*AN426/_Rfb2+AG426*AO426/_Rfb2+AO426+AO426*AQ426+AN426*AR426</f>
        <v>-1230.20429939264</v>
      </c>
      <c r="AY426" s="0" t="n">
        <f aca="false">ATAN2(AW426,AX426)</f>
        <v>-1.30687582983293</v>
      </c>
      <c r="BA426" s="0" t="n">
        <f aca="false">SQRT(AT426^2+AU426^2)/SQRT(AW426^2+AX426^2)</f>
        <v>4.20287246133717</v>
      </c>
      <c r="BB426" s="0" t="n">
        <f aca="false">20*LOG(BA426)</f>
        <v>12.4709242256243</v>
      </c>
      <c r="BC426" s="0" t="n">
        <f aca="false">AV426-AY426</f>
        <v>-1.53702539183598</v>
      </c>
      <c r="BD426" s="0" t="n">
        <f aca="false">BC426*180/Pi-180</f>
        <v>-268.065068057272</v>
      </c>
      <c r="BF426" s="0" t="n">
        <f aca="false">20*LOG(BA426*J426*F426*C426)</f>
        <v>-24.0440119629531</v>
      </c>
      <c r="BG426" s="0" t="n">
        <f aca="false">(180/Pi)*(D426+H426+BC426)</f>
        <v>-266.217870376788</v>
      </c>
      <c r="BH426" s="0" t="n">
        <f aca="false">IF(BG426&gt;180,BG426-180,BG426+180)</f>
        <v>-86.2178703767879</v>
      </c>
      <c r="BI426" s="0" t="n">
        <f aca="false">IF(BH426&gt;180,BH426-360,BH426)</f>
        <v>-86.2178703767879</v>
      </c>
      <c r="BJ426" s="0" t="n">
        <f aca="false">SUM((BF427&lt;0)*(BF426&gt;0))*A426</f>
        <v>0</v>
      </c>
      <c r="BK426" s="0" t="n">
        <f aca="false">IF(BJ426&gt;0,BI426,0)</f>
        <v>0</v>
      </c>
      <c r="BM426" s="0" t="n">
        <f aca="false">20*LOG(J426*F426*C426)</f>
        <v>-36.5149361885774</v>
      </c>
      <c r="BN426" s="0" t="n">
        <f aca="false">(H426+D426)*180/Pi</f>
        <v>-178.152802319515</v>
      </c>
      <c r="BQ426" s="347" t="n">
        <f aca="false">20*LOG(BA426*7)</f>
        <v>29.3728850259095</v>
      </c>
    </row>
    <row r="427" customFormat="false" ht="12.75" hidden="false" customHeight="false" outlineLevel="0" collapsed="false">
      <c r="A427" s="0" t="n">
        <f aca="false">A426+5000</f>
        <v>1065000</v>
      </c>
      <c r="B427" s="0" t="n">
        <f aca="false">A427/1000</f>
        <v>1065</v>
      </c>
      <c r="C427" s="0" t="n">
        <f aca="false">SQRT((A427/Fesr)^2+1)</f>
        <v>1.00002238845343</v>
      </c>
      <c r="D427" s="0" t="n">
        <f aca="false">ATAN(A427/Fesr)</f>
        <v>0.00669149246979617</v>
      </c>
      <c r="F427" s="0" t="n">
        <f aca="false">(Ro/(Ro+Rdcr))/SQRT((A427/(Q*Fo))^2+(1-(A427^2/Fo^2))^2)</f>
        <v>0.00164402377410662</v>
      </c>
      <c r="G427" s="0" t="n">
        <f aca="false">-ATAN(A427*Fo/(Q*(Fo^2-A427^2)))</f>
        <v>0.0254591646626084</v>
      </c>
      <c r="H427" s="0" t="n">
        <f aca="false">IF(G427&gt;0,G427-Pi,G427)</f>
        <v>-3.11613348533739</v>
      </c>
      <c r="J427" s="0" t="n">
        <f aca="false">Vin/Vramp</f>
        <v>9</v>
      </c>
      <c r="M427" s="0" t="n">
        <f aca="false">1/(2*Pi*_Rfb1*(Cc1ea_u+Cc2ea_u)*A427)</f>
        <v>0.005534861529256</v>
      </c>
      <c r="N427" s="0" t="n">
        <f aca="false">-Pi/2</f>
        <v>-1.570796325</v>
      </c>
      <c r="O427" s="0" t="n">
        <f aca="false">SQRT(1+(A427/Fz1_u)^2)</f>
        <v>26.0361222117417</v>
      </c>
      <c r="P427" s="0" t="n">
        <f aca="false">ATAN2(Fz1_u,A427)</f>
        <v>1.53237869993388</v>
      </c>
      <c r="Q427" s="0" t="n">
        <f aca="false">SQRT(1+(A427/Fz2_u)^2)</f>
        <v>29521.9135896629</v>
      </c>
      <c r="R427" s="0" t="n">
        <f aca="false">ATAN2(Fz2_u,A427)</f>
        <v>1.57076245365191</v>
      </c>
      <c r="S427" s="0" t="n">
        <f aca="false">1/SQRT(1+(A427/Fp1_u)^2)</f>
        <v>0.0126720880286372</v>
      </c>
      <c r="T427" s="0" t="n">
        <f aca="false">-ATAN2(Fp1_u,A427)</f>
        <v>-1.5581238995906</v>
      </c>
      <c r="U427" s="0" t="n">
        <f aca="false">1/SQRT(1+(A427/Fp2_u)^2)</f>
        <v>0.32692067254507</v>
      </c>
      <c r="V427" s="0" t="n">
        <f aca="false">-ATAN2(Fp2_u,A427)</f>
        <v>-1.23775296487261</v>
      </c>
      <c r="X427" s="0" t="n">
        <f aca="false">20*LOG(C427*J427*O427*Q427*F427*M427*S427*U427)</f>
        <v>-11.6744308550194</v>
      </c>
      <c r="Y427" s="0" t="n">
        <f aca="false">(180/Pi)*(D427+H427+N427+P427+R427+T427+V427)</f>
        <v>-250.552956053708</v>
      </c>
      <c r="Z427" s="0" t="n">
        <f aca="false">Y427+180</f>
        <v>-70.5529560537077</v>
      </c>
      <c r="AC427" s="0" t="n">
        <v>1</v>
      </c>
      <c r="AD427" s="0" t="n">
        <f aca="false">Rcea1_u*Cc1ea_u*A427*2*Pi</f>
        <v>26.016911035416</v>
      </c>
      <c r="AE427" s="0" t="n">
        <f aca="false">-Rcea1_u*Cc1ea_u*Cc2ea_u*(A427*2*Pi)^2</f>
        <v>-0.0261141844068191</v>
      </c>
      <c r="AF427" s="0" t="n">
        <f aca="false">(Cc2ea_u+Cc1ea_u)*A427*2*Pi</f>
        <v>0.009033649665075</v>
      </c>
      <c r="AG427" s="0" t="n">
        <f aca="false">AC427*AE427/(AE427^2+AF427^2)+AD427*AF427/(AE427^2+AF427^2)</f>
        <v>273.605442911542</v>
      </c>
      <c r="AH427" s="0" t="n">
        <f aca="false">AD427*AE427/(AE427^2+AF427^2)-AC427*AF427/(AE427^2+AF427^2)</f>
        <v>-901.627060255697</v>
      </c>
      <c r="AJ427" s="0" t="n">
        <f aca="false">_Rfb1</f>
        <v>20000</v>
      </c>
      <c r="AK427" s="0" t="n">
        <f aca="false">_Rfb1*Rcea2_u*Cc3ea_u*A427*2*Pi</f>
        <v>1578145.13852688</v>
      </c>
      <c r="AL427" s="0" t="n">
        <v>1</v>
      </c>
      <c r="AM427" s="0" t="n">
        <f aca="false">(_Rfb1+Rcea2_u)*Cc3ea_u*A427*2*Pi</f>
        <v>29521.9135727263</v>
      </c>
      <c r="AN427" s="0" t="n">
        <f aca="false">AJ427*AL427/(AL427^2+AM427^2)+AK427*AM427/(AL427^2+AM427^2)</f>
        <v>53.4567588341209</v>
      </c>
      <c r="AO427" s="0" t="n">
        <f aca="false">AK427*AL427/(AL427^2+AM427^2)-AJ427*AM427/(AL427^2+AM427^2)</f>
        <v>-0.675652111507886</v>
      </c>
      <c r="AQ427" s="0" t="n">
        <f aca="false">Eadcg/(1+(Eadcg*A427/GBP)^2)</f>
        <v>0.0100378347315877</v>
      </c>
      <c r="AR427" s="0" t="n">
        <f aca="false">-(A427*Eadcg*Eadcg/GBP)/(1+(Eadcg*A427/GBP)^2)</f>
        <v>-5.63378493227725</v>
      </c>
      <c r="AT427" s="0" t="n">
        <f aca="false">-AR427*AH427+AG427*AQ427</f>
        <v>-5076.82654038437</v>
      </c>
      <c r="AU427" s="0" t="n">
        <f aca="false">AQ427*AH427+AG427*AR427</f>
        <v>-1550.48460508446</v>
      </c>
      <c r="AV427" s="0" t="n">
        <f aca="false">ATAN2(AT427,AU427)</f>
        <v>-2.84518519909292</v>
      </c>
      <c r="AW427" s="0" t="n">
        <f aca="false">AG427-AH427*AO427/_Rfb2+AG427*AN427/_Rfb2+AN427-AO427*AR427+AQ427*AN427</f>
        <v>330.099906448519</v>
      </c>
      <c r="AX427" s="0" t="n">
        <f aca="false">AH427+AH427*AN427/_Rfb2+AG427*AO427/_Rfb2+AO427+AO427*AQ427+AN427*AR427</f>
        <v>-1225.24569198562</v>
      </c>
      <c r="AY427" s="0" t="n">
        <f aca="false">ATAN2(AW427,AX427)</f>
        <v>-1.30762956629436</v>
      </c>
      <c r="BA427" s="0" t="n">
        <f aca="false">SQRT(AT427^2+AU427^2)/SQRT(AW427^2+AX427^2)</f>
        <v>4.1832848071449</v>
      </c>
      <c r="BB427" s="0" t="n">
        <f aca="false">20*LOG(BA427)</f>
        <v>12.4303486660367</v>
      </c>
      <c r="BC427" s="0" t="n">
        <f aca="false">AV427-AY427</f>
        <v>-1.53755563279856</v>
      </c>
      <c r="BD427" s="0" t="n">
        <f aca="false">BC427*180/Pi-180</f>
        <v>-268.095448626588</v>
      </c>
      <c r="BF427" s="0" t="n">
        <f aca="false">20*LOG(BA427*J427*F427*C427)</f>
        <v>-24.1664448127193</v>
      </c>
      <c r="BG427" s="0" t="n">
        <f aca="false">(180/Pi)*(D427+H427+BC427)</f>
        <v>-266.253351662224</v>
      </c>
      <c r="BH427" s="0" t="n">
        <f aca="false">IF(BG427&gt;180,BG427-180,BG427+180)</f>
        <v>-86.2533516622238</v>
      </c>
      <c r="BI427" s="0" t="n">
        <f aca="false">IF(BH427&gt;180,BH427-360,BH427)</f>
        <v>-86.2533516622238</v>
      </c>
      <c r="BJ427" s="0" t="n">
        <f aca="false">SUM((BF428&lt;0)*(BF427&gt;0))*A427</f>
        <v>0</v>
      </c>
      <c r="BK427" s="0" t="n">
        <f aca="false">IF(BJ427&gt;0,BI427,0)</f>
        <v>0</v>
      </c>
      <c r="BM427" s="0" t="n">
        <f aca="false">20*LOG(J427*F427*C427)</f>
        <v>-36.596793478756</v>
      </c>
      <c r="BN427" s="0" t="n">
        <f aca="false">(H427+D427)*180/Pi</f>
        <v>-178.157903035636</v>
      </c>
      <c r="BQ427" s="347" t="n">
        <f aca="false">20*LOG(BA427*7)</f>
        <v>29.3323094663218</v>
      </c>
    </row>
    <row r="428" customFormat="false" ht="12.75" hidden="false" customHeight="false" outlineLevel="0" collapsed="false">
      <c r="A428" s="0" t="n">
        <f aca="false">A427+5000</f>
        <v>1070000</v>
      </c>
      <c r="B428" s="0" t="n">
        <f aca="false">A428/1000</f>
        <v>1070</v>
      </c>
      <c r="C428" s="0" t="n">
        <f aca="false">SQRT((A428/Fesr)^2+1)</f>
        <v>1.00002259916475</v>
      </c>
      <c r="D428" s="0" t="n">
        <f aca="false">ATAN(A428/Fesr)</f>
        <v>0.00672290698302132</v>
      </c>
      <c r="F428" s="0" t="n">
        <f aca="false">(Ro/(Ro+Rdcr))/SQRT((A428/(Q*Fo))^2+(1-(A428^2/Fo^2))^2)</f>
        <v>0.00162867473618441</v>
      </c>
      <c r="G428" s="0" t="n">
        <f aca="false">-ATAN(A428*Fo/(Q*(Fo^2-A428^2)))</f>
        <v>0.0253398562773583</v>
      </c>
      <c r="H428" s="0" t="n">
        <f aca="false">IF(G428&gt;0,G428-Pi,G428)</f>
        <v>-3.11625279372264</v>
      </c>
      <c r="J428" s="0" t="n">
        <f aca="false">Vin/Vramp</f>
        <v>9</v>
      </c>
      <c r="M428" s="0" t="n">
        <f aca="false">1/(2*Pi*_Rfb1*(Cc1ea_u+Cc2ea_u)*A428)</f>
        <v>0.00550899769033425</v>
      </c>
      <c r="N428" s="0" t="n">
        <f aca="false">-Pi/2</f>
        <v>-1.570796325</v>
      </c>
      <c r="O428" s="0" t="n">
        <f aca="false">SQRT(1+(A428/Fz1_u)^2)</f>
        <v>26.1581776278982</v>
      </c>
      <c r="P428" s="0" t="n">
        <f aca="false">ATAN2(Fz1_u,A428)</f>
        <v>1.53255804620226</v>
      </c>
      <c r="Q428" s="0" t="n">
        <f aca="false">SQRT(1+(A428/Fz2_u)^2)</f>
        <v>29660.5141227891</v>
      </c>
      <c r="R428" s="0" t="n">
        <f aca="false">ATAN2(Fz2_u,A428)</f>
        <v>1.57076261193763</v>
      </c>
      <c r="S428" s="0" t="n">
        <f aca="false">1/SQRT(1+(A428/Fp1_u)^2)</f>
        <v>0.0126128821063913</v>
      </c>
      <c r="T428" s="0" t="n">
        <f aca="false">-ATAN2(Fp1_u,A428)</f>
        <v>-1.55818311024494</v>
      </c>
      <c r="U428" s="0" t="n">
        <f aca="false">1/SQRT(1+(A428/Fp2_u)^2)</f>
        <v>0.325555257099992</v>
      </c>
      <c r="V428" s="0" t="n">
        <f aca="false">-ATAN2(Fp2_u,A428)</f>
        <v>-1.23919740939561</v>
      </c>
      <c r="X428" s="0" t="n">
        <f aca="false">20*LOG(C428*J428*O428*Q428*F428*M428*S428*U428)</f>
        <v>-11.7923103534268</v>
      </c>
      <c r="Y428" s="0" t="n">
        <f aca="false">(180/Pi)*(D428+H428+N428+P428+R428+T428+V428)</f>
        <v>-250.633860243864</v>
      </c>
      <c r="Z428" s="0" t="n">
        <f aca="false">Y428+180</f>
        <v>-70.6338602438642</v>
      </c>
      <c r="AC428" s="0" t="n">
        <v>1</v>
      </c>
      <c r="AD428" s="0" t="n">
        <f aca="false">Rcea1_u*Cc1ea_u*A428*2*Pi</f>
        <v>26.139056157648</v>
      </c>
      <c r="AE428" s="0" t="n">
        <f aca="false">-Rcea1_u*Cc1ea_u*Cc2ea_u*(A428*2*Pi)^2</f>
        <v>-0.0263599636116002</v>
      </c>
      <c r="AF428" s="0" t="n">
        <f aca="false">(Cc2ea_u+Cc1ea_u)*A428*2*Pi</f>
        <v>0.00907606116585</v>
      </c>
      <c r="AG428" s="0" t="n">
        <f aca="false">AC428*AE428/(AE428^2+AF428^2)+AD428*AF428/(AE428^2+AF428^2)</f>
        <v>271.324737089131</v>
      </c>
      <c r="AH428" s="0" t="n">
        <f aca="false">AD428*AE428/(AE428^2+AF428^2)-AC428*AF428/(AE428^2+AF428^2)</f>
        <v>-898.199124888004</v>
      </c>
      <c r="AJ428" s="0" t="n">
        <f aca="false">_Rfb1</f>
        <v>20000</v>
      </c>
      <c r="AK428" s="0" t="n">
        <f aca="false">_Rfb1*Rcea2_u*Cc3ea_u*A428*2*Pi</f>
        <v>1585554.27063264</v>
      </c>
      <c r="AL428" s="0" t="n">
        <v>1</v>
      </c>
      <c r="AM428" s="0" t="n">
        <f aca="false">(_Rfb1+Rcea2_u)*Cc3ea_u*A428*2*Pi</f>
        <v>29660.5141059316</v>
      </c>
      <c r="AN428" s="0" t="n">
        <f aca="false">AJ428*AL428/(AL428^2+AM428^2)+AK428*AM428/(AL428^2+AM428^2)</f>
        <v>53.4567586207285</v>
      </c>
      <c r="AO428" s="0" t="n">
        <f aca="false">AK428*AL428/(AL428^2+AM428^2)-AJ428*AM428/(AL428^2+AM428^2)</f>
        <v>-0.672494858657567</v>
      </c>
      <c r="AQ428" s="0" t="n">
        <f aca="false">Eadcg/(1+(Eadcg*A428/GBP)^2)</f>
        <v>0.00994424267222084</v>
      </c>
      <c r="AR428" s="0" t="n">
        <f aca="false">-(A428*Eadcg*Eadcg/GBP)/(1+(Eadcg*A428/GBP)^2)</f>
        <v>-5.60745900043861</v>
      </c>
      <c r="AT428" s="0" t="n">
        <f aca="false">-AR428*AH428+AG428*AQ428</f>
        <v>-5033.91664801073</v>
      </c>
      <c r="AU428" s="0" t="n">
        <f aca="false">AQ428*AH428+AG428*AR428</f>
        <v>-1530.37424909795</v>
      </c>
      <c r="AV428" s="0" t="n">
        <f aca="false">ATAN2(AT428,AU428)</f>
        <v>-2.84645862312181</v>
      </c>
      <c r="AW428" s="0" t="n">
        <f aca="false">AG428-AH428*AO428/_Rfb2+AG428*AN428/_Rfb2+AN428-AO428*AR428+AQ428*AN428</f>
        <v>327.797143350317</v>
      </c>
      <c r="AX428" s="0" t="n">
        <f aca="false">AH428+AH428*AN428/_Rfb2+AG428*AO428/_Rfb2+AO428+AO428*AQ428+AN428*AR428</f>
        <v>-1220.32366469725</v>
      </c>
      <c r="AY428" s="0" t="n">
        <f aca="false">ATAN2(AW428,AX428)</f>
        <v>-1.30837591032227</v>
      </c>
      <c r="BA428" s="0" t="n">
        <f aca="false">SQRT(AT428^2+AU428^2)/SQRT(AW428^2+AX428^2)</f>
        <v>4.16387764879945</v>
      </c>
      <c r="BB428" s="0" t="n">
        <f aca="false">20*LOG(BA428)</f>
        <v>12.3899591947146</v>
      </c>
      <c r="BC428" s="0" t="n">
        <f aca="false">AV428-AY428</f>
        <v>-1.53808271279954</v>
      </c>
      <c r="BD428" s="0" t="n">
        <f aca="false">BC428*180/Pi-180</f>
        <v>-268.125648086144</v>
      </c>
      <c r="BF428" s="0" t="n">
        <f aca="false">20*LOG(BA428*J428*F428*C428)</f>
        <v>-24.2883071308374</v>
      </c>
      <c r="BG428" s="0" t="n">
        <f aca="false">(180/Pi)*(D428+H428+BC428)</f>
        <v>-266.288587069698</v>
      </c>
      <c r="BH428" s="0" t="n">
        <f aca="false">IF(BG428&gt;180,BG428-180,BG428+180)</f>
        <v>-86.2885870696982</v>
      </c>
      <c r="BI428" s="0" t="n">
        <f aca="false">IF(BH428&gt;180,BH428-360,BH428)</f>
        <v>-86.2885870696982</v>
      </c>
      <c r="BJ428" s="0" t="n">
        <f aca="false">SUM((BF429&lt;0)*(BF428&gt;0))*A428</f>
        <v>0</v>
      </c>
      <c r="BK428" s="0" t="n">
        <f aca="false">IF(BJ428&gt;0,BI428,0)</f>
        <v>0</v>
      </c>
      <c r="BM428" s="0" t="n">
        <f aca="false">20*LOG(J428*F428*C428)</f>
        <v>-36.678266325552</v>
      </c>
      <c r="BN428" s="0" t="n">
        <f aca="false">(H428+D428)*180/Pi</f>
        <v>-178.162938983554</v>
      </c>
      <c r="BQ428" s="347" t="n">
        <f aca="false">20*LOG(BA428*7)</f>
        <v>29.2919199949997</v>
      </c>
    </row>
    <row r="429" customFormat="false" ht="12.75" hidden="false" customHeight="false" outlineLevel="0" collapsed="false">
      <c r="A429" s="0" t="n">
        <f aca="false">A428+5000</f>
        <v>1075000</v>
      </c>
      <c r="B429" s="0" t="n">
        <f aca="false">A429/1000</f>
        <v>1075</v>
      </c>
      <c r="C429" s="0" t="n">
        <f aca="false">SQRT((A429/Fesr)^2+1)</f>
        <v>1.00002281086295</v>
      </c>
      <c r="D429" s="0" t="n">
        <f aca="false">ATAN(A429/Fesr)</f>
        <v>0.00675432148297698</v>
      </c>
      <c r="F429" s="0" t="n">
        <f aca="false">(Ro/(Ro+Rdcr))/SQRT((A429/(Q*Fo))^2+(1-(A429^2/Fo^2))^2)</f>
        <v>0.00161353974563134</v>
      </c>
      <c r="G429" s="0" t="n">
        <f aca="false">-ATAN(A429*Fo/(Q*(Fo^2-A429^2)))</f>
        <v>0.0252216624607317</v>
      </c>
      <c r="H429" s="0" t="n">
        <f aca="false">IF(G429&gt;0,G429-Pi,G429)</f>
        <v>-3.11637098753927</v>
      </c>
      <c r="J429" s="0" t="n">
        <f aca="false">Vin/Vramp</f>
        <v>9</v>
      </c>
      <c r="M429" s="0" t="n">
        <f aca="false">1/(2*Pi*_Rfb1*(Cc1ea_u+Cc2ea_u)*A429)</f>
        <v>0.00548337444526292</v>
      </c>
      <c r="N429" s="0" t="n">
        <f aca="false">-Pi/2</f>
        <v>-1.570796325</v>
      </c>
      <c r="O429" s="0" t="n">
        <f aca="false">SQRT(1+(A429/Fz1_u)^2)</f>
        <v>26.2802338776193</v>
      </c>
      <c r="P429" s="0" t="n">
        <f aca="false">ATAN2(Fz1_u,A429)</f>
        <v>1.53273572656016</v>
      </c>
      <c r="Q429" s="0" t="n">
        <f aca="false">SQRT(1+(A429/Fz2_u)^2)</f>
        <v>29799.1146559159</v>
      </c>
      <c r="R429" s="0" t="n">
        <f aca="false">ATAN2(Fz2_u,A429)</f>
        <v>1.57076276875092</v>
      </c>
      <c r="S429" s="0" t="n">
        <f aca="false">1/SQRT(1+(A429/Fp1_u)^2)</f>
        <v>0.0125542268060951</v>
      </c>
      <c r="T429" s="0" t="n">
        <f aca="false">-ATAN2(Fp1_u,A429)</f>
        <v>-1.5582417701897</v>
      </c>
      <c r="U429" s="0" t="n">
        <f aca="false">1/SQRT(1+(A429/Fp2_u)^2)</f>
        <v>0.324200531791928</v>
      </c>
      <c r="V429" s="0" t="n">
        <f aca="false">-ATAN2(Fp2_u,A429)</f>
        <v>-1.24062983542165</v>
      </c>
      <c r="X429" s="0" t="n">
        <f aca="false">20*LOG(C429*J429*O429*Q429*F429*M429*S429*U429)</f>
        <v>-11.9096746461537</v>
      </c>
      <c r="Y429" s="0" t="n">
        <f aca="false">(180/Pi)*(D429+H429+N429+P429+R429+T429+V429)</f>
        <v>-250.714075946219</v>
      </c>
      <c r="Z429" s="0" t="n">
        <f aca="false">Y429+180</f>
        <v>-70.7140759462187</v>
      </c>
      <c r="AC429" s="0" t="n">
        <v>1</v>
      </c>
      <c r="AD429" s="0" t="n">
        <f aca="false">Rcea1_u*Cc1ea_u*A429*2*Pi</f>
        <v>26.26120127988</v>
      </c>
      <c r="AE429" s="0" t="n">
        <f aca="false">-Rcea1_u*Cc1ea_u*Cc2ea_u*(A429*2*Pi)^2</f>
        <v>-0.0266068940070359</v>
      </c>
      <c r="AF429" s="0" t="n">
        <f aca="false">(Cc2ea_u+Cc1ea_u)*A429*2*Pi</f>
        <v>0.009118472666625</v>
      </c>
      <c r="AG429" s="0" t="n">
        <f aca="false">AC429*AE429/(AE429^2+AF429^2)+AD429*AF429/(AE429^2+AF429^2)</f>
        <v>269.071321124273</v>
      </c>
      <c r="AH429" s="0" t="n">
        <f aca="false">AD429*AE429/(AE429^2+AF429^2)-AC429*AF429/(AE429^2+AF429^2)</f>
        <v>-894.793724759453</v>
      </c>
      <c r="AJ429" s="0" t="n">
        <f aca="false">_Rfb1</f>
        <v>20000</v>
      </c>
      <c r="AK429" s="0" t="n">
        <f aca="false">_Rfb1*Rcea2_u*Cc3ea_u*A429*2*Pi</f>
        <v>1592963.4027384</v>
      </c>
      <c r="AL429" s="0" t="n">
        <v>1</v>
      </c>
      <c r="AM429" s="0" t="n">
        <f aca="false">(_Rfb1+Rcea2_u)*Cc3ea_u*A429*2*Pi</f>
        <v>29799.1146391369</v>
      </c>
      <c r="AN429" s="0" t="n">
        <f aca="false">AJ429*AL429/(AL429^2+AM429^2)+AK429*AM429/(AL429^2+AM429^2)</f>
        <v>53.4567584103067</v>
      </c>
      <c r="AO429" s="0" t="n">
        <f aca="false">AK429*AL429/(AL429^2+AM429^2)-AJ429*AM429/(AL429^2+AM429^2)</f>
        <v>-0.669366975601105</v>
      </c>
      <c r="AQ429" s="0" t="n">
        <f aca="false">Eadcg/(1+(Eadcg*A429/GBP)^2)</f>
        <v>0.00985195350371011</v>
      </c>
      <c r="AR429" s="0" t="n">
        <f aca="false">-(A429*Eadcg*Eadcg/GBP)/(1+(Eadcg*A429/GBP)^2)</f>
        <v>-5.58137795868937</v>
      </c>
      <c r="AT429" s="0" t="n">
        <f aca="false">-AR429*AH429+AG429*AQ429</f>
        <v>-4991.53109480108</v>
      </c>
      <c r="AU429" s="0" t="n">
        <f aca="false">AQ429*AH429+AG429*AR429</f>
        <v>-1510.60420721019</v>
      </c>
      <c r="AV429" s="0" t="n">
        <f aca="false">ATAN2(AT429,AU429)</f>
        <v>-2.84772161711539</v>
      </c>
      <c r="AW429" s="0" t="n">
        <f aca="false">AG429-AH429*AO429/_Rfb2+AG429*AN429/_Rfb2+AN429-AO429*AR429+AQ429*AN429</f>
        <v>325.521873806621</v>
      </c>
      <c r="AX429" s="0" t="n">
        <f aca="false">AH429+AH429*AN429/_Rfb2+AG429*AO429/_Rfb2+AO429+AO429*AQ429+AN429*AR429</f>
        <v>-1215.43785518423</v>
      </c>
      <c r="AY429" s="0" t="n">
        <f aca="false">ATAN2(AW429,AX429)</f>
        <v>-1.30911494200531</v>
      </c>
      <c r="BA429" s="0" t="n">
        <f aca="false">SQRT(AT429^2+AU429^2)/SQRT(AW429^2+AX429^2)</f>
        <v>4.14464851187396</v>
      </c>
      <c r="BB429" s="0" t="n">
        <f aca="false">20*LOG(BA429)</f>
        <v>12.3497541195539</v>
      </c>
      <c r="BC429" s="0" t="n">
        <f aca="false">AV429-AY429</f>
        <v>-1.53860667511007</v>
      </c>
      <c r="BD429" s="0" t="n">
        <f aca="false">BC429*180/Pi-180</f>
        <v>-268.155668915196</v>
      </c>
      <c r="BF429" s="0" t="n">
        <f aca="false">20*LOG(BA429*J429*F429*C429)</f>
        <v>-24.4096042080598</v>
      </c>
      <c r="BG429" s="0" t="n">
        <f aca="false">(180/Pi)*(D429+H429+BC429)</f>
        <v>-266.32357998735</v>
      </c>
      <c r="BH429" s="0" t="n">
        <f aca="false">IF(BG429&gt;180,BG429-180,BG429+180)</f>
        <v>-86.3235799873499</v>
      </c>
      <c r="BI429" s="0" t="n">
        <f aca="false">IF(BH429&gt;180,BH429-360,BH429)</f>
        <v>-86.3235799873499</v>
      </c>
      <c r="BJ429" s="0" t="n">
        <f aca="false">SUM((BF430&lt;0)*(BF429&gt;0))*A429</f>
        <v>0</v>
      </c>
      <c r="BK429" s="0" t="n">
        <f aca="false">IF(BJ429&gt;0,BI429,0)</f>
        <v>0</v>
      </c>
      <c r="BM429" s="0" t="n">
        <f aca="false">20*LOG(J429*F429*C429)</f>
        <v>-36.7593583276136</v>
      </c>
      <c r="BN429" s="0" t="n">
        <f aca="false">(H429+D429)*180/Pi</f>
        <v>-178.167911072154</v>
      </c>
      <c r="BQ429" s="347" t="n">
        <f aca="false">20*LOG(BA429*7)</f>
        <v>29.251714919839</v>
      </c>
    </row>
    <row r="430" customFormat="false" ht="12.75" hidden="false" customHeight="false" outlineLevel="0" collapsed="false">
      <c r="A430" s="0" t="n">
        <f aca="false">A429+5000</f>
        <v>1080000</v>
      </c>
      <c r="B430" s="0" t="n">
        <f aca="false">A430/1000</f>
        <v>1080</v>
      </c>
      <c r="C430" s="0" t="n">
        <f aca="false">SQRT((A430/Fesr)^2+1)</f>
        <v>1.00002302354805</v>
      </c>
      <c r="D430" s="0" t="n">
        <f aca="false">ATAN(A430/Fesr)</f>
        <v>0.00678573596960115</v>
      </c>
      <c r="F430" s="0" t="n">
        <f aca="false">(Ro/(Ro+Rdcr))/SQRT((A430/(Q*Fo))^2+(1-(A430^2/Fo^2))^2)</f>
        <v>0.00159861483922801</v>
      </c>
      <c r="G430" s="0" t="n">
        <f aca="false">-ATAN(A430*Fo/(Q*(Fo^2-A430^2)))</f>
        <v>0.0251045676455771</v>
      </c>
      <c r="H430" s="0" t="n">
        <f aca="false">IF(G430&gt;0,G430-Pi,G430)</f>
        <v>-3.11648808235442</v>
      </c>
      <c r="J430" s="0" t="n">
        <f aca="false">Vin/Vramp</f>
        <v>9</v>
      </c>
      <c r="M430" s="0" t="n">
        <f aca="false">1/(2*Pi*_Rfb1*(Cc1ea_u+Cc2ea_u)*A430)</f>
        <v>0.00545798845246078</v>
      </c>
      <c r="N430" s="0" t="n">
        <f aca="false">-Pi/2</f>
        <v>-1.570796325</v>
      </c>
      <c r="O430" s="0" t="n">
        <f aca="false">SQRT(1+(A430/Fz1_u)^2)</f>
        <v>26.4022909493445</v>
      </c>
      <c r="P430" s="0" t="n">
        <f aca="false">ATAN2(Fz1_u,A430)</f>
        <v>1.53291176410067</v>
      </c>
      <c r="Q430" s="0" t="n">
        <f aca="false">SQRT(1+(A430/Fz2_u)^2)</f>
        <v>29937.7151890435</v>
      </c>
      <c r="R430" s="0" t="n">
        <f aca="false">ATAN2(Fz2_u,A430)</f>
        <v>1.57076292411223</v>
      </c>
      <c r="S430" s="0" t="n">
        <f aca="false">1/SQRT(1+(A430/Fp1_u)^2)</f>
        <v>0.0124961144826268</v>
      </c>
      <c r="T430" s="0" t="n">
        <f aca="false">-ATAN2(Fp1_u,A430)</f>
        <v>-1.55829988707204</v>
      </c>
      <c r="U430" s="0" t="n">
        <f aca="false">1/SQRT(1+(A430/Fp2_u)^2)</f>
        <v>0.32285638029557</v>
      </c>
      <c r="V430" s="0" t="n">
        <f aca="false">-ATAN2(Fp2_u,A430)</f>
        <v>-1.24205038652353</v>
      </c>
      <c r="X430" s="0" t="n">
        <f aca="false">20*LOG(C430*J430*O430*Q430*F430*M430*S430*U430)</f>
        <v>-12.0265281088605</v>
      </c>
      <c r="Y430" s="0" t="n">
        <f aca="false">(180/Pi)*(D430+H430+N430+P430+R430+T430+V430)</f>
        <v>-250.793611392664</v>
      </c>
      <c r="Z430" s="0" t="n">
        <f aca="false">Y430+180</f>
        <v>-70.7936113926641</v>
      </c>
      <c r="AC430" s="0" t="n">
        <v>1</v>
      </c>
      <c r="AD430" s="0" t="n">
        <f aca="false">Rcea1_u*Cc1ea_u*A430*2*Pi</f>
        <v>26.383346402112</v>
      </c>
      <c r="AE430" s="0" t="n">
        <f aca="false">-Rcea1_u*Cc1ea_u*Cc2ea_u*(A430*2*Pi)^2</f>
        <v>-0.0268549755931264</v>
      </c>
      <c r="AF430" s="0" t="n">
        <f aca="false">(Cc2ea_u+Cc1ea_u)*A430*2*Pi</f>
        <v>0.0091608841674</v>
      </c>
      <c r="AG430" s="0" t="n">
        <f aca="false">AC430*AE430/(AE430^2+AF430^2)+AD430*AF430/(AE430^2+AF430^2)</f>
        <v>266.844780281749</v>
      </c>
      <c r="AH430" s="0" t="n">
        <f aca="false">AD430*AE430/(AE430^2+AF430^2)-AC430*AF430/(AE430^2+AF430^2)</f>
        <v>-891.410688356864</v>
      </c>
      <c r="AJ430" s="0" t="n">
        <f aca="false">_Rfb1</f>
        <v>20000</v>
      </c>
      <c r="AK430" s="0" t="n">
        <f aca="false">_Rfb1*Rcea2_u*Cc3ea_u*A430*2*Pi</f>
        <v>1600372.53484416</v>
      </c>
      <c r="AL430" s="0" t="n">
        <v>1</v>
      </c>
      <c r="AM430" s="0" t="n">
        <f aca="false">(_Rfb1+Rcea2_u)*Cc3ea_u*A430*2*Pi</f>
        <v>29937.7151723422</v>
      </c>
      <c r="AN430" s="0" t="n">
        <f aca="false">AJ430*AL430/(AL430^2+AM430^2)+AK430*AM430/(AL430^2+AM430^2)</f>
        <v>53.4567582028007</v>
      </c>
      <c r="AO430" s="0" t="n">
        <f aca="false">AK430*AL430/(AL430^2+AM430^2)-AJ430*AM430/(AL430^2+AM430^2)</f>
        <v>-0.666268054424698</v>
      </c>
      <c r="AQ430" s="0" t="n">
        <f aca="false">Eadcg/(1+(Eadcg*A430/GBP)^2)</f>
        <v>0.00976094315450943</v>
      </c>
      <c r="AR430" s="0" t="n">
        <f aca="false">-(A430*Eadcg*Eadcg/GBP)/(1+(Eadcg*A430/GBP)^2)</f>
        <v>-5.55553840582059</v>
      </c>
      <c r="AT430" s="0" t="n">
        <f aca="false">-AR430*AH430+AG430*AQ430</f>
        <v>-4949.66165779412</v>
      </c>
      <c r="AU430" s="0" t="n">
        <f aca="false">AQ430*AH430+AG430*AR430</f>
        <v>-1491.16743430438</v>
      </c>
      <c r="AV430" s="0" t="n">
        <f aca="false">ATAN2(AT430,AU430)</f>
        <v>-2.84897430262905</v>
      </c>
      <c r="AW430" s="0" t="n">
        <f aca="false">AG430-AH430*AO430/_Rfb2+AG430*AN430/_Rfb2+AN430-AO430*AR430+AQ430*AN430</f>
        <v>323.273681392143</v>
      </c>
      <c r="AX430" s="0" t="n">
        <f aca="false">AH430+AH430*AN430/_Rfb2+AG430*AO430/_Rfb2+AO430+AO430*AQ430+AN430*AR430</f>
        <v>-1210.58790516298</v>
      </c>
      <c r="AY430" s="0" t="n">
        <f aca="false">ATAN2(AW430,AX430)</f>
        <v>-1.30984674041155</v>
      </c>
      <c r="BA430" s="0" t="n">
        <f aca="false">SQRT(AT430^2+AU430^2)/SQRT(AW430^2+AX430^2)</f>
        <v>4.1255949667663</v>
      </c>
      <c r="BB430" s="0" t="n">
        <f aca="false">20*LOG(BA430)</f>
        <v>12.3097317711778</v>
      </c>
      <c r="BC430" s="0" t="n">
        <f aca="false">AV430-AY430</f>
        <v>-1.5391275622175</v>
      </c>
      <c r="BD430" s="0" t="n">
        <f aca="false">BC430*180/Pi-180</f>
        <v>-268.185513548088</v>
      </c>
      <c r="BF430" s="0" t="n">
        <f aca="false">20*LOG(BA430*J430*F430*C430)</f>
        <v>-24.5303412620524</v>
      </c>
      <c r="BG430" s="0" t="n">
        <f aca="false">(180/Pi)*(D430+H430+BC430)</f>
        <v>-266.35833374146</v>
      </c>
      <c r="BH430" s="0" t="n">
        <f aca="false">IF(BG430&gt;180,BG430-180,BG430+180)</f>
        <v>-86.3583337414599</v>
      </c>
      <c r="BI430" s="0" t="n">
        <f aca="false">IF(BH430&gt;180,BH430-360,BH430)</f>
        <v>-86.3583337414599</v>
      </c>
      <c r="BJ430" s="0" t="n">
        <f aca="false">SUM((BF431&lt;0)*(BF430&gt;0))*A430</f>
        <v>0</v>
      </c>
      <c r="BK430" s="0" t="n">
        <f aca="false">IF(BJ430&gt;0,BI430,0)</f>
        <v>0</v>
      </c>
      <c r="BM430" s="0" t="n">
        <f aca="false">20*LOG(J430*F430*C430)</f>
        <v>-36.8400730332302</v>
      </c>
      <c r="BN430" s="0" t="n">
        <f aca="false">(H430+D430)*180/Pi</f>
        <v>-178.172820193372</v>
      </c>
      <c r="BQ430" s="347" t="n">
        <f aca="false">20*LOG(BA430*7)</f>
        <v>29.2116925714629</v>
      </c>
    </row>
    <row r="431" customFormat="false" ht="12.75" hidden="false" customHeight="false" outlineLevel="0" collapsed="false">
      <c r="A431" s="0" t="n">
        <f aca="false">A430+5000</f>
        <v>1085000</v>
      </c>
      <c r="B431" s="0" t="n">
        <f aca="false">A431/1000</f>
        <v>1085</v>
      </c>
      <c r="C431" s="0" t="n">
        <f aca="false">SQRT((A431/Fesr)^2+1)</f>
        <v>1.00002323722004</v>
      </c>
      <c r="D431" s="0" t="n">
        <f aca="false">ATAN(A431/Fesr)</f>
        <v>0.00681715044283185</v>
      </c>
      <c r="F431" s="0" t="n">
        <f aca="false">(Ro/(Ro+Rdcr))/SQRT((A431/(Q*Fo))^2+(1-(A431^2/Fo^2))^2)</f>
        <v>0.00158389614509758</v>
      </c>
      <c r="G431" s="0" t="n">
        <f aca="false">-ATAN(A431*Fo/(Q*(Fo^2-A431^2)))</f>
        <v>0.0249885565536914</v>
      </c>
      <c r="H431" s="0" t="n">
        <f aca="false">IF(G431&gt;0,G431-Pi,G431)</f>
        <v>-3.11660409344631</v>
      </c>
      <c r="J431" s="0" t="n">
        <f aca="false">Vin/Vramp</f>
        <v>9</v>
      </c>
      <c r="M431" s="0" t="n">
        <f aca="false">1/(2*Pi*_Rfb1*(Cc1ea_u+Cc2ea_u)*A431)</f>
        <v>0.00543283643194253</v>
      </c>
      <c r="N431" s="0" t="n">
        <f aca="false">-Pi/2</f>
        <v>-1.570796325</v>
      </c>
      <c r="O431" s="0" t="n">
        <f aca="false">SQRT(1+(A431/Fz1_u)^2)</f>
        <v>26.5243488317258</v>
      </c>
      <c r="P431" s="0" t="n">
        <f aca="false">ATAN2(Fz1_u,A431)</f>
        <v>1.5330861814922</v>
      </c>
      <c r="Q431" s="0" t="n">
        <f aca="false">SQRT(1+(A431/Fz2_u)^2)</f>
        <v>30076.3157221719</v>
      </c>
      <c r="R431" s="0" t="n">
        <f aca="false">ATAN2(Fz2_u,A431)</f>
        <v>1.57076307804164</v>
      </c>
      <c r="S431" s="0" t="n">
        <f aca="false">1/SQRT(1+(A431/Fp1_u)^2)</f>
        <v>0.0124385376317334</v>
      </c>
      <c r="T431" s="0" t="n">
        <f aca="false">-ATAN2(Fp1_u,A431)</f>
        <v>-1.55835746839817</v>
      </c>
      <c r="U431" s="0" t="n">
        <f aca="false">1/SQRT(1+(A431/Fp2_u)^2)</f>
        <v>0.321522687810234</v>
      </c>
      <c r="V431" s="0" t="n">
        <f aca="false">-ATAN2(Fp2_u,A431)</f>
        <v>-1.24345920409517</v>
      </c>
      <c r="X431" s="0" t="n">
        <f aca="false">20*LOG(C431*J431*O431*Q431*F431*M431*S431*U431)</f>
        <v>-12.1428750626374</v>
      </c>
      <c r="Y431" s="0" t="n">
        <f aca="false">(180/Pi)*(D431+H431+N431+P431+R431+T431+V431)</f>
        <v>-250.872474689974</v>
      </c>
      <c r="Z431" s="0" t="n">
        <f aca="false">Y431+180</f>
        <v>-70.8724746899743</v>
      </c>
      <c r="AC431" s="0" t="n">
        <v>1</v>
      </c>
      <c r="AD431" s="0" t="n">
        <f aca="false">Rcea1_u*Cc1ea_u*A431*2*Pi</f>
        <v>26.505491524344</v>
      </c>
      <c r="AE431" s="0" t="n">
        <f aca="false">-Rcea1_u*Cc1ea_u*Cc2ea_u*(A431*2*Pi)^2</f>
        <v>-0.0271042083698716</v>
      </c>
      <c r="AF431" s="0" t="n">
        <f aca="false">(Cc2ea_u+Cc1ea_u)*A431*2*Pi</f>
        <v>0.009203295668175</v>
      </c>
      <c r="AG431" s="0" t="n">
        <f aca="false">AC431*AE431/(AE431^2+AF431^2)+AD431*AF431/(AE431^2+AF431^2)</f>
        <v>264.644707268395</v>
      </c>
      <c r="AH431" s="0" t="n">
        <f aca="false">AD431*AE431/(AE431^2+AF431^2)-AC431*AF431/(AE431^2+AF431^2)</f>
        <v>-888.049844801623</v>
      </c>
      <c r="AJ431" s="0" t="n">
        <f aca="false">_Rfb1</f>
        <v>20000</v>
      </c>
      <c r="AK431" s="0" t="n">
        <f aca="false">_Rfb1*Rcea2_u*Cc3ea_u*A431*2*Pi</f>
        <v>1607781.66694992</v>
      </c>
      <c r="AL431" s="0" t="n">
        <v>1</v>
      </c>
      <c r="AM431" s="0" t="n">
        <f aca="false">(_Rfb1+Rcea2_u)*Cc3ea_u*A431*2*Pi</f>
        <v>30076.3157055475</v>
      </c>
      <c r="AN431" s="0" t="n">
        <f aca="false">AJ431*AL431/(AL431^2+AM431^2)+AK431*AM431/(AL431^2+AM431^2)</f>
        <v>53.4567579981568</v>
      </c>
      <c r="AO431" s="0" t="n">
        <f aca="false">AK431*AL431/(AL431^2+AM431^2)-AJ431*AM431/(AL431^2+AM431^2)</f>
        <v>-0.663197694733692</v>
      </c>
      <c r="AQ431" s="0" t="n">
        <f aca="false">Eadcg/(1+(Eadcg*A431/GBP)^2)</f>
        <v>0.00967118810643227</v>
      </c>
      <c r="AR431" s="0" t="n">
        <f aca="false">-(A431*Eadcg*Eadcg/GBP)/(1+(Eadcg*A431/GBP)^2)</f>
        <v>-5.52993700331744</v>
      </c>
      <c r="AT431" s="0" t="n">
        <f aca="false">-AR431*AH431+AG431*AQ431</f>
        <v>-4908.30026881344</v>
      </c>
      <c r="AU431" s="0" t="n">
        <f aca="false">AQ431*AH431+AG431*AR431</f>
        <v>-1472.05705655258</v>
      </c>
      <c r="AV431" s="0" t="n">
        <f aca="false">ATAN2(AT431,AU431)</f>
        <v>-2.85021679944414</v>
      </c>
      <c r="AW431" s="0" t="n">
        <f aca="false">AG431-AH431*AO431/_Rfb2+AG431*AN431/_Rfb2+AN431-AO431*AR431+AQ431*AN431</f>
        <v>321.052157114016</v>
      </c>
      <c r="AX431" s="0" t="n">
        <f aca="false">AH431+AH431*AN431/_Rfb2+AG431*AO431/_Rfb2+AO431+AO431*AQ431+AN431*AR431</f>
        <v>-1205.77346036905</v>
      </c>
      <c r="AY431" s="0" t="n">
        <f aca="false">ATAN2(AW431,AX431)</f>
        <v>-1.31057138360119</v>
      </c>
      <c r="BA431" s="0" t="n">
        <f aca="false">SQRT(AT431^2+AU431^2)/SQRT(AW431^2+AX431^2)</f>
        <v>4.10671462769314</v>
      </c>
      <c r="BB431" s="0" t="n">
        <f aca="false">20*LOG(BA431)</f>
        <v>12.2698905025362</v>
      </c>
      <c r="BC431" s="0" t="n">
        <f aca="false">AV431-AY431</f>
        <v>-1.53964541584295</v>
      </c>
      <c r="BD431" s="0" t="n">
        <f aca="false">BC431*180/Pi-180</f>
        <v>-268.215184375266</v>
      </c>
      <c r="BF431" s="0" t="n">
        <f aca="false">20*LOG(BA431*J431*F431*C431)</f>
        <v>-24.6505234387326</v>
      </c>
      <c r="BG431" s="0" t="n">
        <f aca="false">(180/Pi)*(D431+H431+BC431)</f>
        <v>-266.392851597853</v>
      </c>
      <c r="BH431" s="0" t="n">
        <f aca="false">IF(BG431&gt;180,BG431-180,BG431+180)</f>
        <v>-86.3928515978533</v>
      </c>
      <c r="BI431" s="0" t="n">
        <f aca="false">IF(BH431&gt;180,BH431-360,BH431)</f>
        <v>-86.3928515978533</v>
      </c>
      <c r="BJ431" s="0" t="n">
        <f aca="false">SUM((BF432&lt;0)*(BF431&gt;0))*A431</f>
        <v>0</v>
      </c>
      <c r="BK431" s="0" t="n">
        <f aca="false">IF(BJ431&gt;0,BI431,0)</f>
        <v>0</v>
      </c>
      <c r="BM431" s="0" t="n">
        <f aca="false">20*LOG(J431*F431*C431)</f>
        <v>-36.9204139412687</v>
      </c>
      <c r="BN431" s="0" t="n">
        <f aca="false">(H431+D431)*180/Pi</f>
        <v>-178.177667222587</v>
      </c>
      <c r="BQ431" s="347" t="n">
        <f aca="false">20*LOG(BA431*7)</f>
        <v>29.1718513028213</v>
      </c>
    </row>
    <row r="432" customFormat="false" ht="12.75" hidden="false" customHeight="false" outlineLevel="0" collapsed="false">
      <c r="A432" s="0" t="n">
        <f aca="false">A431+5000</f>
        <v>1090000</v>
      </c>
      <c r="B432" s="0" t="n">
        <f aca="false">A432/1000</f>
        <v>1090</v>
      </c>
      <c r="C432" s="0" t="n">
        <f aca="false">SQRT((A432/Fesr)^2+1)</f>
        <v>1.00002345187893</v>
      </c>
      <c r="D432" s="0" t="n">
        <f aca="false">ATAN(A432/Fesr)</f>
        <v>0.00684856490260708</v>
      </c>
      <c r="F432" s="0" t="n">
        <f aca="false">(Ro/(Ro+Rdcr))/SQRT((A432/(Q*Fo))^2+(1-(A432^2/Fo^2))^2)</f>
        <v>0.00156937988019006</v>
      </c>
      <c r="G432" s="0" t="n">
        <f aca="false">-ATAN(A432*Fo/(Q*(Fo^2-A432^2)))</f>
        <v>0.0248736141891379</v>
      </c>
      <c r="H432" s="0" t="n">
        <f aca="false">IF(G432&gt;0,G432-Pi,G432)</f>
        <v>-3.11671903581086</v>
      </c>
      <c r="J432" s="0" t="n">
        <f aca="false">Vin/Vramp</f>
        <v>9</v>
      </c>
      <c r="M432" s="0" t="n">
        <f aca="false">1/(2*Pi*_Rfb1*(Cc1ea_u+Cc2ea_u)*A432)</f>
        <v>0.00540791516390609</v>
      </c>
      <c r="N432" s="0" t="n">
        <f aca="false">-Pi/2</f>
        <v>-1.570796325</v>
      </c>
      <c r="O432" s="0" t="n">
        <f aca="false">SQRT(1+(A432/Fz1_u)^2)</f>
        <v>26.6464075136232</v>
      </c>
      <c r="P432" s="0" t="n">
        <f aca="false">ATAN2(Fz1_u,A432)</f>
        <v>1.53325900098823</v>
      </c>
      <c r="Q432" s="0" t="n">
        <f aca="false">SQRT(1+(A432/Fz2_u)^2)</f>
        <v>30214.9162553009</v>
      </c>
      <c r="R432" s="0" t="n">
        <f aca="false">ATAN2(Fz2_u,A432)</f>
        <v>1.57076323055886</v>
      </c>
      <c r="S432" s="0" t="n">
        <f aca="false">1/SQRT(1+(A432/Fp1_u)^2)</f>
        <v>0.0123814888868014</v>
      </c>
      <c r="T432" s="0" t="n">
        <f aca="false">-ATAN2(Fp1_u,A432)</f>
        <v>-1.55841452153661</v>
      </c>
      <c r="U432" s="0" t="n">
        <f aca="false">1/SQRT(1+(A432/Fp2_u)^2)</f>
        <v>0.320199341038659</v>
      </c>
      <c r="V432" s="0" t="n">
        <f aca="false">-ATAN2(Fp2_u,A432)</f>
        <v>-1.24485642739062</v>
      </c>
      <c r="X432" s="0" t="n">
        <f aca="false">20*LOG(C432*J432*O432*Q432*F432*M432*S432*U432)</f>
        <v>-12.258719774902</v>
      </c>
      <c r="Y432" s="0" t="n">
        <f aca="false">(180/Pi)*(D432+H432+N432+P432+R432+T432+V432)</f>
        <v>-250.950673822054</v>
      </c>
      <c r="Z432" s="0" t="n">
        <f aca="false">Y432+180</f>
        <v>-70.9506738220536</v>
      </c>
      <c r="AC432" s="0" t="n">
        <v>1</v>
      </c>
      <c r="AD432" s="0" t="n">
        <f aca="false">Rcea1_u*Cc1ea_u*A432*2*Pi</f>
        <v>26.627636646576</v>
      </c>
      <c r="AE432" s="0" t="n">
        <f aca="false">-Rcea1_u*Cc1ea_u*Cc2ea_u*(A432*2*Pi)^2</f>
        <v>-0.0273545923372715</v>
      </c>
      <c r="AF432" s="0" t="n">
        <f aca="false">(Cc2ea_u+Cc1ea_u)*A432*2*Pi</f>
        <v>0.00924570716895</v>
      </c>
      <c r="AG432" s="0" t="n">
        <f aca="false">AC432*AE432/(AE432^2+AF432^2)+AD432*AF432/(AE432^2+AF432^2)</f>
        <v>262.470702084074</v>
      </c>
      <c r="AH432" s="0" t="n">
        <f aca="false">AD432*AE432/(AE432^2+AF432^2)-AC432*AF432/(AE432^2+AF432^2)</f>
        <v>-884.711023885501</v>
      </c>
      <c r="AJ432" s="0" t="n">
        <f aca="false">_Rfb1</f>
        <v>20000</v>
      </c>
      <c r="AK432" s="0" t="n">
        <f aca="false">_Rfb1*Rcea2_u*Cc3ea_u*A432*2*Pi</f>
        <v>1615190.79905568</v>
      </c>
      <c r="AL432" s="0" t="n">
        <v>1</v>
      </c>
      <c r="AM432" s="0" t="n">
        <f aca="false">(_Rfb1+Rcea2_u)*Cc3ea_u*A432*2*Pi</f>
        <v>30214.9162387528</v>
      </c>
      <c r="AN432" s="0" t="n">
        <f aca="false">AJ432*AL432/(AL432^2+AM432^2)+AK432*AM432/(AL432^2+AM432^2)</f>
        <v>53.4567577963226</v>
      </c>
      <c r="AO432" s="0" t="n">
        <f aca="false">AK432*AL432/(AL432^2+AM432^2)-AJ432*AM432/(AL432^2+AM432^2)</f>
        <v>-0.660155503480126</v>
      </c>
      <c r="AQ432" s="0" t="n">
        <f aca="false">Eadcg/(1+(Eadcg*A432/GBP)^2)</f>
        <v>0.00958266537945671</v>
      </c>
      <c r="AR432" s="0" t="n">
        <f aca="false">-(A432*Eadcg*Eadcg/GBP)/(1+(Eadcg*A432/GBP)^2)</f>
        <v>-5.50457047392132</v>
      </c>
      <c r="AT432" s="0" t="n">
        <f aca="false">-AR432*AH432+AG432*AQ432</f>
        <v>-4867.43901112284</v>
      </c>
      <c r="AU432" s="0" t="n">
        <f aca="false">AQ432*AH432+AG432*AR432</f>
        <v>-1453.2663666608</v>
      </c>
      <c r="AV432" s="0" t="n">
        <f aca="false">ATAN2(AT432,AU432)</f>
        <v>-2.85144922559772</v>
      </c>
      <c r="AW432" s="0" t="n">
        <f aca="false">AG432-AH432*AO432/_Rfb2+AG432*AN432/_Rfb2+AN432-AO432*AR432+AQ432*AN432</f>
        <v>318.856899264315</v>
      </c>
      <c r="AX432" s="0" t="n">
        <f aca="false">AH432+AH432*AN432/_Rfb2+AG432*AO432/_Rfb2+AO432+AO432*AQ432+AN432*AR432</f>
        <v>-1200.9941705164</v>
      </c>
      <c r="AY432" s="0" t="n">
        <f aca="false">ATAN2(AW432,AX432)</f>
        <v>-1.31128894863927</v>
      </c>
      <c r="BA432" s="0" t="n">
        <f aca="false">SQRT(AT432^2+AU432^2)/SQRT(AW432^2+AX432^2)</f>
        <v>4.08800515171086</v>
      </c>
      <c r="BB432" s="0" t="n">
        <f aca="false">20*LOG(BA432)</f>
        <v>12.2302286885125</v>
      </c>
      <c r="BC432" s="0" t="n">
        <f aca="false">AV432-AY432</f>
        <v>-1.54016027695846</v>
      </c>
      <c r="BD432" s="0" t="n">
        <f aca="false">BC432*180/Pi-180</f>
        <v>-268.244683744254</v>
      </c>
      <c r="BF432" s="0" t="n">
        <f aca="false">20*LOG(BA432*J432*F432*C432)</f>
        <v>-24.7701558135763</v>
      </c>
      <c r="BG432" s="0" t="n">
        <f aca="false">(180/Pi)*(D432+H432+BC432)</f>
        <v>-266.427136763262</v>
      </c>
      <c r="BH432" s="0" t="n">
        <f aca="false">IF(BG432&gt;180,BG432-180,BG432+180)</f>
        <v>-86.4271367632617</v>
      </c>
      <c r="BI432" s="0" t="n">
        <f aca="false">IF(BH432&gt;180,BH432-360,BH432)</f>
        <v>-86.4271367632617</v>
      </c>
      <c r="BJ432" s="0" t="n">
        <f aca="false">SUM((BF433&lt;0)*(BF432&gt;0))*A432</f>
        <v>0</v>
      </c>
      <c r="BK432" s="0" t="n">
        <f aca="false">IF(BJ432&gt;0,BI432,0)</f>
        <v>0</v>
      </c>
      <c r="BM432" s="0" t="n">
        <f aca="false">20*LOG(J432*F432*C432)</f>
        <v>-37.0003845020888</v>
      </c>
      <c r="BN432" s="0" t="n">
        <f aca="false">(H432+D432)*180/Pi</f>
        <v>-178.182453019008</v>
      </c>
      <c r="BQ432" s="347" t="n">
        <f aca="false">20*LOG(BA432*7)</f>
        <v>29.1321894887977</v>
      </c>
    </row>
    <row r="433" customFormat="false" ht="12.75" hidden="false" customHeight="false" outlineLevel="0" collapsed="false">
      <c r="A433" s="0" t="n">
        <f aca="false">A432+5000</f>
        <v>1095000</v>
      </c>
      <c r="B433" s="0" t="n">
        <f aca="false">A433/1000</f>
        <v>1095</v>
      </c>
      <c r="C433" s="0" t="n">
        <f aca="false">SQRT((A433/Fesr)^2+1)</f>
        <v>1.0000236675247</v>
      </c>
      <c r="D433" s="0" t="n">
        <f aca="false">ATAN(A433/Fesr)</f>
        <v>0.00687997934886484</v>
      </c>
      <c r="F433" s="0" t="n">
        <f aca="false">(Ro/(Ro+Rdcr))/SQRT((A433/(Q*Fo))^2+(1-(A433^2/Fo^2))^2)</f>
        <v>0.00155506234784711</v>
      </c>
      <c r="G433" s="0" t="n">
        <f aca="false">-ATAN(A433*Fo/(Q*(Fo^2-A433^2)))</f>
        <v>0.024759725831749</v>
      </c>
      <c r="H433" s="0" t="n">
        <f aca="false">IF(G433&gt;0,G433-Pi,G433)</f>
        <v>-3.11683292416825</v>
      </c>
      <c r="J433" s="0" t="n">
        <f aca="false">Vin/Vramp</f>
        <v>9</v>
      </c>
      <c r="M433" s="0" t="n">
        <f aca="false">1/(2*Pi*_Rfb1*(Cc1ea_u+Cc2ea_u)*A433)</f>
        <v>0.00538322148735858</v>
      </c>
      <c r="N433" s="0" t="n">
        <f aca="false">-Pi/2</f>
        <v>-1.570796325</v>
      </c>
      <c r="O433" s="0" t="n">
        <f aca="false">SQRT(1+(A433/Fz1_u)^2)</f>
        <v>26.7684669841</v>
      </c>
      <c r="P433" s="0" t="n">
        <f aca="false">ATAN2(Fz1_u,A433)</f>
        <v>1.53343024443673</v>
      </c>
      <c r="Q433" s="0" t="n">
        <f aca="false">SQRT(1+(A433/Fz2_u)^2)</f>
        <v>30353.5167884306</v>
      </c>
      <c r="R433" s="0" t="n">
        <f aca="false">ATAN2(Fz2_u,A433)</f>
        <v>1.57076338168323</v>
      </c>
      <c r="S433" s="0" t="n">
        <f aca="false">1/SQRT(1+(A433/Fp1_u)^2)</f>
        <v>0.0123249610157157</v>
      </c>
      <c r="T433" s="0" t="n">
        <f aca="false">-ATAN2(Fp1_u,A433)</f>
        <v>-1.55847105372134</v>
      </c>
      <c r="U433" s="0" t="n">
        <f aca="false">1/SQRT(1+(A433/Fp2_u)^2)</f>
        <v>0.318886228166054</v>
      </c>
      <c r="V433" s="0" t="n">
        <f aca="false">-ATAN2(Fp2_u,A433)</f>
        <v>-1.2462421935624</v>
      </c>
      <c r="X433" s="0" t="n">
        <f aca="false">20*LOG(C433*J433*O433*Q433*F433*M433*S433*U433)</f>
        <v>-12.3740664602775</v>
      </c>
      <c r="Y433" s="0" t="n">
        <f aca="false">(180/Pi)*(D433+H433+N433+P433+R433+T433+V433)</f>
        <v>-251.02821665214</v>
      </c>
      <c r="Z433" s="0" t="n">
        <f aca="false">Y433+180</f>
        <v>-71.0282166521399</v>
      </c>
      <c r="AC433" s="0" t="n">
        <v>1</v>
      </c>
      <c r="AD433" s="0" t="n">
        <f aca="false">Rcea1_u*Cc1ea_u*A433*2*Pi</f>
        <v>26.749781768808</v>
      </c>
      <c r="AE433" s="0" t="n">
        <f aca="false">-Rcea1_u*Cc1ea_u*Cc2ea_u*(A433*2*Pi)^2</f>
        <v>-0.0276061274953261</v>
      </c>
      <c r="AF433" s="0" t="n">
        <f aca="false">(Cc2ea_u+Cc1ea_u)*A433*2*Pi</f>
        <v>0.009288118669725</v>
      </c>
      <c r="AG433" s="0" t="n">
        <f aca="false">AC433*AE433/(AE433^2+AF433^2)+AD433*AF433/(AE433^2+AF433^2)</f>
        <v>260.322371875771</v>
      </c>
      <c r="AH433" s="0" t="n">
        <f aca="false">AD433*AE433/(AE433^2+AF433^2)-AC433*AF433/(AE433^2+AF433^2)</f>
        <v>-881.394056104432</v>
      </c>
      <c r="AJ433" s="0" t="n">
        <f aca="false">_Rfb1</f>
        <v>20000</v>
      </c>
      <c r="AK433" s="0" t="n">
        <f aca="false">_Rfb1*Rcea2_u*Cc3ea_u*A433*2*Pi</f>
        <v>1622599.93116144</v>
      </c>
      <c r="AL433" s="0" t="n">
        <v>1</v>
      </c>
      <c r="AM433" s="0" t="n">
        <f aca="false">(_Rfb1+Rcea2_u)*Cc3ea_u*A433*2*Pi</f>
        <v>30353.5167719581</v>
      </c>
      <c r="AN433" s="0" t="n">
        <f aca="false">AJ433*AL433/(AL433^2+AM433^2)+AK433*AM433/(AL433^2+AM433^2)</f>
        <v>53.456757597247</v>
      </c>
      <c r="AO433" s="0" t="n">
        <f aca="false">AK433*AL433/(AL433^2+AM433^2)-AJ433*AM433/(AL433^2+AM433^2)</f>
        <v>-0.657141094794994</v>
      </c>
      <c r="AQ433" s="0" t="n">
        <f aca="false">Eadcg/(1+(Eadcg*A433/GBP)^2)</f>
        <v>0.00949535251701509</v>
      </c>
      <c r="AR433" s="0" t="n">
        <f aca="false">-(A433*Eadcg*Eadcg/GBP)/(1+(Eadcg*A433/GBP)^2)</f>
        <v>-5.47943560023131</v>
      </c>
      <c r="AT433" s="0" t="n">
        <f aca="false">-AR433*AH433+AG433*AQ433</f>
        <v>-4827.07011616187</v>
      </c>
      <c r="AU433" s="0" t="n">
        <f aca="false">AQ433*AH433+AG433*AR433</f>
        <v>-1434.78881926187</v>
      </c>
      <c r="AV433" s="0" t="n">
        <f aca="false">ATAN2(AT433,AU433)</f>
        <v>-2.85267169741188</v>
      </c>
      <c r="AW433" s="0" t="n">
        <f aca="false">AG433-AH433*AO433/_Rfb2+AG433*AN433/_Rfb2+AN433-AO433*AR433+AQ433*AN433</f>
        <v>316.687513275614</v>
      </c>
      <c r="AX433" s="0" t="n">
        <f aca="false">AH433+AH433*AN433/_Rfb2+AG433*AO433/_Rfb2+AO433+AO433*AQ433+AN433*AR433</f>
        <v>-1196.24968925684</v>
      </c>
      <c r="AY433" s="0" t="n">
        <f aca="false">ATAN2(AW433,AX433)</f>
        <v>-1.31199951160829</v>
      </c>
      <c r="BA433" s="0" t="n">
        <f aca="false">SQRT(AT433^2+AU433^2)/SQRT(AW433^2+AX433^2)</f>
        <v>4.06946423776252</v>
      </c>
      <c r="BB433" s="0" t="n">
        <f aca="false">20*LOG(BA433)</f>
        <v>12.1907447255401</v>
      </c>
      <c r="BC433" s="0" t="n">
        <f aca="false">AV433-AY433</f>
        <v>-1.54067218580359</v>
      </c>
      <c r="BD433" s="0" t="n">
        <f aca="false">BC433*180/Pi-180</f>
        <v>-268.274013960609</v>
      </c>
      <c r="BF433" s="0" t="n">
        <f aca="false">20*LOG(BA433*J433*F433*C433)</f>
        <v>-24.8892433928958</v>
      </c>
      <c r="BG433" s="0" t="n">
        <f aca="false">(180/Pi)*(D433+H433+BC433)</f>
        <v>-266.46119238665</v>
      </c>
      <c r="BH433" s="0" t="n">
        <f aca="false">IF(BG433&gt;180,BG433-180,BG433+180)</f>
        <v>-86.4611923866502</v>
      </c>
      <c r="BI433" s="0" t="n">
        <f aca="false">IF(BH433&gt;180,BH433-360,BH433)</f>
        <v>-86.4611923866502</v>
      </c>
      <c r="BJ433" s="0" t="n">
        <f aca="false">SUM((BF434&lt;0)*(BF433&gt;0))*A433</f>
        <v>0</v>
      </c>
      <c r="BK433" s="0" t="n">
        <f aca="false">IF(BJ433&gt;0,BI433,0)</f>
        <v>0</v>
      </c>
      <c r="BM433" s="0" t="n">
        <f aca="false">20*LOG(J433*F433*C433)</f>
        <v>-37.0799881184359</v>
      </c>
      <c r="BN433" s="0" t="n">
        <f aca="false">(H433+D433)*180/Pi</f>
        <v>-178.187178426041</v>
      </c>
      <c r="BQ433" s="347" t="n">
        <f aca="false">20*LOG(BA433*7)</f>
        <v>29.0927055258252</v>
      </c>
    </row>
    <row r="434" customFormat="false" ht="12.75" hidden="false" customHeight="false" outlineLevel="0" collapsed="false">
      <c r="A434" s="0" t="n">
        <f aca="false">A433+5000</f>
        <v>1100000</v>
      </c>
      <c r="B434" s="0" t="n">
        <f aca="false">A434/1000</f>
        <v>1100</v>
      </c>
      <c r="C434" s="0" t="n">
        <f aca="false">SQRT((A434/Fesr)^2+1)</f>
        <v>1.00002388415737</v>
      </c>
      <c r="D434" s="0" t="n">
        <f aca="false">ATAN(A434/Fesr)</f>
        <v>0.00691139378154313</v>
      </c>
      <c r="F434" s="0" t="n">
        <f aca="false">(Ro/(Ro+Rdcr))/SQRT((A434/(Q*Fo))^2+(1-(A434^2/Fo^2))^2)</f>
        <v>0.00154093993544438</v>
      </c>
      <c r="G434" s="0" t="n">
        <f aca="false">-ATAN(A434*Fo/(Q*(Fo^2-A434^2)))</f>
        <v>0.0246468770308079</v>
      </c>
      <c r="H434" s="0" t="n">
        <f aca="false">IF(G434&gt;0,G434-Pi,G434)</f>
        <v>-3.11694577296919</v>
      </c>
      <c r="J434" s="0" t="n">
        <f aca="false">Vin/Vramp</f>
        <v>9</v>
      </c>
      <c r="M434" s="0" t="n">
        <f aca="false">1/(2*Pi*_Rfb1*(Cc1ea_u+Cc2ea_u)*A434)</f>
        <v>0.00535875229877968</v>
      </c>
      <c r="N434" s="0" t="n">
        <f aca="false">-Pi/2</f>
        <v>-1.570796325</v>
      </c>
      <c r="O434" s="0" t="n">
        <f aca="false">SQRT(1+(A434/Fz1_u)^2)</f>
        <v>26.8905272324177</v>
      </c>
      <c r="P434" s="0" t="n">
        <f aca="false">ATAN2(Fz1_u,A434)</f>
        <v>1.53359993328934</v>
      </c>
      <c r="Q434" s="0" t="n">
        <f aca="false">SQRT(1+(A434/Fz2_u)^2)</f>
        <v>30492.117321561</v>
      </c>
      <c r="R434" s="0" t="n">
        <f aca="false">ATAN2(Fz2_u,A434)</f>
        <v>1.57076353143373</v>
      </c>
      <c r="S434" s="0" t="n">
        <f aca="false">1/SQRT(1+(A434/Fp1_u)^2)</f>
        <v>0.0122689469178042</v>
      </c>
      <c r="T434" s="0" t="n">
        <f aca="false">-ATAN2(Fp1_u,A434)</f>
        <v>-1.55852707205483</v>
      </c>
      <c r="U434" s="0" t="n">
        <f aca="false">1/SQRT(1+(A434/Fp2_u)^2)</f>
        <v>0.31758323883938</v>
      </c>
      <c r="V434" s="0" t="n">
        <f aca="false">-ATAN2(Fp2_u,A434)</f>
        <v>-1.24761663769893</v>
      </c>
      <c r="X434" s="0" t="n">
        <f aca="false">20*LOG(C434*J434*O434*Q434*F434*M434*S434*U434)</f>
        <v>-12.488919281454</v>
      </c>
      <c r="Y434" s="0" t="n">
        <f aca="false">(180/Pi)*(D434+H434+N434+P434+R434+T434+V434)</f>
        <v>-251.105110924964</v>
      </c>
      <c r="Z434" s="0" t="n">
        <f aca="false">Y434+180</f>
        <v>-71.1051109249638</v>
      </c>
      <c r="AC434" s="0" t="n">
        <v>1</v>
      </c>
      <c r="AD434" s="0" t="n">
        <f aca="false">Rcea1_u*Cc1ea_u*A434*2*Pi</f>
        <v>26.87192689104</v>
      </c>
      <c r="AE434" s="0" t="n">
        <f aca="false">-Rcea1_u*Cc1ea_u*Cc2ea_u*(A434*2*Pi)^2</f>
        <v>-0.0278588138440354</v>
      </c>
      <c r="AF434" s="0" t="n">
        <f aca="false">(Cc2ea_u+Cc1ea_u)*A434*2*Pi</f>
        <v>0.0093305301705</v>
      </c>
      <c r="AG434" s="0" t="n">
        <f aca="false">AC434*AE434/(AE434^2+AF434^2)+AD434*AF434/(AE434^2+AF434^2)</f>
        <v>258.19933079478</v>
      </c>
      <c r="AH434" s="0" t="n">
        <f aca="false">AD434*AE434/(AE434^2+AF434^2)-AC434*AF434/(AE434^2+AF434^2)</f>
        <v>-878.098772690348</v>
      </c>
      <c r="AJ434" s="0" t="n">
        <f aca="false">_Rfb1</f>
        <v>20000</v>
      </c>
      <c r="AK434" s="0" t="n">
        <f aca="false">_Rfb1*Rcea2_u*Cc3ea_u*A434*2*Pi</f>
        <v>1630009.0632672</v>
      </c>
      <c r="AL434" s="0" t="n">
        <v>1</v>
      </c>
      <c r="AM434" s="0" t="n">
        <f aca="false">(_Rfb1+Rcea2_u)*Cc3ea_u*A434*2*Pi</f>
        <v>30492.1173051634</v>
      </c>
      <c r="AN434" s="0" t="n">
        <f aca="false">AJ434*AL434/(AL434^2+AM434^2)+AK434*AM434/(AL434^2+AM434^2)</f>
        <v>53.4567574008799</v>
      </c>
      <c r="AO434" s="0" t="n">
        <f aca="false">AK434*AL434/(AL434^2+AM434^2)-AJ434*AM434/(AL434^2+AM434^2)</f>
        <v>-0.654154089825094</v>
      </c>
      <c r="AQ434" s="0" t="n">
        <f aca="false">Eadcg/(1+(Eadcg*A434/GBP)^2)</f>
        <v>0.00940922757175064</v>
      </c>
      <c r="AR434" s="0" t="n">
        <f aca="false">-(A434*Eadcg*Eadcg/GBP)/(1+(Eadcg*A434/GBP)^2)</f>
        <v>-5.45452922334385</v>
      </c>
      <c r="AT434" s="0" t="n">
        <f aca="false">-AR434*AH434+AG434*AQ434</f>
        <v>-4787.18596035955</v>
      </c>
      <c r="AU434" s="0" t="n">
        <f aca="false">AQ434*AH434+AG434*AR434</f>
        <v>-1416.61802645067</v>
      </c>
      <c r="AV434" s="0" t="n">
        <f aca="false">ATAN2(AT434,AU434)</f>
        <v>-2.85388432952243</v>
      </c>
      <c r="AW434" s="0" t="n">
        <f aca="false">AG434-AH434*AO434/_Rfb2+AG434*AN434/_Rfb2+AN434-AO434*AR434+AQ434*AN434</f>
        <v>314.543611579545</v>
      </c>
      <c r="AX434" s="0" t="n">
        <f aca="false">AH434+AH434*AN434/_Rfb2+AG434*AO434/_Rfb2+AO434+AO434*AQ434+AN434*AR434</f>
        <v>-1191.53967413945</v>
      </c>
      <c r="AY434" s="0" t="n">
        <f aca="false">ATAN2(AW434,AX434)</f>
        <v>-1.31270314762073</v>
      </c>
      <c r="BA434" s="0" t="n">
        <f aca="false">SQRT(AT434^2+AU434^2)/SQRT(AW434^2+AX434^2)</f>
        <v>4.05108962574998</v>
      </c>
      <c r="BB434" s="0" t="n">
        <f aca="false">20*LOG(BA434)</f>
        <v>12.1514370312258</v>
      </c>
      <c r="BC434" s="0" t="n">
        <f aca="false">AV434-AY434</f>
        <v>-1.5411811819017</v>
      </c>
      <c r="BD434" s="0" t="n">
        <f aca="false">BC434*180/Pi-180</f>
        <v>-268.303177288853</v>
      </c>
      <c r="BF434" s="0" t="n">
        <f aca="false">20*LOG(BA434*J434*F434*C434)</f>
        <v>-25.0077911150891</v>
      </c>
      <c r="BG434" s="0" t="n">
        <f aca="false">(180/Pi)*(D434+H434+BC434)</f>
        <v>-266.495021560508</v>
      </c>
      <c r="BH434" s="0" t="n">
        <f aca="false">IF(BG434&gt;180,BG434-180,BG434+180)</f>
        <v>-86.495021560508</v>
      </c>
      <c r="BI434" s="0" t="n">
        <f aca="false">IF(BH434&gt;180,BH434-360,BH434)</f>
        <v>-86.495021560508</v>
      </c>
      <c r="BJ434" s="0" t="n">
        <f aca="false">SUM((BF435&lt;0)*(BF434&gt;0))*A434</f>
        <v>0</v>
      </c>
      <c r="BK434" s="0" t="n">
        <f aca="false">IF(BJ434&gt;0,BI434,0)</f>
        <v>0</v>
      </c>
      <c r="BM434" s="0" t="n">
        <f aca="false">20*LOG(J434*F434*C434)</f>
        <v>-37.1592281463149</v>
      </c>
      <c r="BN434" s="0" t="n">
        <f aca="false">(H434+D434)*180/Pi</f>
        <v>-178.191844271655</v>
      </c>
      <c r="BQ434" s="347" t="n">
        <f aca="false">20*LOG(BA434*7)</f>
        <v>29.053397831511</v>
      </c>
    </row>
    <row r="435" customFormat="false" ht="12.75" hidden="false" customHeight="false" outlineLevel="0" collapsed="false">
      <c r="A435" s="0" t="n">
        <f aca="false">A434+5000</f>
        <v>1105000</v>
      </c>
      <c r="B435" s="0" t="n">
        <f aca="false">A435/1000</f>
        <v>1105</v>
      </c>
      <c r="C435" s="0" t="n">
        <f aca="false">SQRT((A435/Fesr)^2+1)</f>
        <v>1.00002410177692</v>
      </c>
      <c r="D435" s="0" t="n">
        <f aca="false">ATAN(A435/Fesr)</f>
        <v>0.00694280820057997</v>
      </c>
      <c r="F435" s="0" t="n">
        <f aca="false">(Ro/(Ro+Rdcr))/SQRT((A435/(Q*Fo))^2+(1-(A435^2/Fo^2))^2)</f>
        <v>0.00152700911210857</v>
      </c>
      <c r="G435" s="0" t="n">
        <f aca="false">-ATAN(A435*Fo/(Q*(Fo^2-A435^2)))</f>
        <v>0.0245350535989036</v>
      </c>
      <c r="H435" s="0" t="n">
        <f aca="false">IF(G435&gt;0,G435-Pi,G435)</f>
        <v>-3.1170575964011</v>
      </c>
      <c r="J435" s="0" t="n">
        <f aca="false">Vin/Vramp</f>
        <v>9</v>
      </c>
      <c r="M435" s="0" t="n">
        <f aca="false">1/(2*Pi*_Rfb1*(Cc1ea_u+Cc2ea_u)*A435)</f>
        <v>0.0053345045508214</v>
      </c>
      <c r="N435" s="0" t="n">
        <f aca="false">-Pi/2</f>
        <v>-1.570796325</v>
      </c>
      <c r="O435" s="0" t="n">
        <f aca="false">SQRT(1+(A435/Fz1_u)^2)</f>
        <v>27.012588248032</v>
      </c>
      <c r="P435" s="0" t="n">
        <f aca="false">ATAN2(Fz1_u,A435)</f>
        <v>1.53376808861035</v>
      </c>
      <c r="Q435" s="0" t="n">
        <f aca="false">SQRT(1+(A435/Fz2_u)^2)</f>
        <v>30630.7178546921</v>
      </c>
      <c r="R435" s="0" t="n">
        <f aca="false">ATAN2(Fz2_u,A435)</f>
        <v>1.57076367982903</v>
      </c>
      <c r="S435" s="0" t="n">
        <f aca="false">1/SQRT(1+(A435/Fp1_u)^2)</f>
        <v>0.0122134396208656</v>
      </c>
      <c r="T435" s="0" t="n">
        <f aca="false">-ATAN2(Fp1_u,A435)</f>
        <v>-1.55858258351104</v>
      </c>
      <c r="U435" s="0" t="n">
        <f aca="false">1/SQRT(1+(A435/Fp2_u)^2)</f>
        <v>0.316290264146874</v>
      </c>
      <c r="V435" s="0" t="n">
        <f aca="false">-ATAN2(Fp2_u,A435)</f>
        <v>-1.24897989286138</v>
      </c>
      <c r="X435" s="0" t="n">
        <f aca="false">20*LOG(C435*J435*O435*Q435*F435*M435*S435*U435)</f>
        <v>-12.6032823500319</v>
      </c>
      <c r="Y435" s="0" t="n">
        <f aca="false">(180/Pi)*(D435+H435+N435+P435+R435+T435+V435)</f>
        <v>-251.181364268865</v>
      </c>
      <c r="Z435" s="0" t="n">
        <f aca="false">Y435+180</f>
        <v>-71.181364268865</v>
      </c>
      <c r="AC435" s="0" t="n">
        <v>1</v>
      </c>
      <c r="AD435" s="0" t="n">
        <f aca="false">Rcea1_u*Cc1ea_u*A435*2*Pi</f>
        <v>26.994072013272</v>
      </c>
      <c r="AE435" s="0" t="n">
        <f aca="false">-Rcea1_u*Cc1ea_u*Cc2ea_u*(A435*2*Pi)^2</f>
        <v>-0.0281126513833995</v>
      </c>
      <c r="AF435" s="0" t="n">
        <f aca="false">(Cc2ea_u+Cc1ea_u)*A435*2*Pi</f>
        <v>0.009372941671275</v>
      </c>
      <c r="AG435" s="0" t="n">
        <f aca="false">AC435*AE435/(AE435^2+AF435^2)+AD435*AF435/(AE435^2+AF435^2)</f>
        <v>256.101199856895</v>
      </c>
      <c r="AH435" s="0" t="n">
        <f aca="false">AD435*AE435/(AE435^2+AF435^2)-AC435*AF435/(AE435^2+AF435^2)</f>
        <v>-874.825005641137</v>
      </c>
      <c r="AJ435" s="0" t="n">
        <f aca="false">_Rfb1</f>
        <v>20000</v>
      </c>
      <c r="AK435" s="0" t="n">
        <f aca="false">_Rfb1*Rcea2_u*Cc3ea_u*A435*2*Pi</f>
        <v>1637418.19537296</v>
      </c>
      <c r="AL435" s="0" t="n">
        <v>1</v>
      </c>
      <c r="AM435" s="0" t="n">
        <f aca="false">(_Rfb1+Rcea2_u)*Cc3ea_u*A435*2*Pi</f>
        <v>30630.7178383686</v>
      </c>
      <c r="AN435" s="0" t="n">
        <f aca="false">AJ435*AL435/(AL435^2+AM435^2)+AK435*AM435/(AL435^2+AM435^2)</f>
        <v>53.4567572071724</v>
      </c>
      <c r="AO435" s="0" t="n">
        <f aca="false">AK435*AL435/(AL435^2+AM435^2)-AJ435*AM435/(AL435^2+AM435^2)</f>
        <v>-0.65119411657429</v>
      </c>
      <c r="AQ435" s="0" t="n">
        <f aca="false">Eadcg/(1+(Eadcg*A435/GBP)^2)</f>
        <v>0.00932426909172418</v>
      </c>
      <c r="AR435" s="0" t="n">
        <f aca="false">-(A435*Eadcg*Eadcg/GBP)/(1+(Eadcg*A435/GBP)^2)</f>
        <v>-5.4298482415292</v>
      </c>
      <c r="AT435" s="0" t="n">
        <f aca="false">-AR435*AH435+AG435*AQ435</f>
        <v>-4747.77906202413</v>
      </c>
      <c r="AU435" s="0" t="n">
        <f aca="false">AQ435*AH435+AG435*AR435</f>
        <v>-1398.74775345725</v>
      </c>
      <c r="AV435" s="0" t="n">
        <f aca="false">ATAN2(AT435,AU435)</f>
        <v>-2.85508723490721</v>
      </c>
      <c r="AW435" s="0" t="n">
        <f aca="false">AG435-AH435*AO435/_Rfb2+AG435*AN435/_Rfb2+AN435-AO435*AR435+AQ435*AN435</f>
        <v>312.424813468292</v>
      </c>
      <c r="AX435" s="0" t="n">
        <f aca="false">AH435+AH435*AN435/_Rfb2+AG435*AO435/_Rfb2+AO435+AO435*AQ435+AN435*AR435</f>
        <v>-1186.86378657007</v>
      </c>
      <c r="AY435" s="0" t="n">
        <f aca="false">ATAN2(AW435,AX435)</f>
        <v>-1.31339993083151</v>
      </c>
      <c r="BA435" s="0" t="n">
        <f aca="false">SQRT(AT435^2+AU435^2)/SQRT(AW435^2+AX435^2)</f>
        <v>4.03287909563054</v>
      </c>
      <c r="BB435" s="0" t="n">
        <f aca="false">20*LOG(BA435)</f>
        <v>12.1123040439829</v>
      </c>
      <c r="BC435" s="0" t="n">
        <f aca="false">AV435-AY435</f>
        <v>-1.5416873040757</v>
      </c>
      <c r="BD435" s="0" t="n">
        <f aca="false">BC435*180/Pi-180</f>
        <v>-268.332175953374</v>
      </c>
      <c r="BF435" s="0" t="n">
        <f aca="false">20*LOG(BA435*J435*F435*C435)</f>
        <v>-25.12580385186</v>
      </c>
      <c r="BG435" s="0" t="n">
        <f aca="false">(180/Pi)*(D435+H435+BC435)</f>
        <v>-266.528627322106</v>
      </c>
      <c r="BH435" s="0" t="n">
        <f aca="false">IF(BG435&gt;180,BG435-180,BG435+180)</f>
        <v>-86.5286273221062</v>
      </c>
      <c r="BI435" s="0" t="n">
        <f aca="false">IF(BH435&gt;180,BH435-360,BH435)</f>
        <v>-86.5286273221062</v>
      </c>
      <c r="BJ435" s="0" t="n">
        <f aca="false">SUM((BF436&lt;0)*(BF435&gt;0))*A435</f>
        <v>0</v>
      </c>
      <c r="BK435" s="0" t="n">
        <f aca="false">IF(BJ435&gt;0,BI435,0)</f>
        <v>0</v>
      </c>
      <c r="BM435" s="0" t="n">
        <f aca="false">20*LOG(J435*F435*C435)</f>
        <v>-37.2381078958429</v>
      </c>
      <c r="BN435" s="0" t="n">
        <f aca="false">(H435+D435)*180/Pi</f>
        <v>-178.196451368733</v>
      </c>
      <c r="BQ435" s="347" t="n">
        <f aca="false">20*LOG(BA435*7)</f>
        <v>29.014264844268</v>
      </c>
    </row>
    <row r="436" customFormat="false" ht="12.75" hidden="false" customHeight="false" outlineLevel="0" collapsed="false">
      <c r="A436" s="0" t="n">
        <f aca="false">A435+5000</f>
        <v>1110000</v>
      </c>
      <c r="B436" s="0" t="n">
        <f aca="false">A436/1000</f>
        <v>1110</v>
      </c>
      <c r="C436" s="0" t="n">
        <f aca="false">SQRT((A436/Fesr)^2+1)</f>
        <v>1.00002432038337</v>
      </c>
      <c r="D436" s="0" t="n">
        <f aca="false">ATAN(A436/Fesr)</f>
        <v>0.00697422260591335</v>
      </c>
      <c r="F436" s="0" t="n">
        <f aca="false">(Ro/(Ro+Rdcr))/SQRT((A436/(Q*Fo))^2+(1-(A436^2/Fo^2))^2)</f>
        <v>0.00151326642650664</v>
      </c>
      <c r="G436" s="0" t="n">
        <f aca="false">-ATAN(A436*Fo/(Q*(Fo^2-A436^2)))</f>
        <v>0.0244242416059533</v>
      </c>
      <c r="H436" s="0" t="n">
        <f aca="false">IF(G436&gt;0,G436-Pi,G436)</f>
        <v>-3.11716840839405</v>
      </c>
      <c r="J436" s="0" t="n">
        <f aca="false">Vin/Vramp</f>
        <v>9</v>
      </c>
      <c r="M436" s="0" t="n">
        <f aca="false">1/(2*Pi*_Rfb1*(Cc1ea_u+Cc2ea_u)*A436)</f>
        <v>0.00531047525104292</v>
      </c>
      <c r="N436" s="0" t="n">
        <f aca="false">-Pi/2</f>
        <v>-1.570796325</v>
      </c>
      <c r="O436" s="0" t="n">
        <f aca="false">SQRT(1+(A436/Fz1_u)^2)</f>
        <v>27.1346500205881</v>
      </c>
      <c r="P436" s="0" t="n">
        <f aca="false">ATAN2(Fz1_u,A436)</f>
        <v>1.53393473108539</v>
      </c>
      <c r="Q436" s="0" t="n">
        <f aca="false">SQRT(1+(A436/Fz2_u)^2)</f>
        <v>30769.3183878239</v>
      </c>
      <c r="R436" s="0" t="n">
        <f aca="false">ATAN2(Fz2_u,A436)</f>
        <v>1.57076382688744</v>
      </c>
      <c r="S436" s="0" t="n">
        <f aca="false">1/SQRT(1+(A436/Fp1_u)^2)</f>
        <v>0.0121584322782767</v>
      </c>
      <c r="T436" s="0" t="n">
        <f aca="false">-ATAN2(Fp1_u,A436)</f>
        <v>-1.5586375949383</v>
      </c>
      <c r="U436" s="0" t="n">
        <f aca="false">1/SQRT(1+(A436/Fp2_u)^2)</f>
        <v>0.315007196597818</v>
      </c>
      <c r="V436" s="0" t="n">
        <f aca="false">-ATAN2(Fp2_u,A436)</f>
        <v>-1.25033209011962</v>
      </c>
      <c r="X436" s="0" t="n">
        <f aca="false">20*LOG(C436*J436*O436*Q436*F436*M436*S436*U436)</f>
        <v>-12.7171597273475</v>
      </c>
      <c r="Y436" s="0" t="n">
        <f aca="false">(180/Pi)*(D436+H436+N436+P436+R436+T436+V436)</f>
        <v>-251.256984197866</v>
      </c>
      <c r="Z436" s="0" t="n">
        <f aca="false">Y436+180</f>
        <v>-71.2569841978659</v>
      </c>
      <c r="AC436" s="0" t="n">
        <v>1</v>
      </c>
      <c r="AD436" s="0" t="n">
        <f aca="false">Rcea1_u*Cc1ea_u*A436*2*Pi</f>
        <v>27.116217135504</v>
      </c>
      <c r="AE436" s="0" t="n">
        <f aca="false">-Rcea1_u*Cc1ea_u*Cc2ea_u*(A436*2*Pi)^2</f>
        <v>-0.0283676401134182</v>
      </c>
      <c r="AF436" s="0" t="n">
        <f aca="false">(Cc2ea_u+Cc1ea_u)*A436*2*Pi</f>
        <v>0.00941535317205</v>
      </c>
      <c r="AG436" s="0" t="n">
        <f aca="false">AC436*AE436/(AE436^2+AF436^2)+AD436*AF436/(AE436^2+AF436^2)</f>
        <v>254.027606805547</v>
      </c>
      <c r="AH436" s="0" t="n">
        <f aca="false">AD436*AE436/(AE436^2+AF436^2)-AC436*AF436/(AE436^2+AF436^2)</f>
        <v>-871.572587748818</v>
      </c>
      <c r="AJ436" s="0" t="n">
        <f aca="false">_Rfb1</f>
        <v>20000</v>
      </c>
      <c r="AK436" s="0" t="n">
        <f aca="false">_Rfb1*Rcea2_u*Cc3ea_u*A436*2*Pi</f>
        <v>1644827.32747872</v>
      </c>
      <c r="AL436" s="0" t="n">
        <v>1</v>
      </c>
      <c r="AM436" s="0" t="n">
        <f aca="false">(_Rfb1+Rcea2_u)*Cc3ea_u*A436*2*Pi</f>
        <v>30769.3183715739</v>
      </c>
      <c r="AN436" s="0" t="n">
        <f aca="false">AJ436*AL436/(AL436^2+AM436^2)+AK436*AM436/(AL436^2+AM436^2)</f>
        <v>53.4567570160766</v>
      </c>
      <c r="AO436" s="0" t="n">
        <f aca="false">AK436*AL436/(AL436^2+AM436^2)-AJ436*AM436/(AL436^2+AM436^2)</f>
        <v>-0.648260809749085</v>
      </c>
      <c r="AQ436" s="0" t="n">
        <f aca="false">Eadcg/(1+(Eadcg*A436/GBP)^2)</f>
        <v>0.00924045610705483</v>
      </c>
      <c r="AR436" s="0" t="n">
        <f aca="false">-(A436*Eadcg*Eadcg/GBP)/(1+(Eadcg*A436/GBP)^2)</f>
        <v>-5.40538960894386</v>
      </c>
      <c r="AT436" s="0" t="n">
        <f aca="false">-AR436*AH436+AG436*AQ436</f>
        <v>-4708.84207830711</v>
      </c>
      <c r="AU436" s="0" t="n">
        <f aca="false">AQ436*AH436+AG436*AR436</f>
        <v>-1381.17191445279</v>
      </c>
      <c r="AV436" s="0" t="n">
        <f aca="false">ATAN2(AT436,AU436)</f>
        <v>-2.85628052491375</v>
      </c>
      <c r="AW436" s="0" t="n">
        <f aca="false">AG436-AH436*AO436/_Rfb2+AG436*AN436/_Rfb2+AN436-AO436*AR436+AQ436*AN436</f>
        <v>310.330744958953</v>
      </c>
      <c r="AX436" s="0" t="n">
        <f aca="false">AH436+AH436*AN436/_Rfb2+AG436*AO436/_Rfb2+AO436+AO436*AQ436+AN436*AR436</f>
        <v>-1182.22169177093</v>
      </c>
      <c r="AY436" s="0" t="n">
        <f aca="false">ATAN2(AW436,AX436)</f>
        <v>-1.31408993445035</v>
      </c>
      <c r="BA436" s="0" t="n">
        <f aca="false">SQRT(AT436^2+AU436^2)/SQRT(AW436^2+AX436^2)</f>
        <v>4.01483046653723</v>
      </c>
      <c r="BB436" s="0" t="n">
        <f aca="false">20*LOG(BA436)</f>
        <v>12.0733442226707</v>
      </c>
      <c r="BC436" s="0" t="n">
        <f aca="false">AV436-AY436</f>
        <v>-1.5421905904634</v>
      </c>
      <c r="BD436" s="0" t="n">
        <f aca="false">BC436*180/Pi-180</f>
        <v>-268.361012139308</v>
      </c>
      <c r="BF436" s="0" t="n">
        <f aca="false">20*LOG(BA436*J436*F436*C436)</f>
        <v>-25.2432864094125</v>
      </c>
      <c r="BG436" s="0" t="n">
        <f aca="false">(180/Pi)*(D436+H436+BC436)</f>
        <v>-266.56201265472</v>
      </c>
      <c r="BH436" s="0" t="n">
        <f aca="false">IF(BG436&gt;180,BG436-180,BG436+180)</f>
        <v>-86.5620126547199</v>
      </c>
      <c r="BI436" s="0" t="n">
        <f aca="false">IF(BH436&gt;180,BH436-360,BH436)</f>
        <v>-86.5620126547199</v>
      </c>
      <c r="BJ436" s="0" t="n">
        <f aca="false">SUM((BF437&lt;0)*(BF436&gt;0))*A436</f>
        <v>0</v>
      </c>
      <c r="BK436" s="0" t="n">
        <f aca="false">IF(BJ436&gt;0,BI436,0)</f>
        <v>0</v>
      </c>
      <c r="BM436" s="0" t="n">
        <f aca="false">20*LOG(J436*F436*C436)</f>
        <v>-37.3166306320832</v>
      </c>
      <c r="BN436" s="0" t="n">
        <f aca="false">(H436+D436)*180/Pi</f>
        <v>-178.201000515412</v>
      </c>
      <c r="BQ436" s="347" t="n">
        <f aca="false">20*LOG(BA436*7)</f>
        <v>28.9753050229558</v>
      </c>
    </row>
    <row r="437" customFormat="false" ht="12.75" hidden="false" customHeight="false" outlineLevel="0" collapsed="false">
      <c r="A437" s="0" t="n">
        <f aca="false">A436+5000</f>
        <v>1115000</v>
      </c>
      <c r="B437" s="0" t="n">
        <f aca="false">A437/1000</f>
        <v>1115</v>
      </c>
      <c r="C437" s="0" t="n">
        <f aca="false">SQRT((A437/Fesr)^2+1)</f>
        <v>1.0000245399767</v>
      </c>
      <c r="D437" s="0" t="n">
        <f aca="false">ATAN(A437/Fesr)</f>
        <v>0.00700563699748129</v>
      </c>
      <c r="F437" s="0" t="n">
        <f aca="false">(Ro/(Ro+Rdcr))/SQRT((A437/(Q*Fo))^2+(1-(A437^2/Fo^2))^2)</f>
        <v>0.00149970850470439</v>
      </c>
      <c r="G437" s="0" t="n">
        <f aca="false">-ATAN(A437*Fo/(Q*(Fo^2-A437^2)))</f>
        <v>0.024314427373387</v>
      </c>
      <c r="H437" s="0" t="n">
        <f aca="false">IF(G437&gt;0,G437-Pi,G437)</f>
        <v>-3.11727822262661</v>
      </c>
      <c r="J437" s="0" t="n">
        <f aca="false">Vin/Vramp</f>
        <v>9</v>
      </c>
      <c r="M437" s="0" t="n">
        <f aca="false">1/(2*Pi*_Rfb1*(Cc1ea_u+Cc2ea_u)*A437)</f>
        <v>0.0052866614606795</v>
      </c>
      <c r="N437" s="0" t="n">
        <f aca="false">-Pi/2</f>
        <v>-1.570796325</v>
      </c>
      <c r="O437" s="0" t="n">
        <f aca="false">SQRT(1+(A437/Fz1_u)^2)</f>
        <v>27.2567125399168</v>
      </c>
      <c r="P437" s="0" t="n">
        <f aca="false">ATAN2(Fz1_u,A437)</f>
        <v>1.53409988102986</v>
      </c>
      <c r="Q437" s="0" t="n">
        <f aca="false">SQRT(1+(A437/Fz2_u)^2)</f>
        <v>30907.9189209563</v>
      </c>
      <c r="R437" s="0" t="n">
        <f aca="false">ATAN2(Fz2_u,A437)</f>
        <v>1.57076397262693</v>
      </c>
      <c r="S437" s="0" t="n">
        <f aca="false">1/SQRT(1+(A437/Fp1_u)^2)</f>
        <v>0.0121039181661786</v>
      </c>
      <c r="T437" s="0" t="n">
        <f aca="false">-ATAN2(Fp1_u,A437)</f>
        <v>-1.55869211306214</v>
      </c>
      <c r="U437" s="0" t="n">
        <f aca="false">1/SQRT(1+(A437/Fp2_u)^2)</f>
        <v>0.313733930102555</v>
      </c>
      <c r="V437" s="0" t="n">
        <f aca="false">-ATAN2(Fp2_u,A437)</f>
        <v>-1.25167335858757</v>
      </c>
      <c r="X437" s="0" t="n">
        <f aca="false">20*LOG(C437*J437*O437*Q437*F437*M437*S437*U437)</f>
        <v>-12.8305554252828</v>
      </c>
      <c r="Y437" s="0" t="n">
        <f aca="false">(180/Pi)*(D437+H437+N437+P437+R437+T437+V437)</f>
        <v>-251.331978113703</v>
      </c>
      <c r="Z437" s="0" t="n">
        <f aca="false">Y437+180</f>
        <v>-71.3319781137032</v>
      </c>
      <c r="AC437" s="0" t="n">
        <v>1</v>
      </c>
      <c r="AD437" s="0" t="n">
        <f aca="false">Rcea1_u*Cc1ea_u*A437*2*Pi</f>
        <v>27.238362257736</v>
      </c>
      <c r="AE437" s="0" t="n">
        <f aca="false">-Rcea1_u*Cc1ea_u*Cc2ea_u*(A437*2*Pi)^2</f>
        <v>-0.0286237800340917</v>
      </c>
      <c r="AF437" s="0" t="n">
        <f aca="false">(Cc2ea_u+Cc1ea_u)*A437*2*Pi</f>
        <v>0.009457764672825</v>
      </c>
      <c r="AG437" s="0" t="n">
        <f aca="false">AC437*AE437/(AE437^2+AF437^2)+AD437*AF437/(AE437^2+AF437^2)</f>
        <v>251.978185977843</v>
      </c>
      <c r="AH437" s="0" t="n">
        <f aca="false">AD437*AE437/(AE437^2+AF437^2)-AC437*AF437/(AE437^2+AF437^2)</f>
        <v>-868.341352625998</v>
      </c>
      <c r="AJ437" s="0" t="n">
        <f aca="false">_Rfb1</f>
        <v>20000</v>
      </c>
      <c r="AK437" s="0" t="n">
        <f aca="false">_Rfb1*Rcea2_u*Cc3ea_u*A437*2*Pi</f>
        <v>1652236.45958448</v>
      </c>
      <c r="AL437" s="0" t="n">
        <v>1</v>
      </c>
      <c r="AM437" s="0" t="n">
        <f aca="false">(_Rfb1+Rcea2_u)*Cc3ea_u*A437*2*Pi</f>
        <v>30907.9189047792</v>
      </c>
      <c r="AN437" s="0" t="n">
        <f aca="false">AJ437*AL437/(AL437^2+AM437^2)+AK437*AM437/(AL437^2+AM437^2)</f>
        <v>53.4567568275459</v>
      </c>
      <c r="AO437" s="0" t="n">
        <f aca="false">AK437*AL437/(AL437^2+AM437^2)-AJ437*AM437/(AL437^2+AM437^2)</f>
        <v>-0.645353810608328</v>
      </c>
      <c r="AQ437" s="0" t="n">
        <f aca="false">Eadcg/(1+(Eadcg*A437/GBP)^2)</f>
        <v>0.00915776811697907</v>
      </c>
      <c r="AR437" s="0" t="n">
        <f aca="false">-(A437*Eadcg*Eadcg/GBP)/(1+(Eadcg*A437/GBP)^2)</f>
        <v>-5.38115033437749</v>
      </c>
      <c r="AT437" s="0" t="n">
        <f aca="false">-AR437*AH437+AG437*AQ437</f>
        <v>-4670.36780223947</v>
      </c>
      <c r="AU437" s="0" t="n">
        <f aca="false">AQ437*AH437+AG437*AR437</f>
        <v>-1363.88456848424</v>
      </c>
      <c r="AV437" s="0" t="n">
        <f aca="false">ATAN2(AT437,AU437)</f>
        <v>-2.85746430928657</v>
      </c>
      <c r="AW437" s="0" t="n">
        <f aca="false">AG437-AH437*AO437/_Rfb2+AG437*AN437/_Rfb2+AN437-AO437*AR437+AQ437*AN437</f>
        <v>308.261038660732</v>
      </c>
      <c r="AX437" s="0" t="n">
        <f aca="false">AH437+AH437*AN437/_Rfb2+AG437*AO437/_Rfb2+AO437+AO437*AQ437+AN437*AR437</f>
        <v>-1177.61305874036</v>
      </c>
      <c r="AY437" s="0" t="n">
        <f aca="false">ATAN2(AW437,AX437)</f>
        <v>-1.31477323075403</v>
      </c>
      <c r="BA437" s="0" t="n">
        <f aca="false">SQRT(AT437^2+AU437^2)/SQRT(AW437^2+AX437^2)</f>
        <v>3.9969415959221</v>
      </c>
      <c r="BB437" s="0" t="n">
        <f aca="false">20*LOG(BA437)</f>
        <v>12.0345560462425</v>
      </c>
      <c r="BC437" s="0" t="n">
        <f aca="false">AV437-AY437</f>
        <v>-1.54269107853254</v>
      </c>
      <c r="BD437" s="0" t="n">
        <f aca="false">BC437*180/Pi-180</f>
        <v>-268.3896879934</v>
      </c>
      <c r="BF437" s="0" t="n">
        <f aca="false">20*LOG(BA437*J437*F437*C437)</f>
        <v>-25.3602435296176</v>
      </c>
      <c r="BG437" s="0" t="n">
        <f aca="false">(180/Pi)*(D437+H437+BC437)</f>
        <v>-266.59518048882</v>
      </c>
      <c r="BH437" s="0" t="n">
        <f aca="false">IF(BG437&gt;180,BG437-180,BG437+180)</f>
        <v>-86.5951804888202</v>
      </c>
      <c r="BI437" s="0" t="n">
        <f aca="false">IF(BH437&gt;180,BH437-360,BH437)</f>
        <v>-86.5951804888202</v>
      </c>
      <c r="BJ437" s="0" t="n">
        <f aca="false">SUM((BF438&lt;0)*(BF437&gt;0))*A437</f>
        <v>0</v>
      </c>
      <c r="BK437" s="0" t="n">
        <f aca="false">IF(BJ437&gt;0,BI437,0)</f>
        <v>0</v>
      </c>
      <c r="BM437" s="0" t="n">
        <f aca="false">20*LOG(J437*F437*C437)</f>
        <v>-37.3947995758602</v>
      </c>
      <c r="BN437" s="0" t="n">
        <f aca="false">(H437+D437)*180/Pi</f>
        <v>-178.205492495421</v>
      </c>
      <c r="BQ437" s="347" t="n">
        <f aca="false">20*LOG(BA437*7)</f>
        <v>28.9365168465277</v>
      </c>
    </row>
    <row r="438" customFormat="false" ht="12.75" hidden="false" customHeight="false" outlineLevel="0" collapsed="false">
      <c r="A438" s="0" t="n">
        <f aca="false">A437+5000</f>
        <v>1120000</v>
      </c>
      <c r="B438" s="0" t="n">
        <f aca="false">A438/1000</f>
        <v>1120</v>
      </c>
      <c r="C438" s="0" t="n">
        <f aca="false">SQRT((A438/Fesr)^2+1)</f>
        <v>1.00002476055692</v>
      </c>
      <c r="D438" s="0" t="n">
        <f aca="false">ATAN(A438/Fesr)</f>
        <v>0.00703705137522178</v>
      </c>
      <c r="F438" s="0" t="n">
        <f aca="false">(Ro/(Ro+Rdcr))/SQRT((A438/(Q*Fo))^2+(1-(A438^2/Fo^2))^2)</f>
        <v>0.00148633204809209</v>
      </c>
      <c r="G438" s="0" t="n">
        <f aca="false">-ATAN(A438*Fo/(Q*(Fo^2-A438^2)))</f>
        <v>0.0242055974684899</v>
      </c>
      <c r="H438" s="0" t="n">
        <f aca="false">IF(G438&gt;0,G438-Pi,G438)</f>
        <v>-3.11738705253151</v>
      </c>
      <c r="J438" s="0" t="n">
        <f aca="false">Vin/Vramp</f>
        <v>9</v>
      </c>
      <c r="M438" s="0" t="n">
        <f aca="false">1/(2*Pi*_Rfb1*(Cc1ea_u+Cc2ea_u)*A438)</f>
        <v>0.00526306029344432</v>
      </c>
      <c r="N438" s="0" t="n">
        <f aca="false">-Pi/2</f>
        <v>-1.570796325</v>
      </c>
      <c r="O438" s="0" t="n">
        <f aca="false">SQRT(1+(A438/Fz1_u)^2)</f>
        <v>27.3787757960301</v>
      </c>
      <c r="P438" s="0" t="n">
        <f aca="false">ATAN2(Fz1_u,A438)</f>
        <v>1.53426355839721</v>
      </c>
      <c r="Q438" s="0" t="n">
        <f aca="false">SQRT(1+(A438/Fz2_u)^2)</f>
        <v>31046.5194540894</v>
      </c>
      <c r="R438" s="0" t="n">
        <f aca="false">ATAN2(Fz2_u,A438)</f>
        <v>1.57076411706518</v>
      </c>
      <c r="S438" s="0" t="n">
        <f aca="false">1/SQRT(1+(A438/Fp1_u)^2)</f>
        <v>0.012049890680737</v>
      </c>
      <c r="T438" s="0" t="n">
        <f aca="false">-ATAN2(Fp1_u,A438)</f>
        <v>-1.55874614448802</v>
      </c>
      <c r="U438" s="0" t="n">
        <f aca="false">1/SQRT(1+(A438/Fp2_u)^2)</f>
        <v>0.312470359952743</v>
      </c>
      <c r="V438" s="0" t="n">
        <f aca="false">-ATAN2(Fp2_u,A438)</f>
        <v>-1.25300382545781</v>
      </c>
      <c r="X438" s="0" t="n">
        <f aca="false">20*LOG(C438*J438*O438*Q438*F438*M438*S438*U438)</f>
        <v>-12.9434734070582</v>
      </c>
      <c r="Y438" s="0" t="n">
        <f aca="false">(180/Pi)*(D438+H438+N438+P438+R438+T438+V438)</f>
        <v>-251.40635330782</v>
      </c>
      <c r="Z438" s="0" t="n">
        <f aca="false">Y438+180</f>
        <v>-71.4063533078197</v>
      </c>
      <c r="AC438" s="0" t="n">
        <v>1</v>
      </c>
      <c r="AD438" s="0" t="n">
        <f aca="false">Rcea1_u*Cc1ea_u*A438*2*Pi</f>
        <v>27.360507379968</v>
      </c>
      <c r="AE438" s="0" t="n">
        <f aca="false">-Rcea1_u*Cc1ea_u*Cc2ea_u*(A438*2*Pi)^2</f>
        <v>-0.0288810711454199</v>
      </c>
      <c r="AF438" s="0" t="n">
        <f aca="false">(Cc2ea_u+Cc1ea_u)*A438*2*Pi</f>
        <v>0.0095001761736</v>
      </c>
      <c r="AG438" s="0" t="n">
        <f aca="false">AC438*AE438/(AE438^2+AF438^2)+AD438*AF438/(AE438^2+AF438^2)</f>
        <v>249.952578173432</v>
      </c>
      <c r="AH438" s="0" t="n">
        <f aca="false">AD438*AE438/(AE438^2+AF438^2)-AC438*AF438/(AE438^2+AF438^2)</f>
        <v>-865.131134730689</v>
      </c>
      <c r="AJ438" s="0" t="n">
        <f aca="false">_Rfb1</f>
        <v>20000</v>
      </c>
      <c r="AK438" s="0" t="n">
        <f aca="false">_Rfb1*Rcea2_u*Cc3ea_u*A438*2*Pi</f>
        <v>1659645.59169024</v>
      </c>
      <c r="AL438" s="0" t="n">
        <v>1</v>
      </c>
      <c r="AM438" s="0" t="n">
        <f aca="false">(_Rfb1+Rcea2_u)*Cc3ea_u*A438*2*Pi</f>
        <v>31046.5194379845</v>
      </c>
      <c r="AN438" s="0" t="n">
        <f aca="false">AJ438*AL438/(AL438^2+AM438^2)+AK438*AM438/(AL438^2+AM438^2)</f>
        <v>53.4567566415345</v>
      </c>
      <c r="AO438" s="0" t="n">
        <f aca="false">AK438*AL438/(AL438^2+AM438^2)-AJ438*AM438/(AL438^2+AM438^2)</f>
        <v>-0.642472766816961</v>
      </c>
      <c r="AQ438" s="0" t="n">
        <f aca="false">Eadcg/(1+(Eadcg*A438/GBP)^2)</f>
        <v>0.00907618507731332</v>
      </c>
      <c r="AR438" s="0" t="n">
        <f aca="false">-(A438*Eadcg*Eadcg/GBP)/(1+(Eadcg*A438/GBP)^2)</f>
        <v>-5.35712748003341</v>
      </c>
      <c r="AT438" s="0" t="n">
        <f aca="false">-AR438*AH438+AG438*AQ438</f>
        <v>-4632.34915983821</v>
      </c>
      <c r="AU438" s="0" t="n">
        <f aca="false">AQ438*AH438+AG438*AR438</f>
        <v>-1346.87991553306</v>
      </c>
      <c r="AV438" s="0" t="n">
        <f aca="false">ATAN2(AT438,AU438)</f>
        <v>-2.85863869619389</v>
      </c>
      <c r="AW438" s="0" t="n">
        <f aca="false">AG438-AH438*AO438/_Rfb2+AG438*AN438/_Rfb2+AN438-AO438*AR438+AQ438*AN438</f>
        <v>306.215333644888</v>
      </c>
      <c r="AX438" s="0" t="n">
        <f aca="false">AH438+AH438*AN438/_Rfb2+AG438*AO438/_Rfb2+AO438+AO438*AQ438+AN438*AR438</f>
        <v>-1173.03756021262</v>
      </c>
      <c r="AY438" s="0" t="n">
        <f aca="false">ATAN2(AW438,AX438)</f>
        <v>-1.31544989109854</v>
      </c>
      <c r="BA438" s="0" t="n">
        <f aca="false">SQRT(AT438^2+AU438^2)/SQRT(AW438^2+AX438^2)</f>
        <v>3.97921037872179</v>
      </c>
      <c r="BB438" s="0" t="n">
        <f aca="false">20*LOG(BA438)</f>
        <v>11.9959380134012</v>
      </c>
      <c r="BC438" s="0" t="n">
        <f aca="false">AV438-AY438</f>
        <v>-1.54318880509536</v>
      </c>
      <c r="BD438" s="0" t="n">
        <f aca="false">BC438*180/Pi-180</f>
        <v>-268.418205624833</v>
      </c>
      <c r="BF438" s="0" t="n">
        <f aca="false">20*LOG(BA438*J438*F438*C438)</f>
        <v>-25.4766798911546</v>
      </c>
      <c r="BG438" s="0" t="n">
        <f aca="false">(180/Pi)*(D438+H438+BC438)</f>
        <v>-266.628133703233</v>
      </c>
      <c r="BH438" s="0" t="n">
        <f aca="false">IF(BG438&gt;180,BG438-180,BG438+180)</f>
        <v>-86.6281337032335</v>
      </c>
      <c r="BI438" s="0" t="n">
        <f aca="false">IF(BH438&gt;180,BH438-360,BH438)</f>
        <v>-86.6281337032335</v>
      </c>
      <c r="BJ438" s="0" t="n">
        <f aca="false">SUM((BF439&lt;0)*(BF438&gt;0))*A438</f>
        <v>0</v>
      </c>
      <c r="BK438" s="0" t="n">
        <f aca="false">IF(BJ438&gt;0,BI438,0)</f>
        <v>0</v>
      </c>
      <c r="BM438" s="0" t="n">
        <f aca="false">20*LOG(J438*F438*C438)</f>
        <v>-37.4726179045559</v>
      </c>
      <c r="BN438" s="0" t="n">
        <f aca="false">(H438+D438)*180/Pi</f>
        <v>-178.209928078401</v>
      </c>
      <c r="BQ438" s="347" t="n">
        <f aca="false">20*LOG(BA438*7)</f>
        <v>28.8978988136864</v>
      </c>
    </row>
    <row r="439" customFormat="false" ht="12.75" hidden="false" customHeight="false" outlineLevel="0" collapsed="false">
      <c r="A439" s="0" t="n">
        <f aca="false">A438+5000</f>
        <v>1125000</v>
      </c>
      <c r="B439" s="0" t="n">
        <f aca="false">A439/1000</f>
        <v>1125</v>
      </c>
      <c r="C439" s="0" t="n">
        <f aca="false">SQRT((A439/Fesr)^2+1)</f>
        <v>1.00002498212403</v>
      </c>
      <c r="D439" s="0" t="n">
        <f aca="false">ATAN(A439/Fesr)</f>
        <v>0.00706846573907284</v>
      </c>
      <c r="F439" s="0" t="n">
        <f aca="false">(Ro/(Ro+Rdcr))/SQRT((A439/(Q*Fo))^2+(1-(A439^2/Fo^2))^2)</f>
        <v>0.00147313383137468</v>
      </c>
      <c r="G439" s="0" t="n">
        <f aca="false">-ATAN(A439*Fo/(Q*(Fo^2-A439^2)))</f>
        <v>0.0240977386988962</v>
      </c>
      <c r="H439" s="0" t="n">
        <f aca="false">IF(G439&gt;0,G439-Pi,G439)</f>
        <v>-3.1174949113011</v>
      </c>
      <c r="J439" s="0" t="n">
        <f aca="false">Vin/Vramp</f>
        <v>9</v>
      </c>
      <c r="M439" s="0" t="n">
        <f aca="false">1/(2*Pi*_Rfb1*(Cc1ea_u+Cc2ea_u)*A439)</f>
        <v>0.00523966891436235</v>
      </c>
      <c r="N439" s="0" t="n">
        <f aca="false">-Pi/2</f>
        <v>-1.570796325</v>
      </c>
      <c r="O439" s="0" t="n">
        <f aca="false">SQRT(1+(A439/Fz1_u)^2)</f>
        <v>27.5008397791173</v>
      </c>
      <c r="P439" s="0" t="n">
        <f aca="false">ATAN2(Fz1_u,A439)</f>
        <v>1.53442578278697</v>
      </c>
      <c r="Q439" s="0" t="n">
        <f aca="false">SQRT(1+(A439/Fz2_u)^2)</f>
        <v>31185.1199872231</v>
      </c>
      <c r="R439" s="0" t="n">
        <f aca="false">ATAN2(Fz2_u,A439)</f>
        <v>1.57076426021954</v>
      </c>
      <c r="S439" s="0" t="n">
        <f aca="false">1/SQRT(1+(A439/Fp1_u)^2)</f>
        <v>0.0119963433354768</v>
      </c>
      <c r="T439" s="0" t="n">
        <f aca="false">-ATAN2(Fp1_u,A439)</f>
        <v>-1.55879969570398</v>
      </c>
      <c r="U439" s="0" t="n">
        <f aca="false">1/SQRT(1+(A439/Fp2_u)^2)</f>
        <v>0.31121638280186</v>
      </c>
      <c r="V439" s="0" t="n">
        <f aca="false">-ATAN2(Fp2_u,A439)</f>
        <v>-1.25432361603546</v>
      </c>
      <c r="X439" s="0" t="n">
        <f aca="false">20*LOG(C439*J439*O439*Q439*F439*M439*S439*U439)</f>
        <v>-13.0559175880105</v>
      </c>
      <c r="Y439" s="0" t="n">
        <f aca="false">(180/Pi)*(D439+H439+N439+P439+R439+T439+V439)</f>
        <v>-251.480116963316</v>
      </c>
      <c r="Z439" s="0" t="n">
        <f aca="false">Y439+180</f>
        <v>-71.480116963316</v>
      </c>
      <c r="AC439" s="0" t="n">
        <v>1</v>
      </c>
      <c r="AD439" s="0" t="n">
        <f aca="false">Rcea1_u*Cc1ea_u*A439*2*Pi</f>
        <v>27.4826525022</v>
      </c>
      <c r="AE439" s="0" t="n">
        <f aca="false">-Rcea1_u*Cc1ea_u*Cc2ea_u*(A439*2*Pi)^2</f>
        <v>-0.0291395134474028</v>
      </c>
      <c r="AF439" s="0" t="n">
        <f aca="false">(Cc2ea_u+Cc1ea_u)*A439*2*Pi</f>
        <v>0.009542587674375</v>
      </c>
      <c r="AG439" s="0" t="n">
        <f aca="false">AC439*AE439/(AE439^2+AF439^2)+AD439*AF439/(AE439^2+AF439^2)</f>
        <v>247.950430526142</v>
      </c>
      <c r="AH439" s="0" t="n">
        <f aca="false">AD439*AE439/(AE439^2+AF439^2)-AC439*AF439/(AE439^2+AF439^2)</f>
        <v>-861.941769389561</v>
      </c>
      <c r="AJ439" s="0" t="n">
        <f aca="false">_Rfb1</f>
        <v>20000</v>
      </c>
      <c r="AK439" s="0" t="n">
        <f aca="false">_Rfb1*Rcea2_u*Cc3ea_u*A439*2*Pi</f>
        <v>1667054.723796</v>
      </c>
      <c r="AL439" s="0" t="n">
        <v>1</v>
      </c>
      <c r="AM439" s="0" t="n">
        <f aca="false">(_Rfb1+Rcea2_u)*Cc3ea_u*A439*2*Pi</f>
        <v>31185.1199711898</v>
      </c>
      <c r="AN439" s="0" t="n">
        <f aca="false">AJ439*AL439/(AL439^2+AM439^2)+AK439*AM439/(AL439^2+AM439^2)</f>
        <v>53.4567564579977</v>
      </c>
      <c r="AO439" s="0" t="n">
        <f aca="false">AK439*AL439/(AL439^2+AM439^2)-AJ439*AM439/(AL439^2+AM439^2)</f>
        <v>-0.63961733230366</v>
      </c>
      <c r="AQ439" s="0" t="n">
        <f aca="false">Eadcg/(1+(Eadcg*A439/GBP)^2)</f>
        <v>0.0089956873883057</v>
      </c>
      <c r="AR439" s="0" t="n">
        <f aca="false">-(A439*Eadcg*Eadcg/GBP)/(1+(Eadcg*A439/GBP)^2)</f>
        <v>-5.33331816034174</v>
      </c>
      <c r="AT439" s="0" t="n">
        <f aca="false">-AR439*AH439+AG439*AQ439</f>
        <v>-4594.77920728163</v>
      </c>
      <c r="AU439" s="0" t="n">
        <f aca="false">AQ439*AH439+AG439*AR439</f>
        <v>-1330.15229269398</v>
      </c>
      <c r="AV439" s="0" t="n">
        <f aca="false">ATAN2(AT439,AU439)</f>
        <v>-2.85980379225395</v>
      </c>
      <c r="AW439" s="0" t="n">
        <f aca="false">AG439-AH439*AO439/_Rfb2+AG439*AN439/_Rfb2+AN439-AO439*AR439+AQ439*AN439</f>
        <v>304.193275317403</v>
      </c>
      <c r="AX439" s="0" t="n">
        <f aca="false">AH439+AH439*AN439/_Rfb2+AG439*AO439/_Rfb2+AO439+AO439*AQ439+AN439*AR439</f>
        <v>-1168.49487261791</v>
      </c>
      <c r="AY439" s="0" t="n">
        <f aca="false">ATAN2(AW439,AX439)</f>
        <v>-1.31611998593119</v>
      </c>
      <c r="BA439" s="0" t="n">
        <f aca="false">SQRT(AT439^2+AU439^2)/SQRT(AW439^2+AX439^2)</f>
        <v>3.96163474654476</v>
      </c>
      <c r="BB439" s="0" t="n">
        <f aca="false">20*LOG(BA439)</f>
        <v>11.9574886422614</v>
      </c>
      <c r="BC439" s="0" t="n">
        <f aca="false">AV439-AY439</f>
        <v>-1.54368380632276</v>
      </c>
      <c r="BD439" s="0" t="n">
        <f aca="false">BC439*180/Pi-180</f>
        <v>-268.446567106049</v>
      </c>
      <c r="BF439" s="0" t="n">
        <f aca="false">20*LOG(BA439*J439*F439*C439)</f>
        <v>-25.5926001106271</v>
      </c>
      <c r="BG439" s="0" t="n">
        <f aca="false">(180/Pi)*(D439+H439+BC439)</f>
        <v>-266.660875126271</v>
      </c>
      <c r="BH439" s="0" t="n">
        <f aca="false">IF(BG439&gt;180,BG439-180,BG439+180)</f>
        <v>-86.6608751262714</v>
      </c>
      <c r="BI439" s="0" t="n">
        <f aca="false">IF(BH439&gt;180,BH439-360,BH439)</f>
        <v>-86.6608751262714</v>
      </c>
      <c r="BJ439" s="0" t="n">
        <f aca="false">SUM((BF440&lt;0)*(BF439&gt;0))*A439</f>
        <v>0</v>
      </c>
      <c r="BK439" s="0" t="n">
        <f aca="false">IF(BJ439&gt;0,BI439,0)</f>
        <v>0</v>
      </c>
      <c r="BM439" s="0" t="n">
        <f aca="false">20*LOG(J439*F439*C439)</f>
        <v>-37.5500887528885</v>
      </c>
      <c r="BN439" s="0" t="n">
        <f aca="false">(H439+D439)*180/Pi</f>
        <v>-178.214308020222</v>
      </c>
      <c r="BQ439" s="347" t="n">
        <f aca="false">20*LOG(BA439*7)</f>
        <v>28.8594494425466</v>
      </c>
    </row>
    <row r="440" customFormat="false" ht="12.75" hidden="false" customHeight="false" outlineLevel="0" collapsed="false">
      <c r="A440" s="0" t="n">
        <f aca="false">A439+5000</f>
        <v>1130000</v>
      </c>
      <c r="B440" s="0" t="n">
        <f aca="false">A440/1000</f>
        <v>1130</v>
      </c>
      <c r="C440" s="0" t="n">
        <f aca="false">SQRT((A440/Fesr)^2+1)</f>
        <v>1.00002520467802</v>
      </c>
      <c r="D440" s="0" t="n">
        <f aca="false">ATAN(A440/Fesr)</f>
        <v>0.00709988008897246</v>
      </c>
      <c r="F440" s="0" t="n">
        <f aca="false">(Ro/(Ro+Rdcr))/SQRT((A440/(Q*Fo))^2+(1-(A440^2/Fo^2))^2)</f>
        <v>0.00146011070062431</v>
      </c>
      <c r="G440" s="0" t="n">
        <f aca="false">-ATAN(A440*Fo/(Q*(Fo^2-A440^2)))</f>
        <v>0.023990838107231</v>
      </c>
      <c r="H440" s="0" t="n">
        <f aca="false">IF(G440&gt;0,G440-Pi,G440)</f>
        <v>-3.11760181189277</v>
      </c>
      <c r="J440" s="0" t="n">
        <f aca="false">Vin/Vramp</f>
        <v>9</v>
      </c>
      <c r="M440" s="0" t="n">
        <f aca="false">1/(2*Pi*_Rfb1*(Cc1ea_u+Cc2ea_u)*A440)</f>
        <v>0.00521648453863508</v>
      </c>
      <c r="N440" s="0" t="n">
        <f aca="false">-Pi/2</f>
        <v>-1.570796325</v>
      </c>
      <c r="O440" s="0" t="n">
        <f aca="false">SQRT(1+(A440/Fz1_u)^2)</f>
        <v>27.622904479541</v>
      </c>
      <c r="P440" s="0" t="n">
        <f aca="false">ATAN2(Fz1_u,A440)</f>
        <v>1.53458657345251</v>
      </c>
      <c r="Q440" s="0" t="n">
        <f aca="false">SQRT(1+(A440/Fz2_u)^2)</f>
        <v>31323.7205203574</v>
      </c>
      <c r="R440" s="0" t="n">
        <f aca="false">ATAN2(Fz2_u,A440)</f>
        <v>1.57076440210704</v>
      </c>
      <c r="S440" s="0" t="n">
        <f aca="false">1/SQRT(1+(A440/Fp1_u)^2)</f>
        <v>0.0119432697586861</v>
      </c>
      <c r="T440" s="0" t="n">
        <f aca="false">-ATAN2(Fp1_u,A440)</f>
        <v>-1.55885277308328</v>
      </c>
      <c r="U440" s="0" t="n">
        <f aca="false">1/SQRT(1+(A440/Fp2_u)^2)</f>
        <v>0.309971896645949</v>
      </c>
      <c r="V440" s="0" t="n">
        <f aca="false">-ATAN2(Fp2_u,A440)</f>
        <v>-1.25563285377148</v>
      </c>
      <c r="X440" s="0" t="n">
        <f aca="false">20*LOG(C440*J440*O440*Q440*F440*M440*S440*U440)</f>
        <v>-13.1678918363536</v>
      </c>
      <c r="Y440" s="0" t="n">
        <f aca="false">(180/Pi)*(D440+H440+N440+P440+R440+T440+V440)</f>
        <v>-251.553276156863</v>
      </c>
      <c r="Z440" s="0" t="n">
        <f aca="false">Y440+180</f>
        <v>-71.553276156863</v>
      </c>
      <c r="AC440" s="0" t="n">
        <v>1</v>
      </c>
      <c r="AD440" s="0" t="n">
        <f aca="false">Rcea1_u*Cc1ea_u*A440*2*Pi</f>
        <v>27.604797624432</v>
      </c>
      <c r="AE440" s="0" t="n">
        <f aca="false">-Rcea1_u*Cc1ea_u*Cc2ea_u*(A440*2*Pi)^2</f>
        <v>-0.0293991069400404</v>
      </c>
      <c r="AF440" s="0" t="n">
        <f aca="false">(Cc2ea_u+Cc1ea_u)*A440*2*Pi</f>
        <v>0.00958499917515</v>
      </c>
      <c r="AG440" s="0" t="n">
        <f aca="false">AC440*AE440/(AE440^2+AF440^2)+AD440*AF440/(AE440^2+AF440^2)</f>
        <v>245.971396378334</v>
      </c>
      <c r="AH440" s="0" t="n">
        <f aca="false">AD440*AE440/(AE440^2+AF440^2)-AC440*AF440/(AE440^2+AF440^2)</f>
        <v>-858.773092819686</v>
      </c>
      <c r="AJ440" s="0" t="n">
        <f aca="false">_Rfb1</f>
        <v>20000</v>
      </c>
      <c r="AK440" s="0" t="n">
        <f aca="false">_Rfb1*Rcea2_u*Cc3ea_u*A440*2*Pi</f>
        <v>1674463.85590176</v>
      </c>
      <c r="AL440" s="0" t="n">
        <v>1</v>
      </c>
      <c r="AM440" s="0" t="n">
        <f aca="false">(_Rfb1+Rcea2_u)*Cc3ea_u*A440*2*Pi</f>
        <v>31323.7205043951</v>
      </c>
      <c r="AN440" s="0" t="n">
        <f aca="false">AJ440*AL440/(AL440^2+AM440^2)+AK440*AM440/(AL440^2+AM440^2)</f>
        <v>53.4567562768918</v>
      </c>
      <c r="AO440" s="0" t="n">
        <f aca="false">AK440*AL440/(AL440^2+AM440^2)-AJ440*AM440/(AL440^2+AM440^2)</f>
        <v>-0.636787167122257</v>
      </c>
      <c r="AQ440" s="0" t="n">
        <f aca="false">Eadcg/(1+(Eadcg*A440/GBP)^2)</f>
        <v>0.00891625588286322</v>
      </c>
      <c r="AR440" s="0" t="n">
        <f aca="false">-(A440*Eadcg*Eadcg/GBP)/(1+(Eadcg*A440/GBP)^2)</f>
        <v>-5.30971954080388</v>
      </c>
      <c r="AT440" s="0" t="n">
        <f aca="false">-AR440*AH440+AG440*AQ440</f>
        <v>-4557.6511281513</v>
      </c>
      <c r="AU440" s="0" t="n">
        <f aca="false">AQ440*AH440+AG440*AR440</f>
        <v>-1313.69617046976</v>
      </c>
      <c r="AV440" s="0" t="n">
        <f aca="false">ATAN2(AT440,AU440)</f>
        <v>-2.86095970256074</v>
      </c>
      <c r="AW440" s="0" t="n">
        <f aca="false">AG440-AH440*AO440/_Rfb2+AG440*AN440/_Rfb2+AN440-AO440*AR440+AQ440*AN440</f>
        <v>302.194515294294</v>
      </c>
      <c r="AX440" s="0" t="n">
        <f aca="false">AH440+AH440*AN440/_Rfb2+AG440*AO440/_Rfb2+AO440+AO440*AQ440+AN440*AR440</f>
        <v>-1163.98467604245</v>
      </c>
      <c r="AY440" s="0" t="n">
        <f aca="false">ATAN2(AW440,AX440)</f>
        <v>-1.31678358480253</v>
      </c>
      <c r="BA440" s="0" t="n">
        <f aca="false">SQRT(AT440^2+AU440^2)/SQRT(AW440^2+AX440^2)</f>
        <v>3.9442126668794</v>
      </c>
      <c r="BB440" s="0" t="n">
        <f aca="false">20*LOG(BA440)</f>
        <v>11.9192064700194</v>
      </c>
      <c r="BC440" s="0" t="n">
        <f aca="false">AV440-AY440</f>
        <v>-1.54417611775821</v>
      </c>
      <c r="BD440" s="0" t="n">
        <f aca="false">BC440*180/Pi-180</f>
        <v>-268.474774473539</v>
      </c>
      <c r="BF440" s="0" t="n">
        <f aca="false">20*LOG(BA440*J440*F440*C440)</f>
        <v>-25.7080087436547</v>
      </c>
      <c r="BG440" s="0" t="n">
        <f aca="false">(180/Pi)*(D440+H440+BC440)</f>
        <v>-266.69340753683</v>
      </c>
      <c r="BH440" s="0" t="n">
        <f aca="false">IF(BG440&gt;180,BG440-180,BG440+180)</f>
        <v>-86.6934075368304</v>
      </c>
      <c r="BI440" s="0" t="n">
        <f aca="false">IF(BH440&gt;180,BH440-360,BH440)</f>
        <v>-86.6934075368304</v>
      </c>
      <c r="BJ440" s="0" t="n">
        <f aca="false">SUM((BF441&lt;0)*(BF440&gt;0))*A440</f>
        <v>0</v>
      </c>
      <c r="BK440" s="0" t="n">
        <f aca="false">IF(BJ440&gt;0,BI440,0)</f>
        <v>0</v>
      </c>
      <c r="BM440" s="0" t="n">
        <f aca="false">20*LOG(J440*F440*C440)</f>
        <v>-37.6272152136741</v>
      </c>
      <c r="BN440" s="0" t="n">
        <f aca="false">(H440+D440)*180/Pi</f>
        <v>-178.218633063291</v>
      </c>
      <c r="BQ440" s="347" t="n">
        <f aca="false">20*LOG(BA440*7)</f>
        <v>28.8211672703045</v>
      </c>
    </row>
    <row r="441" customFormat="false" ht="12.75" hidden="false" customHeight="false" outlineLevel="0" collapsed="false">
      <c r="A441" s="0" t="n">
        <f aca="false">A440+5000</f>
        <v>1135000</v>
      </c>
      <c r="B441" s="0" t="n">
        <f aca="false">A441/1000</f>
        <v>1135</v>
      </c>
      <c r="C441" s="0" t="n">
        <f aca="false">SQRT((A441/Fesr)^2+1)</f>
        <v>1.0000254282189</v>
      </c>
      <c r="D441" s="0" t="n">
        <f aca="false">ATAN(A441/Fesr)</f>
        <v>0.00713129442485866</v>
      </c>
      <c r="F441" s="0" t="n">
        <f aca="false">(Ro/(Ro+Rdcr))/SQRT((A441/(Q*Fo))^2+(1-(A441^2/Fo^2))^2)</f>
        <v>0.00144725957139292</v>
      </c>
      <c r="G441" s="0" t="n">
        <f aca="false">-ATAN(A441*Fo/(Q*(Fo^2-A441^2)))</f>
        <v>0.0238848829658946</v>
      </c>
      <c r="H441" s="0" t="n">
        <f aca="false">IF(G441&gt;0,G441-Pi,G441)</f>
        <v>-3.11770776703411</v>
      </c>
      <c r="J441" s="0" t="n">
        <f aca="false">Vin/Vramp</f>
        <v>9</v>
      </c>
      <c r="M441" s="0" t="n">
        <f aca="false">1/(2*Pi*_Rfb1*(Cc1ea_u+Cc2ea_u)*A441)</f>
        <v>0.00519350443053537</v>
      </c>
      <c r="N441" s="0" t="n">
        <f aca="false">-Pi/2</f>
        <v>-1.570796325</v>
      </c>
      <c r="O441" s="0" t="n">
        <f aca="false">SQRT(1+(A441/Fz1_u)^2)</f>
        <v>27.7449698878334</v>
      </c>
      <c r="P441" s="0" t="n">
        <f aca="false">ATAN2(Fz1_u,A441)</f>
        <v>1.53474594930869</v>
      </c>
      <c r="Q441" s="0" t="n">
        <f aca="false">SQRT(1+(A441/Fz2_u)^2)</f>
        <v>31462.3210534924</v>
      </c>
      <c r="R441" s="0" t="n">
        <f aca="false">ATAN2(Fz2_u,A441)</f>
        <v>1.57076454274443</v>
      </c>
      <c r="S441" s="0" t="n">
        <f aca="false">1/SQRT(1+(A441/Fp1_u)^2)</f>
        <v>0.0118906636908902</v>
      </c>
      <c r="T441" s="0" t="n">
        <f aca="false">-ATAN2(Fp1_u,A441)</f>
        <v>-1.55890538288688</v>
      </c>
      <c r="U441" s="0" t="n">
        <f aca="false">1/SQRT(1+(A441/Fp2_u)^2)</f>
        <v>0.308736800804607</v>
      </c>
      <c r="V441" s="0" t="n">
        <f aca="false">-ATAN2(Fp2_u,A441)</f>
        <v>-1.25693166029522</v>
      </c>
      <c r="X441" s="0" t="n">
        <f aca="false">20*LOG(C441*J441*O441*Q441*F441*M441*S441*U441)</f>
        <v>-13.2793999739262</v>
      </c>
      <c r="Y441" s="0" t="n">
        <f aca="false">(180/Pi)*(D441+H441+N441+P441+R441+T441+V441)</f>
        <v>-251.625837860577</v>
      </c>
      <c r="Z441" s="0" t="n">
        <f aca="false">Y441+180</f>
        <v>-71.6258378605771</v>
      </c>
      <c r="AC441" s="0" t="n">
        <v>1</v>
      </c>
      <c r="AD441" s="0" t="n">
        <f aca="false">Rcea1_u*Cc1ea_u*A441*2*Pi</f>
        <v>27.726942746664</v>
      </c>
      <c r="AE441" s="0" t="n">
        <f aca="false">-Rcea1_u*Cc1ea_u*Cc2ea_u*(A441*2*Pi)^2</f>
        <v>-0.0296598516233327</v>
      </c>
      <c r="AF441" s="0" t="n">
        <f aca="false">(Cc2ea_u+Cc1ea_u)*A441*2*Pi</f>
        <v>0.009627410675925</v>
      </c>
      <c r="AG441" s="0" t="n">
        <f aca="false">AC441*AE441/(AE441^2+AF441^2)+AD441*AF441/(AE441^2+AF441^2)</f>
        <v>244.015135157924</v>
      </c>
      <c r="AH441" s="0" t="n">
        <f aca="false">AD441*AE441/(AE441^2+AF441^2)-AC441*AF441/(AE441^2+AF441^2)</f>
        <v>-855.624942148844</v>
      </c>
      <c r="AJ441" s="0" t="n">
        <f aca="false">_Rfb1</f>
        <v>20000</v>
      </c>
      <c r="AK441" s="0" t="n">
        <f aca="false">_Rfb1*Rcea2_u*Cc3ea_u*A441*2*Pi</f>
        <v>1681872.98800752</v>
      </c>
      <c r="AL441" s="0" t="n">
        <v>1</v>
      </c>
      <c r="AM441" s="0" t="n">
        <f aca="false">(_Rfb1+Rcea2_u)*Cc3ea_u*A441*2*Pi</f>
        <v>31462.3210376004</v>
      </c>
      <c r="AN441" s="0" t="n">
        <f aca="false">AJ441*AL441/(AL441^2+AM441^2)+AK441*AM441/(AL441^2+AM441^2)</f>
        <v>53.4567560981742</v>
      </c>
      <c r="AO441" s="0" t="n">
        <f aca="false">AK441*AL441/(AL441^2+AM441^2)-AJ441*AM441/(AL441^2+AM441^2)</f>
        <v>-0.633981937316826</v>
      </c>
      <c r="AQ441" s="0" t="n">
        <f aca="false">Eadcg/(1+(Eadcg*A441/GBP)^2)</f>
        <v>0.00883787181514119</v>
      </c>
      <c r="AR441" s="0" t="n">
        <f aca="false">-(A441*Eadcg*Eadcg/GBP)/(1+(Eadcg*A441/GBP)^2)</f>
        <v>-5.28632883686762</v>
      </c>
      <c r="AT441" s="0" t="n">
        <f aca="false">-AR441*AH441+AG441*AQ441</f>
        <v>-4520.95823073914</v>
      </c>
      <c r="AU441" s="0" t="n">
        <f aca="false">AQ441*AH441+AG441*AR441</f>
        <v>-1297.50614917803</v>
      </c>
      <c r="AV441" s="0" t="n">
        <f aca="false">ATAN2(AT441,AU441)</f>
        <v>-2.86210653070941</v>
      </c>
      <c r="AW441" s="0" t="n">
        <f aca="false">AG441-AH441*AO441/_Rfb2+AG441*AN441/_Rfb2+AN441-AO441*AR441+AQ441*AN441</f>
        <v>300.218711279538</v>
      </c>
      <c r="AX441" s="0" t="n">
        <f aca="false">AH441+AH441*AN441/_Rfb2+AG441*AO441/_Rfb2+AO441+AO441*AQ441+AN441*AR441</f>
        <v>-1159.50665418887</v>
      </c>
      <c r="AY441" s="0" t="n">
        <f aca="false">ATAN2(AW441,AX441)</f>
        <v>-1.31744075637823</v>
      </c>
      <c r="BA441" s="0" t="n">
        <f aca="false">SQRT(AT441^2+AU441^2)/SQRT(AW441^2+AX441^2)</f>
        <v>3.9269421423226</v>
      </c>
      <c r="BB441" s="0" t="n">
        <f aca="false">20*LOG(BA441)</f>
        <v>11.8810900526295</v>
      </c>
      <c r="BC441" s="0" t="n">
        <f aca="false">AV441-AY441</f>
        <v>-1.54466577433118</v>
      </c>
      <c r="BD441" s="0" t="n">
        <f aca="false">BC441*180/Pi-180</f>
        <v>-268.502829728613</v>
      </c>
      <c r="BF441" s="0" t="n">
        <f aca="false">20*LOG(BA441*J441*F441*C441)</f>
        <v>-25.8229102859408</v>
      </c>
      <c r="BG441" s="0" t="n">
        <f aca="false">(180/Pi)*(D441+H441+BC441)</f>
        <v>-266.725733665463</v>
      </c>
      <c r="BH441" s="0" t="n">
        <f aca="false">IF(BG441&gt;180,BG441-180,BG441+180)</f>
        <v>-86.7257336654631</v>
      </c>
      <c r="BI441" s="0" t="n">
        <f aca="false">IF(BH441&gt;180,BH441-360,BH441)</f>
        <v>-86.7257336654631</v>
      </c>
      <c r="BJ441" s="0" t="n">
        <f aca="false">SUM((BF442&lt;0)*(BF441&gt;0))*A441</f>
        <v>0</v>
      </c>
      <c r="BK441" s="0" t="n">
        <f aca="false">IF(BJ441&gt;0,BI441,0)</f>
        <v>0</v>
      </c>
      <c r="BM441" s="0" t="n">
        <f aca="false">20*LOG(J441*F441*C441)</f>
        <v>-37.7040003385702</v>
      </c>
      <c r="BN441" s="0" t="n">
        <f aca="false">(H441+D441)*180/Pi</f>
        <v>-178.22290393685</v>
      </c>
      <c r="BQ441" s="347" t="n">
        <f aca="false">20*LOG(BA441*7)</f>
        <v>28.7830508529146</v>
      </c>
    </row>
    <row r="442" customFormat="false" ht="12.75" hidden="false" customHeight="false" outlineLevel="0" collapsed="false">
      <c r="A442" s="0" t="n">
        <f aca="false">A441+5000</f>
        <v>1140000</v>
      </c>
      <c r="B442" s="0" t="n">
        <f aca="false">A442/1000</f>
        <v>1140</v>
      </c>
      <c r="C442" s="0" t="n">
        <f aca="false">SQRT((A442/Fesr)^2+1)</f>
        <v>1.00002565274667</v>
      </c>
      <c r="D442" s="0" t="n">
        <f aca="false">ATAN(A442/Fesr)</f>
        <v>0.00716270874666945</v>
      </c>
      <c r="F442" s="0" t="n">
        <f aca="false">(Ro/(Ro+Rdcr))/SQRT((A442/(Q*Fo))^2+(1-(A442^2/Fo^2))^2)</f>
        <v>0.0014345774268829</v>
      </c>
      <c r="G442" s="0" t="n">
        <f aca="false">-ATAN(A442*Fo/(Q*(Fo^2-A442^2)))</f>
        <v>0.0237798607719861</v>
      </c>
      <c r="H442" s="0" t="n">
        <f aca="false">IF(G442&gt;0,G442-Pi,G442)</f>
        <v>-3.11781278922801</v>
      </c>
      <c r="J442" s="0" t="n">
        <f aca="false">Vin/Vramp</f>
        <v>9</v>
      </c>
      <c r="M442" s="0" t="n">
        <f aca="false">1/(2*Pi*_Rfb1*(Cc1ea_u+Cc2ea_u)*A442)</f>
        <v>0.00517072590233127</v>
      </c>
      <c r="N442" s="0" t="n">
        <f aca="false">-Pi/2</f>
        <v>-1.570796325</v>
      </c>
      <c r="O442" s="0" t="n">
        <f aca="false">SQRT(1+(A442/Fz1_u)^2)</f>
        <v>27.8670359946926</v>
      </c>
      <c r="P442" s="0" t="n">
        <f aca="false">ATAN2(Fz1_u,A442)</f>
        <v>1.53490392893926</v>
      </c>
      <c r="Q442" s="0" t="n">
        <f aca="false">SQRT(1+(A442/Fz2_u)^2)</f>
        <v>31600.921586628</v>
      </c>
      <c r="R442" s="0" t="n">
        <f aca="false">ATAN2(Fz2_u,A442)</f>
        <v>1.57076468214816</v>
      </c>
      <c r="S442" s="0" t="n">
        <f aca="false">1/SQRT(1+(A442/Fp1_u)^2)</f>
        <v>0.0118385189823906</v>
      </c>
      <c r="T442" s="0" t="n">
        <f aca="false">-ATAN2(Fp1_u,A442)</f>
        <v>-1.55895753126594</v>
      </c>
      <c r="U442" s="0" t="n">
        <f aca="false">1/SQRT(1+(A442/Fp2_u)^2)</f>
        <v>0.307510995902225</v>
      </c>
      <c r="V442" s="0" t="n">
        <f aca="false">-ATAN2(Fp2_u,A442)</f>
        <v>-1.25822015544638</v>
      </c>
      <c r="X442" s="0" t="n">
        <f aca="false">20*LOG(C442*J442*O442*Q442*F442*M442*S442*U442)</f>
        <v>-13.3904457769226</v>
      </c>
      <c r="Y442" s="0" t="n">
        <f aca="false">(180/Pi)*(D442+H442+N442+P442+R442+T442+V442)</f>
        <v>-251.697808943857</v>
      </c>
      <c r="Z442" s="0" t="n">
        <f aca="false">Y442+180</f>
        <v>-71.6978089438569</v>
      </c>
      <c r="AC442" s="0" t="n">
        <v>1</v>
      </c>
      <c r="AD442" s="0" t="n">
        <f aca="false">Rcea1_u*Cc1ea_u*A442*2*Pi</f>
        <v>27.849087868896</v>
      </c>
      <c r="AE442" s="0" t="n">
        <f aca="false">-Rcea1_u*Cc1ea_u*Cc2ea_u*(A442*2*Pi)^2</f>
        <v>-0.0299217474972797</v>
      </c>
      <c r="AF442" s="0" t="n">
        <f aca="false">(Cc2ea_u+Cc1ea_u)*A442*2*Pi</f>
        <v>0.0096698221767</v>
      </c>
      <c r="AG442" s="0" t="n">
        <f aca="false">AC442*AE442/(AE442^2+AF442^2)+AD442*AF442/(AE442^2+AF442^2)</f>
        <v>242.081312257992</v>
      </c>
      <c r="AH442" s="0" t="n">
        <f aca="false">AD442*AE442/(AE442^2+AF442^2)-AC442*AF442/(AE442^2+AF442^2)</f>
        <v>-852.497155434456</v>
      </c>
      <c r="AJ442" s="0" t="n">
        <f aca="false">_Rfb1</f>
        <v>20000</v>
      </c>
      <c r="AK442" s="0" t="n">
        <f aca="false">_Rfb1*Rcea2_u*Cc3ea_u*A442*2*Pi</f>
        <v>1689282.12011328</v>
      </c>
      <c r="AL442" s="0" t="n">
        <v>1</v>
      </c>
      <c r="AM442" s="0" t="n">
        <f aca="false">(_Rfb1+Rcea2_u)*Cc3ea_u*A442*2*Pi</f>
        <v>31600.9215708057</v>
      </c>
      <c r="AN442" s="0" t="n">
        <f aca="false">AJ442*AL442/(AL442^2+AM442^2)+AK442*AM442/(AL442^2+AM442^2)</f>
        <v>53.4567559218029</v>
      </c>
      <c r="AO442" s="0" t="n">
        <f aca="false">AK442*AL442/(AL442^2+AM442^2)-AJ442*AM442/(AL442^2+AM442^2)</f>
        <v>-0.631201314790316</v>
      </c>
      <c r="AQ442" s="0" t="n">
        <f aca="false">Eadcg/(1+(Eadcg*A442/GBP)^2)</f>
        <v>0.00876051684948218</v>
      </c>
      <c r="AR442" s="0" t="n">
        <f aca="false">-(A442*Eadcg*Eadcg/GBP)/(1+(Eadcg*A442/GBP)^2)</f>
        <v>-5.2631433128319</v>
      </c>
      <c r="AT442" s="0" t="n">
        <f aca="false">-AR442*AH442+AG442*AQ442</f>
        <v>-4484.6939454181</v>
      </c>
      <c r="AU442" s="0" t="n">
        <f aca="false">AQ442*AH442+AG442*AR442</f>
        <v>-1281.57695546654</v>
      </c>
      <c r="AV442" s="0" t="n">
        <f aca="false">ATAN2(AT442,AU442)</f>
        <v>-2.86324437882111</v>
      </c>
      <c r="AW442" s="0" t="n">
        <f aca="false">AG442-AH442*AO442/_Rfb2+AG442*AN442/_Rfb2+AN442-AO442*AR442+AQ442*AN442</f>
        <v>298.265526945536</v>
      </c>
      <c r="AX442" s="0" t="n">
        <f aca="false">AH442+AH442*AN442/_Rfb2+AG442*AO442/_Rfb2+AO442+AO442*AQ442+AN442*AR442</f>
        <v>-1155.06049433663</v>
      </c>
      <c r="AY442" s="0" t="n">
        <f aca="false">ATAN2(AW442,AX442)</f>
        <v>-1.31809156845081</v>
      </c>
      <c r="BA442" s="0" t="n">
        <f aca="false">SQRT(AT442^2+AU442^2)/SQRT(AW442^2+AX442^2)</f>
        <v>3.90982120982795</v>
      </c>
      <c r="BB442" s="0" t="n">
        <f aca="false">20*LOG(BA442)</f>
        <v>11.8431379644878</v>
      </c>
      <c r="BC442" s="0" t="n">
        <f aca="false">AV442-AY442</f>
        <v>-1.5451528103703</v>
      </c>
      <c r="BD442" s="0" t="n">
        <f aca="false">BC442*180/Pi-180</f>
        <v>-268.530734838158</v>
      </c>
      <c r="BF442" s="0" t="n">
        <f aca="false">20*LOG(BA442*J442*F442*C442)</f>
        <v>-25.9373091743169</v>
      </c>
      <c r="BG442" s="0" t="n">
        <f aca="false">(180/Pi)*(D442+H442+BC442)</f>
        <v>-266.757856195423</v>
      </c>
      <c r="BH442" s="0" t="n">
        <f aca="false">IF(BG442&gt;180,BG442-180,BG442+180)</f>
        <v>-86.7578561954227</v>
      </c>
      <c r="BI442" s="0" t="n">
        <f aca="false">IF(BH442&gt;180,BH442-360,BH442)</f>
        <v>-86.7578561954227</v>
      </c>
      <c r="BJ442" s="0" t="n">
        <f aca="false">SUM((BF443&lt;0)*(BF442&gt;0))*A442</f>
        <v>0</v>
      </c>
      <c r="BK442" s="0" t="n">
        <f aca="false">IF(BJ442&gt;0,BI442,0)</f>
        <v>0</v>
      </c>
      <c r="BM442" s="0" t="n">
        <f aca="false">20*LOG(J442*F442*C442)</f>
        <v>-37.7804471388047</v>
      </c>
      <c r="BN442" s="0" t="n">
        <f aca="false">(H442+D442)*180/Pi</f>
        <v>-178.227121357265</v>
      </c>
      <c r="BQ442" s="347" t="n">
        <f aca="false">20*LOG(BA442*7)</f>
        <v>28.745098764773</v>
      </c>
    </row>
    <row r="443" customFormat="false" ht="12.75" hidden="false" customHeight="false" outlineLevel="0" collapsed="false">
      <c r="A443" s="0" t="n">
        <f aca="false">A442+5000</f>
        <v>1145000</v>
      </c>
      <c r="B443" s="0" t="n">
        <f aca="false">A443/1000</f>
        <v>1145</v>
      </c>
      <c r="C443" s="0" t="n">
        <f aca="false">SQRT((A443/Fesr)^2+1)</f>
        <v>1.00002587826132</v>
      </c>
      <c r="D443" s="0" t="n">
        <f aca="false">ATAN(A443/Fesr)</f>
        <v>0.00719412305434282</v>
      </c>
      <c r="F443" s="0" t="n">
        <f aca="false">(Ro/(Ro+Rdcr))/SQRT((A443/(Q*Fo))^2+(1-(A443^2/Fo^2))^2)</f>
        <v>0.00142206131617369</v>
      </c>
      <c r="G443" s="0" t="n">
        <f aca="false">-ATAN(A443*Fo/(Q*(Fo^2-A443^2)))</f>
        <v>0.0236757592423598</v>
      </c>
      <c r="H443" s="0" t="n">
        <f aca="false">IF(G443&gt;0,G443-Pi,G443)</f>
        <v>-3.11791689075764</v>
      </c>
      <c r="J443" s="0" t="n">
        <f aca="false">Vin/Vramp</f>
        <v>9</v>
      </c>
      <c r="M443" s="0" t="n">
        <f aca="false">1/(2*Pi*_Rfb1*(Cc1ea_u+Cc2ea_u)*A443)</f>
        <v>0.00514814631323812</v>
      </c>
      <c r="N443" s="0" t="n">
        <f aca="false">-Pi/2</f>
        <v>-1.570796325</v>
      </c>
      <c r="O443" s="0" t="n">
        <f aca="false">SQRT(1+(A443/Fz1_u)^2)</f>
        <v>27.9891027909786</v>
      </c>
      <c r="P443" s="0" t="n">
        <f aca="false">ATAN2(Fz1_u,A443)</f>
        <v>1.53506053060404</v>
      </c>
      <c r="Q443" s="0" t="n">
        <f aca="false">SQRT(1+(A443/Fz2_u)^2)</f>
        <v>31739.5221197642</v>
      </c>
      <c r="R443" s="0" t="n">
        <f aca="false">ATAN2(Fz2_u,A443)</f>
        <v>1.57076482033439</v>
      </c>
      <c r="S443" s="0" t="n">
        <f aca="false">1/SQRT(1+(A443/Fp1_u)^2)</f>
        <v>0.0117868295908697</v>
      </c>
      <c r="T443" s="0" t="n">
        <f aca="false">-ATAN2(Fp1_u,A443)</f>
        <v>-1.5590092242642</v>
      </c>
      <c r="U443" s="0" t="n">
        <f aca="false">1/SQRT(1+(A443/Fp2_u)^2)</f>
        <v>0.306294383849457</v>
      </c>
      <c r="V443" s="0" t="n">
        <f aca="false">-ATAN2(Fp2_u,A443)</f>
        <v>-1.25949845730631</v>
      </c>
      <c r="X443" s="0" t="n">
        <f aca="false">20*LOG(C443*J443*O443*Q443*F443*M443*S443*U443)</f>
        <v>-13.5010329766109</v>
      </c>
      <c r="Y443" s="0" t="n">
        <f aca="false">(180/Pi)*(D443+H443+N443+P443+R443+T443+V443)</f>
        <v>-251.769196175185</v>
      </c>
      <c r="Z443" s="0" t="n">
        <f aca="false">Y443+180</f>
        <v>-71.7691961751848</v>
      </c>
      <c r="AC443" s="0" t="n">
        <v>1</v>
      </c>
      <c r="AD443" s="0" t="n">
        <f aca="false">Rcea1_u*Cc1ea_u*A443*2*Pi</f>
        <v>27.971232991128</v>
      </c>
      <c r="AE443" s="0" t="n">
        <f aca="false">-Rcea1_u*Cc1ea_u*Cc2ea_u*(A443*2*Pi)^2</f>
        <v>-0.0301847945618815</v>
      </c>
      <c r="AF443" s="0" t="n">
        <f aca="false">(Cc2ea_u+Cc1ea_u)*A443*2*Pi</f>
        <v>0.009712233677475</v>
      </c>
      <c r="AG443" s="0" t="n">
        <f aca="false">AC443*AE443/(AE443^2+AF443^2)+AD443*AF443/(AE443^2+AF443^2)</f>
        <v>240.169598918959</v>
      </c>
      <c r="AH443" s="0" t="n">
        <f aca="false">AD443*AE443/(AE443^2+AF443^2)-AC443*AF443/(AE443^2+AF443^2)</f>
        <v>-849.389571681204</v>
      </c>
      <c r="AJ443" s="0" t="n">
        <f aca="false">_Rfb1</f>
        <v>20000</v>
      </c>
      <c r="AK443" s="0" t="n">
        <f aca="false">_Rfb1*Rcea2_u*Cc3ea_u*A443*2*Pi</f>
        <v>1696691.25221904</v>
      </c>
      <c r="AL443" s="0" t="n">
        <v>1</v>
      </c>
      <c r="AM443" s="0" t="n">
        <f aca="false">(_Rfb1+Rcea2_u)*Cc3ea_u*A443*2*Pi</f>
        <v>31739.5221040109</v>
      </c>
      <c r="AN443" s="0" t="n">
        <f aca="false">AJ443*AL443/(AL443^2+AM443^2)+AK443*AM443/(AL443^2+AM443^2)</f>
        <v>53.4567557477371</v>
      </c>
      <c r="AO443" s="0" t="n">
        <f aca="false">AK443*AL443/(AL443^2+AM443^2)-AJ443*AM443/(AL443^2+AM443^2)</f>
        <v>-0.628444977176629</v>
      </c>
      <c r="AQ443" s="0" t="n">
        <f aca="false">Eadcg/(1+(Eadcg*A443/GBP)^2)</f>
        <v>0.00868417304969241</v>
      </c>
      <c r="AR443" s="0" t="n">
        <f aca="false">-(A443*Eadcg*Eadcg/GBP)/(1+(Eadcg*A443/GBP)^2)</f>
        <v>-5.24016028078014</v>
      </c>
      <c r="AT443" s="0" t="n">
        <f aca="false">-AR443*AH443+AG443*AQ443</f>
        <v>-4448.85182207441</v>
      </c>
      <c r="AU443" s="0" t="n">
        <f aca="false">AQ443*AH443+AG443*AR443</f>
        <v>-1265.90343893311</v>
      </c>
      <c r="AV443" s="0" t="n">
        <f aca="false">ATAN2(AT443,AU443)</f>
        <v>-2.86437334756745</v>
      </c>
      <c r="AW443" s="0" t="n">
        <f aca="false">AG443-AH443*AO443/_Rfb2+AG443*AN443/_Rfb2+AN443-AO443*AR443+AQ443*AN443</f>
        <v>296.334631816082</v>
      </c>
      <c r="AX443" s="0" t="n">
        <f aca="false">AH443+AH443*AN443/_Rfb2+AG443*AO443/_Rfb2+AO443+AO443*AQ443+AN443*AR443</f>
        <v>-1150.64588730274</v>
      </c>
      <c r="AY443" s="0" t="n">
        <f aca="false">ATAN2(AW443,AX443)</f>
        <v>-1.31873608795126</v>
      </c>
      <c r="BA443" s="0" t="n">
        <f aca="false">SQRT(AT443^2+AU443^2)/SQRT(AW443^2+AX443^2)</f>
        <v>3.89284793997315</v>
      </c>
      <c r="BB443" s="0" t="n">
        <f aca="false">20*LOG(BA443)</f>
        <v>11.8053487981221</v>
      </c>
      <c r="BC443" s="0" t="n">
        <f aca="false">AV443-AY443</f>
        <v>-1.54563725961619</v>
      </c>
      <c r="BD443" s="0" t="n">
        <f aca="false">BC443*180/Pi-180</f>
        <v>-268.558491735367</v>
      </c>
      <c r="BF443" s="0" t="n">
        <f aca="false">20*LOG(BA443*J443*F443*C443)</f>
        <v>-26.0512097877648</v>
      </c>
      <c r="BG443" s="0" t="n">
        <f aca="false">(180/Pi)*(D443+H443+BC443)</f>
        <v>-266.789777763679</v>
      </c>
      <c r="BH443" s="0" t="n">
        <f aca="false">IF(BG443&gt;180,BG443-180,BG443+180)</f>
        <v>-86.7897777636791</v>
      </c>
      <c r="BI443" s="0" t="n">
        <f aca="false">IF(BH443&gt;180,BH443-360,BH443)</f>
        <v>-86.7897777636791</v>
      </c>
      <c r="BJ443" s="0" t="n">
        <f aca="false">SUM((BF444&lt;0)*(BF443&gt;0))*A443</f>
        <v>0</v>
      </c>
      <c r="BK443" s="0" t="n">
        <f aca="false">IF(BJ443&gt;0,BI443,0)</f>
        <v>0</v>
      </c>
      <c r="BM443" s="0" t="n">
        <f aca="false">20*LOG(J443*F443*C443)</f>
        <v>-37.8565585858868</v>
      </c>
      <c r="BN443" s="0" t="n">
        <f aca="false">(H443+D443)*180/Pi</f>
        <v>-178.231286028312</v>
      </c>
      <c r="BQ443" s="347" t="n">
        <f aca="false">20*LOG(BA443*7)</f>
        <v>28.7073095984072</v>
      </c>
    </row>
    <row r="444" customFormat="false" ht="12.75" hidden="false" customHeight="false" outlineLevel="0" collapsed="false">
      <c r="A444" s="0" t="n">
        <f aca="false">A443+5000</f>
        <v>1150000</v>
      </c>
      <c r="B444" s="0" t="n">
        <f aca="false">A444/1000</f>
        <v>1150</v>
      </c>
      <c r="C444" s="0" t="n">
        <f aca="false">SQRT((A444/Fesr)^2+1)</f>
        <v>1.00002610476285</v>
      </c>
      <c r="D444" s="0" t="n">
        <f aca="false">ATAN(A444/Fesr)</f>
        <v>0.00722553734781679</v>
      </c>
      <c r="F444" s="0" t="n">
        <f aca="false">(Ro/(Ro+Rdcr))/SQRT((A444/(Q*Fo))^2+(1-(A444^2/Fo^2))^2)</f>
        <v>0.00140970835250237</v>
      </c>
      <c r="G444" s="0" t="n">
        <f aca="false">-ATAN(A444*Fo/(Q*(Fo^2-A444^2)))</f>
        <v>0.0235725663088131</v>
      </c>
      <c r="H444" s="0" t="n">
        <f aca="false">IF(G444&gt;0,G444-Pi,G444)</f>
        <v>-3.11802008369119</v>
      </c>
      <c r="J444" s="0" t="n">
        <f aca="false">Vin/Vramp</f>
        <v>9</v>
      </c>
      <c r="M444" s="0" t="n">
        <f aca="false">1/(2*Pi*_Rfb1*(Cc1ea_u+Cc2ea_u)*A444)</f>
        <v>0.00512576306839795</v>
      </c>
      <c r="N444" s="0" t="n">
        <f aca="false">-Pi/2</f>
        <v>-1.570796325</v>
      </c>
      <c r="O444" s="0" t="n">
        <f aca="false">SQRT(1+(A444/Fz1_u)^2)</f>
        <v>28.1111702677106</v>
      </c>
      <c r="P444" s="0" t="n">
        <f aca="false">ATAN2(Fz1_u,A444)</f>
        <v>1.53521577224596</v>
      </c>
      <c r="Q444" s="0" t="n">
        <f aca="false">SQRT(1+(A444/Fz2_u)^2)</f>
        <v>31878.122652901</v>
      </c>
      <c r="R444" s="0" t="n">
        <f aca="false">ATAN2(Fz2_u,A444)</f>
        <v>1.570764957319</v>
      </c>
      <c r="S444" s="0" t="n">
        <f aca="false">1/SQRT(1+(A444/Fp1_u)^2)</f>
        <v>0.0117355895790571</v>
      </c>
      <c r="T444" s="0" t="n">
        <f aca="false">-ATAN2(Fp1_u,A444)</f>
        <v>-1.5590604678203</v>
      </c>
      <c r="U444" s="0" t="n">
        <f aca="false">1/SQRT(1+(A444/Fp2_u)^2)</f>
        <v>0.305086867824945</v>
      </c>
      <c r="V444" s="0" t="n">
        <f aca="false">-ATAN2(Fp2_u,A444)</f>
        <v>-1.26076668222871</v>
      </c>
      <c r="X444" s="0" t="n">
        <f aca="false">20*LOG(C444*J444*O444*Q444*F444*M444*S444*U444)</f>
        <v>-13.6111652600358</v>
      </c>
      <c r="Y444" s="0" t="n">
        <f aca="false">(180/Pi)*(D444+H444+N444+P444+R444+T444+V444)</f>
        <v>-251.840006223892</v>
      </c>
      <c r="Z444" s="0" t="n">
        <f aca="false">Y444+180</f>
        <v>-71.8400062238922</v>
      </c>
      <c r="AC444" s="0" t="n">
        <v>1</v>
      </c>
      <c r="AD444" s="0" t="n">
        <f aca="false">Rcea1_u*Cc1ea_u*A444*2*Pi</f>
        <v>28.09337811336</v>
      </c>
      <c r="AE444" s="0" t="n">
        <f aca="false">-Rcea1_u*Cc1ea_u*Cc2ea_u*(A444*2*Pi)^2</f>
        <v>-0.0304489928171379</v>
      </c>
      <c r="AF444" s="0" t="n">
        <f aca="false">(Cc2ea_u+Cc1ea_u)*A444*2*Pi</f>
        <v>0.00975464517825</v>
      </c>
      <c r="AG444" s="0" t="n">
        <f aca="false">AC444*AE444/(AE444^2+AF444^2)+AD444*AF444/(AE444^2+AF444^2)</f>
        <v>238.279672113243</v>
      </c>
      <c r="AH444" s="0" t="n">
        <f aca="false">AD444*AE444/(AE444^2+AF444^2)-AC444*AF444/(AE444^2+AF444^2)</f>
        <v>-846.302030857379</v>
      </c>
      <c r="AJ444" s="0" t="n">
        <f aca="false">_Rfb1</f>
        <v>20000</v>
      </c>
      <c r="AK444" s="0" t="n">
        <f aca="false">_Rfb1*Rcea2_u*Cc3ea_u*A444*2*Pi</f>
        <v>1704100.3843248</v>
      </c>
      <c r="AL444" s="0" t="n">
        <v>1</v>
      </c>
      <c r="AM444" s="0" t="n">
        <f aca="false">(_Rfb1+Rcea2_u)*Cc3ea_u*A444*2*Pi</f>
        <v>31878.1226372162</v>
      </c>
      <c r="AN444" s="0" t="n">
        <f aca="false">AJ444*AL444/(AL444^2+AM444^2)+AK444*AM444/(AL444^2+AM444^2)</f>
        <v>53.4567555759369</v>
      </c>
      <c r="AO444" s="0" t="n">
        <f aca="false">AK444*AL444/(AL444^2+AM444^2)-AJ444*AM444/(AL444^2+AM444^2)</f>
        <v>-0.625712607716033</v>
      </c>
      <c r="AQ444" s="0" t="n">
        <f aca="false">Eadcg/(1+(Eadcg*A444/GBP)^2)</f>
        <v>0.00860882286864369</v>
      </c>
      <c r="AR444" s="0" t="n">
        <f aca="false">-(A444*Eadcg*Eadcg/GBP)/(1+(Eadcg*A444/GBP)^2)</f>
        <v>-5.21737709954151</v>
      </c>
      <c r="AT444" s="0" t="n">
        <f aca="false">-AR444*AH444+AG444*AQ444</f>
        <v>-4413.42552760034</v>
      </c>
      <c r="AU444" s="0" t="n">
        <f aca="false">AQ444*AH444+AG444*AR444</f>
        <v>-1250.48056884692</v>
      </c>
      <c r="AV444" s="0" t="n">
        <f aca="false">ATAN2(AT444,AU444)</f>
        <v>-2.86549353619448</v>
      </c>
      <c r="AW444" s="0" t="n">
        <f aca="false">AG444-AH444*AO444/_Rfb2+AG444*AN444/_Rfb2+AN444-AO444*AR444+AQ444*AN444</f>
        <v>294.425701151776</v>
      </c>
      <c r="AX444" s="0" t="n">
        <f aca="false">AH444+AH444*AN444/_Rfb2+AG444*AO444/_Rfb2+AO444+AO444*AQ444+AN444*AR444</f>
        <v>-1146.26252740267</v>
      </c>
      <c r="AY444" s="0" t="n">
        <f aca="false">ATAN2(AW444,AX444)</f>
        <v>-1.31937438096059</v>
      </c>
      <c r="BA444" s="0" t="n">
        <f aca="false">SQRT(AT444^2+AU444^2)/SQRT(AW444^2+AX444^2)</f>
        <v>3.87602043624605</v>
      </c>
      <c r="BB444" s="0" t="n">
        <f aca="false">20*LOG(BA444)</f>
        <v>11.7677211638877</v>
      </c>
      <c r="BC444" s="0" t="n">
        <f aca="false">AV444-AY444</f>
        <v>-1.54611915523389</v>
      </c>
      <c r="BD444" s="0" t="n">
        <f aca="false">BC444*180/Pi-180</f>
        <v>-268.586102320458</v>
      </c>
      <c r="BF444" s="0" t="n">
        <f aca="false">20*LOG(BA444*J444*F444*C444)</f>
        <v>-26.1646164484161</v>
      </c>
      <c r="BG444" s="0" t="n">
        <f aca="false">(180/Pi)*(D444+H444+BC444)</f>
        <v>-266.821500961911</v>
      </c>
      <c r="BH444" s="0" t="n">
        <f aca="false">IF(BG444&gt;180,BG444-180,BG444+180)</f>
        <v>-86.8215009619107</v>
      </c>
      <c r="BI444" s="0" t="n">
        <f aca="false">IF(BH444&gt;180,BH444-360,BH444)</f>
        <v>-86.8215009619107</v>
      </c>
      <c r="BJ444" s="0" t="n">
        <f aca="false">SUM((BF445&lt;0)*(BF444&gt;0))*A444</f>
        <v>0</v>
      </c>
      <c r="BK444" s="0" t="n">
        <f aca="false">IF(BJ444&gt;0,BI444,0)</f>
        <v>0</v>
      </c>
      <c r="BM444" s="0" t="n">
        <f aca="false">20*LOG(J444*F444*C444)</f>
        <v>-37.9323376123038</v>
      </c>
      <c r="BN444" s="0" t="n">
        <f aca="false">(H444+D444)*180/Pi</f>
        <v>-178.235398641452</v>
      </c>
      <c r="BQ444" s="347" t="n">
        <f aca="false">20*LOG(BA444*7)</f>
        <v>28.6696819641728</v>
      </c>
    </row>
    <row r="445" customFormat="false" ht="12.75" hidden="false" customHeight="false" outlineLevel="0" collapsed="false">
      <c r="A445" s="0" t="n">
        <f aca="false">A444+5000</f>
        <v>1155000</v>
      </c>
      <c r="B445" s="0" t="n">
        <f aca="false">A445/1000</f>
        <v>1155</v>
      </c>
      <c r="C445" s="0" t="n">
        <f aca="false">SQRT((A445/Fesr)^2+1)</f>
        <v>1.00002633225127</v>
      </c>
      <c r="D445" s="0" t="n">
        <f aca="false">ATAN(A445/Fesr)</f>
        <v>0.00725695162702936</v>
      </c>
      <c r="F445" s="0" t="n">
        <f aca="false">(Ro/(Ro+Rdcr))/SQRT((A445/(Q*Fo))^2+(1-(A445^2/Fo^2))^2)</f>
        <v>0.00139751571159646</v>
      </c>
      <c r="G445" s="0" t="n">
        <f aca="false">-ATAN(A445*Fo/(Q*(Fo^2-A445^2)))</f>
        <v>0.0234702701133996</v>
      </c>
      <c r="H445" s="0" t="n">
        <f aca="false">IF(G445&gt;0,G445-Pi,G445)</f>
        <v>-3.1181223798866</v>
      </c>
      <c r="J445" s="0" t="n">
        <f aca="false">Vin/Vramp</f>
        <v>9</v>
      </c>
      <c r="M445" s="0" t="n">
        <f aca="false">1/(2*Pi*_Rfb1*(Cc1ea_u+Cc2ea_u)*A445)</f>
        <v>0.00510357361788541</v>
      </c>
      <c r="N445" s="0" t="n">
        <f aca="false">-Pi/2</f>
        <v>-1.570796325</v>
      </c>
      <c r="O445" s="0" t="n">
        <f aca="false">SQRT(1+(A445/Fz1_u)^2)</f>
        <v>28.2332384160626</v>
      </c>
      <c r="P445" s="0" t="n">
        <f aca="false">ATAN2(Fz1_u,A445)</f>
        <v>1.53536967149793</v>
      </c>
      <c r="Q445" s="0" t="n">
        <f aca="false">SQRT(1+(A445/Fz2_u)^2)</f>
        <v>32016.7231860384</v>
      </c>
      <c r="R445" s="0" t="n">
        <f aca="false">ATAN2(Fz2_u,A445)</f>
        <v>1.5707650931176</v>
      </c>
      <c r="S445" s="0" t="n">
        <f aca="false">1/SQRT(1+(A445/Fp1_u)^2)</f>
        <v>0.0116847931124567</v>
      </c>
      <c r="T445" s="0" t="n">
        <f aca="false">-ATAN2(Fp1_u,A445)</f>
        <v>-1.55911126777009</v>
      </c>
      <c r="U445" s="0" t="n">
        <f aca="false">1/SQRT(1+(A445/Fp2_u)^2)</f>
        <v>0.303888352257279</v>
      </c>
      <c r="V445" s="0" t="n">
        <f aca="false">-ATAN2(Fp2_u,A445)</f>
        <v>-1.26202494486969</v>
      </c>
      <c r="X445" s="0" t="n">
        <f aca="false">20*LOG(C445*J445*O445*Q445*F445*M445*S445*U445)</f>
        <v>-13.7208462707086</v>
      </c>
      <c r="Y445" s="0" t="n">
        <f aca="false">(180/Pi)*(D445+H445+N445+P445+R445+T445+V445)</f>
        <v>-251.910245661889</v>
      </c>
      <c r="Z445" s="0" t="n">
        <f aca="false">Y445+180</f>
        <v>-71.9102456618894</v>
      </c>
      <c r="AC445" s="0" t="n">
        <v>1</v>
      </c>
      <c r="AD445" s="0" t="n">
        <f aca="false">Rcea1_u*Cc1ea_u*A445*2*Pi</f>
        <v>28.215523235592</v>
      </c>
      <c r="AE445" s="0" t="n">
        <f aca="false">-Rcea1_u*Cc1ea_u*Cc2ea_u*(A445*2*Pi)^2</f>
        <v>-0.0307143422630491</v>
      </c>
      <c r="AF445" s="0" t="n">
        <f aca="false">(Cc2ea_u+Cc1ea_u)*A445*2*Pi</f>
        <v>0.009797056679025</v>
      </c>
      <c r="AG445" s="0" t="n">
        <f aca="false">AC445*AE445/(AE445^2+AF445^2)+AD445*AF445/(AE445^2+AF445^2)</f>
        <v>236.411214432368</v>
      </c>
      <c r="AH445" s="0" t="n">
        <f aca="false">AD445*AE445/(AE445^2+AF445^2)-AC445*AF445/(AE445^2+AF445^2)</f>
        <v>-843.234373910043</v>
      </c>
      <c r="AJ445" s="0" t="n">
        <f aca="false">_Rfb1</f>
        <v>20000</v>
      </c>
      <c r="AK445" s="0" t="n">
        <f aca="false">_Rfb1*Rcea2_u*Cc3ea_u*A445*2*Pi</f>
        <v>1711509.51643056</v>
      </c>
      <c r="AL445" s="0" t="n">
        <v>1</v>
      </c>
      <c r="AM445" s="0" t="n">
        <f aca="false">(_Rfb1+Rcea2_u)*Cc3ea_u*A445*2*Pi</f>
        <v>32016.7231704215</v>
      </c>
      <c r="AN445" s="0" t="n">
        <f aca="false">AJ445*AL445/(AL445^2+AM445^2)+AK445*AM445/(AL445^2+AM445^2)</f>
        <v>53.4567554063629</v>
      </c>
      <c r="AO445" s="0" t="n">
        <f aca="false">AK445*AL445/(AL445^2+AM445^2)-AJ445*AM445/(AL445^2+AM445^2)</f>
        <v>-0.623003895133814</v>
      </c>
      <c r="AQ445" s="0" t="n">
        <f aca="false">Eadcg/(1+(Eadcg*A445/GBP)^2)</f>
        <v>0.00853444913818987</v>
      </c>
      <c r="AR445" s="0" t="n">
        <f aca="false">-(A445*Eadcg*Eadcg/GBP)/(1+(Eadcg*A445/GBP)^2)</f>
        <v>-5.1947911736791</v>
      </c>
      <c r="AT445" s="0" t="n">
        <f aca="false">-AR445*AH445+AG445*AQ445</f>
        <v>-4378.40884344544</v>
      </c>
      <c r="AU445" s="0" t="n">
        <f aca="false">AQ445*AH445+AG445*AR445</f>
        <v>-1235.30343096773</v>
      </c>
      <c r="AV445" s="0" t="n">
        <f aca="false">ATAN2(AT445,AU445)</f>
        <v>-2.86660504254627</v>
      </c>
      <c r="AW445" s="0" t="n">
        <f aca="false">AG445-AH445*AO445/_Rfb2+AG445*AN445/_Rfb2+AN445-AO445*AR445+AQ445*AN445</f>
        <v>292.53841583783</v>
      </c>
      <c r="AX445" s="0" t="n">
        <f aca="false">AH445+AH445*AN445/_Rfb2+AG445*AO445/_Rfb2+AO445+AO445*AQ445+AN445*AR445</f>
        <v>-1141.91011241144</v>
      </c>
      <c r="AY445" s="0" t="n">
        <f aca="false">ATAN2(AW445,AX445)</f>
        <v>-1.32000651272121</v>
      </c>
      <c r="BA445" s="0" t="n">
        <f aca="false">SQRT(AT445^2+AU445^2)/SQRT(AW445^2+AX445^2)</f>
        <v>3.85933683434862</v>
      </c>
      <c r="BB445" s="0" t="n">
        <f aca="false">20*LOG(BA445)</f>
        <v>11.730253689671</v>
      </c>
      <c r="BC445" s="0" t="n">
        <f aca="false">AV445-AY445</f>
        <v>-1.54659852982506</v>
      </c>
      <c r="BD445" s="0" t="n">
        <f aca="false">BC445*180/Pi-180</f>
        <v>-268.61356846137</v>
      </c>
      <c r="BF445" s="0" t="n">
        <f aca="false">20*LOG(BA445*J445*F445*C445)</f>
        <v>-26.2775334225309</v>
      </c>
      <c r="BG445" s="0" t="n">
        <f aca="false">(180/Pi)*(D445+H445+BC445)</f>
        <v>-266.853028337469</v>
      </c>
      <c r="BH445" s="0" t="n">
        <f aca="false">IF(BG445&gt;180,BG445-180,BG445+180)</f>
        <v>-86.8530283374689</v>
      </c>
      <c r="BI445" s="0" t="n">
        <f aca="false">IF(BH445&gt;180,BH445-360,BH445)</f>
        <v>-86.8530283374689</v>
      </c>
      <c r="BJ445" s="0" t="n">
        <f aca="false">SUM((BF446&lt;0)*(BF445&gt;0))*A445</f>
        <v>0</v>
      </c>
      <c r="BK445" s="0" t="n">
        <f aca="false">IF(BJ445&gt;0,BI445,0)</f>
        <v>0</v>
      </c>
      <c r="BM445" s="0" t="n">
        <f aca="false">20*LOG(J445*F445*C445)</f>
        <v>-38.0077871122019</v>
      </c>
      <c r="BN445" s="0" t="n">
        <f aca="false">(H445+D445)*180/Pi</f>
        <v>-178.239459876099</v>
      </c>
      <c r="BQ445" s="347" t="n">
        <f aca="false">20*LOG(BA445*7)</f>
        <v>28.6322144899562</v>
      </c>
    </row>
    <row r="446" customFormat="false" ht="12.75" hidden="false" customHeight="false" outlineLevel="0" collapsed="false">
      <c r="A446" s="0" t="n">
        <f aca="false">A445+5000</f>
        <v>1160000</v>
      </c>
      <c r="B446" s="0" t="n">
        <f aca="false">A446/1000</f>
        <v>1160</v>
      </c>
      <c r="C446" s="0" t="n">
        <f aca="false">SQRT((A446/Fesr)^2+1)</f>
        <v>1.00002656072657</v>
      </c>
      <c r="D446" s="0" t="n">
        <f aca="false">ATAN(A446/Fesr)</f>
        <v>0.00728836589191854</v>
      </c>
      <c r="F446" s="0" t="n">
        <f aca="false">(Ro/(Ro+Rdcr))/SQRT((A446/(Q*Fo))^2+(1-(A446^2/Fo^2))^2)</f>
        <v>0.00138548063005698</v>
      </c>
      <c r="G446" s="0" t="n">
        <f aca="false">-ATAN(A446*Fo/(Q*(Fo^2-A446^2)))</f>
        <v>0.0233688590038647</v>
      </c>
      <c r="H446" s="0" t="n">
        <f aca="false">IF(G446&gt;0,G446-Pi,G446)</f>
        <v>-3.11822379099614</v>
      </c>
      <c r="J446" s="0" t="n">
        <f aca="false">Vin/Vramp</f>
        <v>9</v>
      </c>
      <c r="M446" s="0" t="n">
        <f aca="false">1/(2*Pi*_Rfb1*(Cc1ea_u+Cc2ea_u)*A446)</f>
        <v>0.00508157545573935</v>
      </c>
      <c r="N446" s="0" t="n">
        <f aca="false">-Pi/2</f>
        <v>-1.570796325</v>
      </c>
      <c r="O446" s="0" t="n">
        <f aca="false">SQRT(1+(A446/Fz1_u)^2)</f>
        <v>28.3553072273608</v>
      </c>
      <c r="P446" s="0" t="n">
        <f aca="false">ATAN2(Fz1_u,A446)</f>
        <v>1.53552224568947</v>
      </c>
      <c r="Q446" s="0" t="n">
        <f aca="false">SQRT(1+(A446/Fz2_u)^2)</f>
        <v>32155.3237191763</v>
      </c>
      <c r="R446" s="0" t="n">
        <f aca="false">ATAN2(Fz2_u,A446)</f>
        <v>1.57076522774552</v>
      </c>
      <c r="S446" s="0" t="n">
        <f aca="false">1/SQRT(1+(A446/Fp1_u)^2)</f>
        <v>0.0116344344571331</v>
      </c>
      <c r="T446" s="0" t="n">
        <f aca="false">-ATAN2(Fp1_u,A446)</f>
        <v>-1.55916162984881</v>
      </c>
      <c r="U446" s="0" t="n">
        <f aca="false">1/SQRT(1+(A446/Fp2_u)^2)</f>
        <v>0.302698742807193</v>
      </c>
      <c r="V446" s="0" t="n">
        <f aca="false">-ATAN2(Fp2_u,A446)</f>
        <v>-1.26327335821732</v>
      </c>
      <c r="X446" s="0" t="n">
        <f aca="false">20*LOG(C446*J446*O446*Q446*F446*M446*S446*U446)</f>
        <v>-13.8300796092834</v>
      </c>
      <c r="Y446" s="0" t="n">
        <f aca="false">(180/Pi)*(D446+H446+N446+P446+R446+T446+V446)</f>
        <v>-251.979920965363</v>
      </c>
      <c r="Z446" s="0" t="n">
        <f aca="false">Y446+180</f>
        <v>-71.9799209653625</v>
      </c>
      <c r="AC446" s="0" t="n">
        <v>1</v>
      </c>
      <c r="AD446" s="0" t="n">
        <f aca="false">Rcea1_u*Cc1ea_u*A446*2*Pi</f>
        <v>28.337668357824</v>
      </c>
      <c r="AE446" s="0" t="n">
        <f aca="false">-Rcea1_u*Cc1ea_u*Cc2ea_u*(A446*2*Pi)^2</f>
        <v>-0.030980842899615</v>
      </c>
      <c r="AF446" s="0" t="n">
        <f aca="false">(Cc2ea_u+Cc1ea_u)*A446*2*Pi</f>
        <v>0.0098394681798</v>
      </c>
      <c r="AG446" s="0" t="n">
        <f aca="false">AC446*AE446/(AE446^2+AF446^2)+AD446*AF446/(AE446^2+AF446^2)</f>
        <v>234.563913976462</v>
      </c>
      <c r="AH446" s="0" t="n">
        <f aca="false">AD446*AE446/(AE446^2+AF446^2)-AC446*AF446/(AE446^2+AF446^2)</f>
        <v>-840.186442779024</v>
      </c>
      <c r="AJ446" s="0" t="n">
        <f aca="false">_Rfb1</f>
        <v>20000</v>
      </c>
      <c r="AK446" s="0" t="n">
        <f aca="false">_Rfb1*Rcea2_u*Cc3ea_u*A446*2*Pi</f>
        <v>1718918.64853632</v>
      </c>
      <c r="AL446" s="0" t="n">
        <v>1</v>
      </c>
      <c r="AM446" s="0" t="n">
        <f aca="false">(_Rfb1+Rcea2_u)*Cc3ea_u*A446*2*Pi</f>
        <v>32155.3237036268</v>
      </c>
      <c r="AN446" s="0" t="n">
        <f aca="false">AJ446*AL446/(AL446^2+AM446^2)+AK446*AM446/(AL446^2+AM446^2)</f>
        <v>53.456755238977</v>
      </c>
      <c r="AO446" s="0" t="n">
        <f aca="false">AK446*AL446/(AL446^2+AM446^2)-AJ446*AM446/(AL446^2+AM446^2)</f>
        <v>-0.620318533522063</v>
      </c>
      <c r="AQ446" s="0" t="n">
        <f aca="false">Eadcg/(1+(Eadcg*A446/GBP)^2)</f>
        <v>0.00846103505938677</v>
      </c>
      <c r="AR446" s="0" t="n">
        <f aca="false">-(A446*Eadcg*Eadcg/GBP)/(1+(Eadcg*A446/GBP)^2)</f>
        <v>-5.17239995250432</v>
      </c>
      <c r="AT446" s="0" t="n">
        <f aca="false">-AR446*AH446+AG446*AQ446</f>
        <v>-4343.79566322517</v>
      </c>
      <c r="AU446" s="0" t="n">
        <f aca="false">AQ446*AH446+AG446*AR446</f>
        <v>-1220.36722445985</v>
      </c>
      <c r="AV446" s="0" t="n">
        <f aca="false">ATAN2(AT446,AU446)</f>
        <v>-2.86770796308805</v>
      </c>
      <c r="AW446" s="0" t="n">
        <f aca="false">AG446-AH446*AO446/_Rfb2+AG446*AN446/_Rfb2+AN446-AO446*AR446+AQ446*AN446</f>
        <v>290.672462274219</v>
      </c>
      <c r="AX446" s="0" t="n">
        <f aca="false">AH446+AH446*AN446/_Rfb2+AG446*AO446/_Rfb2+AO446+AO446*AQ446+AN446*AR446</f>
        <v>-1137.58834352497</v>
      </c>
      <c r="AY446" s="0" t="n">
        <f aca="false">ATAN2(AW446,AX446)</f>
        <v>-1.3206325476482</v>
      </c>
      <c r="BA446" s="0" t="n">
        <f aca="false">SQRT(AT446^2+AU446^2)/SQRT(AW446^2+AX446^2)</f>
        <v>3.84279530151856</v>
      </c>
      <c r="BB446" s="0" t="n">
        <f aca="false">20*LOG(BA446)</f>
        <v>11.6929450205976</v>
      </c>
      <c r="BC446" s="0" t="n">
        <f aca="false">AV446-AY446</f>
        <v>-1.54707541543985</v>
      </c>
      <c r="BD446" s="0" t="n">
        <f aca="false">BC446*180/Pi-180</f>
        <v>-268.640891994439</v>
      </c>
      <c r="BF446" s="0" t="n">
        <f aca="false">20*LOG(BA446*J446*F446*C446)</f>
        <v>-26.3899649214548</v>
      </c>
      <c r="BG446" s="0" t="n">
        <f aca="false">(180/Pi)*(D446+H446+BC446)</f>
        <v>-266.88436239432</v>
      </c>
      <c r="BH446" s="0" t="n">
        <f aca="false">IF(BG446&gt;180,BG446-180,BG446+180)</f>
        <v>-86.8843623943199</v>
      </c>
      <c r="BI446" s="0" t="n">
        <f aca="false">IF(BH446&gt;180,BH446-360,BH446)</f>
        <v>-86.8843623943199</v>
      </c>
      <c r="BJ446" s="0" t="n">
        <f aca="false">SUM((BF447&lt;0)*(BF446&gt;0))*A446</f>
        <v>0</v>
      </c>
      <c r="BK446" s="0" t="n">
        <f aca="false">IF(BJ446&gt;0,BI446,0)</f>
        <v>0</v>
      </c>
      <c r="BM446" s="0" t="n">
        <f aca="false">20*LOG(J446*F446*C446)</f>
        <v>-38.0829099420524</v>
      </c>
      <c r="BN446" s="0" t="n">
        <f aca="false">(H446+D446)*180/Pi</f>
        <v>-178.243470399881</v>
      </c>
      <c r="BQ446" s="347" t="n">
        <f aca="false">20*LOG(BA446*7)</f>
        <v>28.5949058208828</v>
      </c>
    </row>
    <row r="447" customFormat="false" ht="12.75" hidden="false" customHeight="false" outlineLevel="0" collapsed="false">
      <c r="A447" s="0" t="n">
        <f aca="false">A446+5000</f>
        <v>1165000</v>
      </c>
      <c r="B447" s="0" t="n">
        <f aca="false">A447/1000</f>
        <v>1165</v>
      </c>
      <c r="C447" s="0" t="n">
        <f aca="false">SQRT((A447/Fesr)^2+1)</f>
        <v>1.00002679018875</v>
      </c>
      <c r="D447" s="0" t="n">
        <f aca="false">ATAN(A447/Fesr)</f>
        <v>0.00731978014242234</v>
      </c>
      <c r="F447" s="0" t="n">
        <f aca="false">(Ro/(Ro+Rdcr))/SQRT((A447/(Q*Fo))^2+(1-(A447^2/Fo^2))^2)</f>
        <v>0.00137360040379024</v>
      </c>
      <c r="G447" s="0" t="n">
        <f aca="false">-ATAN(A447*Fo/(Q*(Fo^2-A447^2)))</f>
        <v>0.0232683215291996</v>
      </c>
      <c r="H447" s="0" t="n">
        <f aca="false">IF(G447&gt;0,G447-Pi,G447)</f>
        <v>-3.1183243284708</v>
      </c>
      <c r="J447" s="0" t="n">
        <f aca="false">Vin/Vramp</f>
        <v>9</v>
      </c>
      <c r="M447" s="0" t="n">
        <f aca="false">1/(2*Pi*_Rfb1*(Cc1ea_u+Cc2ea_u)*A447)</f>
        <v>0.00505976611901944</v>
      </c>
      <c r="N447" s="0" t="n">
        <f aca="false">-Pi/2</f>
        <v>-1.570796325</v>
      </c>
      <c r="O447" s="0" t="n">
        <f aca="false">SQRT(1+(A447/Fz1_u)^2)</f>
        <v>28.47737669308</v>
      </c>
      <c r="P447" s="0" t="n">
        <f aca="false">ATAN2(Fz1_u,A447)</f>
        <v>1.5356735118532</v>
      </c>
      <c r="Q447" s="0" t="n">
        <f aca="false">SQRT(1+(A447/Fz2_u)^2)</f>
        <v>32293.9242523149</v>
      </c>
      <c r="R447" s="0" t="n">
        <f aca="false">ATAN2(Fz2_u,A447)</f>
        <v>1.57076536121783</v>
      </c>
      <c r="S447" s="0" t="n">
        <f aca="false">1/SQRT(1+(A447/Fp1_u)^2)</f>
        <v>0.0115845079775541</v>
      </c>
      <c r="T447" s="0" t="n">
        <f aca="false">-ATAN2(Fp1_u,A447)</f>
        <v>-1.55921155969327</v>
      </c>
      <c r="U447" s="0" t="n">
        <f aca="false">1/SQRT(1+(A447/Fp2_u)^2)</f>
        <v>0.301517946350011</v>
      </c>
      <c r="V447" s="0" t="n">
        <f aca="false">-ATAN2(Fp2_u,A447)</f>
        <v>-1.2645120336205</v>
      </c>
      <c r="X447" s="0" t="n">
        <f aca="false">20*LOG(C447*J447*O447*Q447*F447*M447*S447*U447)</f>
        <v>-13.9388688342199</v>
      </c>
      <c r="Y447" s="0" t="n">
        <f aca="false">(180/Pi)*(D447+H447+N447+P447+R447+T447+V447)</f>
        <v>-252.049038516436</v>
      </c>
      <c r="Z447" s="0" t="n">
        <f aca="false">Y447+180</f>
        <v>-72.0490385164356</v>
      </c>
      <c r="AC447" s="0" t="n">
        <v>1</v>
      </c>
      <c r="AD447" s="0" t="n">
        <f aca="false">Rcea1_u*Cc1ea_u*A447*2*Pi</f>
        <v>28.459813480056</v>
      </c>
      <c r="AE447" s="0" t="n">
        <f aca="false">-Rcea1_u*Cc1ea_u*Cc2ea_u*(A447*2*Pi)^2</f>
        <v>-0.0312484947268355</v>
      </c>
      <c r="AF447" s="0" t="n">
        <f aca="false">(Cc2ea_u+Cc1ea_u)*A447*2*Pi</f>
        <v>0.009881879680575</v>
      </c>
      <c r="AG447" s="0" t="n">
        <f aca="false">AC447*AE447/(AE447^2+AF447^2)+AD447*AF447/(AE447^2+AF447^2)</f>
        <v>232.737464246088</v>
      </c>
      <c r="AH447" s="0" t="n">
        <f aca="false">AD447*AE447/(AE447^2+AF447^2)-AC447*AF447/(AE447^2+AF447^2)</f>
        <v>-837.15808040982</v>
      </c>
      <c r="AJ447" s="0" t="n">
        <f aca="false">_Rfb1</f>
        <v>20000</v>
      </c>
      <c r="AK447" s="0" t="n">
        <f aca="false">_Rfb1*Rcea2_u*Cc3ea_u*A447*2*Pi</f>
        <v>1726327.78064208</v>
      </c>
      <c r="AL447" s="0" t="n">
        <v>1</v>
      </c>
      <c r="AM447" s="0" t="n">
        <f aca="false">(_Rfb1+Rcea2_u)*Cc3ea_u*A447*2*Pi</f>
        <v>32293.9242368321</v>
      </c>
      <c r="AN447" s="0" t="n">
        <f aca="false">AJ447*AL447/(AL447^2+AM447^2)+AK447*AM447/(AL447^2+AM447^2)</f>
        <v>53.4567550737416</v>
      </c>
      <c r="AO447" s="0" t="n">
        <f aca="false">AK447*AL447/(AL447^2+AM447^2)-AJ447*AM447/(AL447^2+AM447^2)</f>
        <v>-0.61765622222451</v>
      </c>
      <c r="AQ447" s="0" t="n">
        <f aca="false">Eadcg/(1+(Eadcg*A447/GBP)^2)</f>
        <v>0.00838856419300542</v>
      </c>
      <c r="AR447" s="0" t="n">
        <f aca="false">-(A447*Eadcg*Eadcg/GBP)/(1+(Eadcg*A447/GBP)^2)</f>
        <v>-5.15020092911664</v>
      </c>
      <c r="AT447" s="0" t="n">
        <f aca="false">-AR447*AH447+AG447*AQ447</f>
        <v>-4309.57999038521</v>
      </c>
      <c r="AU447" s="0" t="n">
        <f aca="false">AQ447*AH447+AG447*AR447</f>
        <v>-1205.66725889767</v>
      </c>
      <c r="AV447" s="0" t="n">
        <f aca="false">ATAN2(AT447,AU447)</f>
        <v>-2.86880239292892</v>
      </c>
      <c r="AW447" s="0" t="n">
        <f aca="false">AG447-AH447*AO447/_Rfb2+AG447*AN447/_Rfb2+AN447-AO447*AR447+AQ447*AN447</f>
        <v>288.827532268142</v>
      </c>
      <c r="AX447" s="0" t="n">
        <f aca="false">AH447+AH447*AN447/_Rfb2+AG447*AO447/_Rfb2+AO447+AO447*AQ447+AN447*AR447</f>
        <v>-1133.29692532169</v>
      </c>
      <c r="AY447" s="0" t="n">
        <f aca="false">ATAN2(AW447,AX447)</f>
        <v>-1.3212525493405</v>
      </c>
      <c r="BA447" s="0" t="n">
        <f aca="false">SQRT(AT447^2+AU447^2)/SQRT(AW447^2+AX447^2)</f>
        <v>3.82639403586784</v>
      </c>
      <c r="BB447" s="0" t="n">
        <f aca="false">20*LOG(BA447)</f>
        <v>11.6557938187474</v>
      </c>
      <c r="BC447" s="0" t="n">
        <f aca="false">AV447-AY447</f>
        <v>-1.54754984358842</v>
      </c>
      <c r="BD447" s="0" t="n">
        <f aca="false">BC447*180/Pi-180</f>
        <v>-268.668074725065</v>
      </c>
      <c r="BF447" s="0" t="n">
        <f aca="false">20*LOG(BA447*J447*F447*C447)</f>
        <v>-26.5019151025564</v>
      </c>
      <c r="BG447" s="0" t="n">
        <f aca="false">(180/Pi)*(D447+H447+BC447)</f>
        <v>-266.915505593962</v>
      </c>
      <c r="BH447" s="0" t="n">
        <f aca="false">IF(BG447&gt;180,BG447-180,BG447+180)</f>
        <v>-86.9155055939617</v>
      </c>
      <c r="BI447" s="0" t="n">
        <f aca="false">IF(BH447&gt;180,BH447-360,BH447)</f>
        <v>-86.9155055939617</v>
      </c>
      <c r="BJ447" s="0" t="n">
        <f aca="false">SUM((BF448&lt;0)*(BF447&gt;0))*A447</f>
        <v>0</v>
      </c>
      <c r="BK447" s="0" t="n">
        <f aca="false">IF(BJ447&gt;0,BI447,0)</f>
        <v>0</v>
      </c>
      <c r="BM447" s="0" t="n">
        <f aca="false">20*LOG(J447*F447*C447)</f>
        <v>-38.1577089213038</v>
      </c>
      <c r="BN447" s="0" t="n">
        <f aca="false">(H447+D447)*180/Pi</f>
        <v>-178.247430868896</v>
      </c>
      <c r="BQ447" s="347" t="n">
        <f aca="false">20*LOG(BA447*7)</f>
        <v>28.5577546190325</v>
      </c>
    </row>
    <row r="448" customFormat="false" ht="12.75" hidden="false" customHeight="false" outlineLevel="0" collapsed="false">
      <c r="A448" s="0" t="n">
        <f aca="false">A447+5000</f>
        <v>1170000</v>
      </c>
      <c r="B448" s="0" t="n">
        <f aca="false">A448/1000</f>
        <v>1170</v>
      </c>
      <c r="C448" s="0" t="n">
        <f aca="false">SQRT((A448/Fesr)^2+1)</f>
        <v>1.00002702063781</v>
      </c>
      <c r="D448" s="0" t="n">
        <f aca="false">ATAN(A448/Fesr)</f>
        <v>0.00735119437847875</v>
      </c>
      <c r="F448" s="0" t="n">
        <f aca="false">(Ro/(Ro+Rdcr))/SQRT((A448/(Q*Fo))^2+(1-(A448^2/Fo^2))^2)</f>
        <v>0.00136187238648645</v>
      </c>
      <c r="G448" s="0" t="n">
        <f aca="false">-ATAN(A448*Fo/(Q*(Fo^2-A448^2)))</f>
        <v>0.0231686464353105</v>
      </c>
      <c r="H448" s="0" t="n">
        <f aca="false">IF(G448&gt;0,G448-Pi,G448)</f>
        <v>-3.11842400356469</v>
      </c>
      <c r="J448" s="0" t="n">
        <f aca="false">Vin/Vramp</f>
        <v>9</v>
      </c>
      <c r="M448" s="0" t="n">
        <f aca="false">1/(2*Pi*_Rfb1*(Cc1ea_u+Cc2ea_u)*A448)</f>
        <v>0.00503814318688687</v>
      </c>
      <c r="N448" s="0" t="n">
        <f aca="false">-Pi/2</f>
        <v>-1.570796325</v>
      </c>
      <c r="O448" s="0" t="n">
        <f aca="false">SQRT(1+(A448/Fz1_u)^2)</f>
        <v>28.5994468048406</v>
      </c>
      <c r="P448" s="0" t="n">
        <f aca="false">ATAN2(Fz1_u,A448)</f>
        <v>1.5358234867312</v>
      </c>
      <c r="Q448" s="0" t="n">
        <f aca="false">SQRT(1+(A448/Fz2_u)^2)</f>
        <v>32432.524785454</v>
      </c>
      <c r="R448" s="0" t="n">
        <f aca="false">ATAN2(Fz2_u,A448)</f>
        <v>1.57076549354936</v>
      </c>
      <c r="S448" s="0" t="n">
        <f aca="false">1/SQRT(1+(A448/Fp1_u)^2)</f>
        <v>0.0115350081344891</v>
      </c>
      <c r="T448" s="0" t="n">
        <f aca="false">-ATAN2(Fp1_u,A448)</f>
        <v>-1.55926106284396</v>
      </c>
      <c r="U448" s="0" t="n">
        <f aca="false">1/SQRT(1+(A448/Fp2_u)^2)</f>
        <v>0.300345870958318</v>
      </c>
      <c r="V448" s="0" t="n">
        <f aca="false">-ATAN2(Fp2_u,A448)</f>
        <v>-1.26574108081733</v>
      </c>
      <c r="X448" s="0" t="n">
        <f aca="false">20*LOG(C448*J448*O448*Q448*F448*M448*S448*U448)</f>
        <v>-14.0472174624342</v>
      </c>
      <c r="Y448" s="0" t="n">
        <f aca="false">(180/Pi)*(D448+H448+N448+P448+R448+T448+V448)</f>
        <v>-252.1176046048</v>
      </c>
      <c r="Z448" s="0" t="n">
        <f aca="false">Y448+180</f>
        <v>-72.1176046048005</v>
      </c>
      <c r="AC448" s="0" t="n">
        <v>1</v>
      </c>
      <c r="AD448" s="0" t="n">
        <f aca="false">Rcea1_u*Cc1ea_u*A448*2*Pi</f>
        <v>28.581958602288</v>
      </c>
      <c r="AE448" s="0" t="n">
        <f aca="false">-Rcea1_u*Cc1ea_u*Cc2ea_u*(A448*2*Pi)^2</f>
        <v>-0.0315172977447108</v>
      </c>
      <c r="AF448" s="0" t="n">
        <f aca="false">(Cc2ea_u+Cc1ea_u)*A448*2*Pi</f>
        <v>0.00992429118135</v>
      </c>
      <c r="AG448" s="0" t="n">
        <f aca="false">AC448*AE448/(AE448^2+AF448^2)+AD448*AF448/(AE448^2+AF448^2)</f>
        <v>230.931564036379</v>
      </c>
      <c r="AH448" s="0" t="n">
        <f aca="false">AD448*AE448/(AE448^2+AF448^2)-AC448*AF448/(AE448^2+AF448^2)</f>
        <v>-834.149130765449</v>
      </c>
      <c r="AJ448" s="0" t="n">
        <f aca="false">_Rfb1</f>
        <v>20000</v>
      </c>
      <c r="AK448" s="0" t="n">
        <f aca="false">_Rfb1*Rcea2_u*Cc3ea_u*A448*2*Pi</f>
        <v>1733736.91274784</v>
      </c>
      <c r="AL448" s="0" t="n">
        <v>1</v>
      </c>
      <c r="AM448" s="0" t="n">
        <f aca="false">(_Rfb1+Rcea2_u)*Cc3ea_u*A448*2*Pi</f>
        <v>32432.5247700374</v>
      </c>
      <c r="AN448" s="0" t="n">
        <f aca="false">AJ448*AL448/(AL448^2+AM448^2)+AK448*AM448/(AL448^2+AM448^2)</f>
        <v>53.4567549106201</v>
      </c>
      <c r="AO448" s="0" t="n">
        <f aca="false">AK448*AL448/(AL448^2+AM448^2)-AJ448*AM448/(AL448^2+AM448^2)</f>
        <v>-0.615016665724307</v>
      </c>
      <c r="AQ448" s="0" t="n">
        <f aca="false">Eadcg/(1+(Eadcg*A448/GBP)^2)</f>
        <v>0.00831702045032835</v>
      </c>
      <c r="AR448" s="0" t="n">
        <f aca="false">-(A448*Eadcg*Eadcg/GBP)/(1+(Eadcg*A448/GBP)^2)</f>
        <v>-5.12819163946796</v>
      </c>
      <c r="AT448" s="0" t="n">
        <f aca="false">-AR448*AH448+AG448*AQ448</f>
        <v>-4275.75593592013</v>
      </c>
      <c r="AU448" s="0" t="n">
        <f aca="false">AQ448*AH448+AG448*AR448</f>
        <v>-1191.19895135982</v>
      </c>
      <c r="AV448" s="0" t="n">
        <f aca="false">ATAN2(AT448,AU448)</f>
        <v>-2.86988842584418</v>
      </c>
      <c r="AW448" s="0" t="n">
        <f aca="false">AG448-AH448*AO448/_Rfb2+AG448*AN448/_Rfb2+AN448-AO448*AR448+AQ448*AN448</f>
        <v>287.003322928713</v>
      </c>
      <c r="AX448" s="0" t="n">
        <f aca="false">AH448+AH448*AN448/_Rfb2+AG448*AO448/_Rfb2+AO448+AO448*AQ448+AN448*AR448</f>
        <v>-1129.03556572433</v>
      </c>
      <c r="AY448" s="0" t="n">
        <f aca="false">ATAN2(AW448,AX448)</f>
        <v>-1.32186658059191</v>
      </c>
      <c r="BA448" s="0" t="n">
        <f aca="false">SQRT(AT448^2+AU448^2)/SQRT(AW448^2+AX448^2)</f>
        <v>3.81013126573777</v>
      </c>
      <c r="BB448" s="0" t="n">
        <f aca="false">20*LOG(BA448)</f>
        <v>11.6187987628749</v>
      </c>
      <c r="BC448" s="0" t="n">
        <f aca="false">AV448-AY448</f>
        <v>-1.54802184525226</v>
      </c>
      <c r="BD448" s="0" t="n">
        <f aca="false">BC448*180/Pi-180</f>
        <v>-268.695118428357</v>
      </c>
      <c r="BF448" s="0" t="n">
        <f aca="false">20*LOG(BA448*J448*F448*C448)</f>
        <v>-26.6133880701441</v>
      </c>
      <c r="BG448" s="0" t="n">
        <f aca="false">(180/Pi)*(D448+H448+BC448)</f>
        <v>-266.946460356318</v>
      </c>
      <c r="BH448" s="0" t="n">
        <f aca="false">IF(BG448&gt;180,BG448-180,BG448+180)</f>
        <v>-86.9464603563181</v>
      </c>
      <c r="BI448" s="0" t="n">
        <f aca="false">IF(BH448&gt;180,BH448-360,BH448)</f>
        <v>-86.9464603563181</v>
      </c>
      <c r="BJ448" s="0" t="n">
        <f aca="false">SUM((BF449&lt;0)*(BF448&gt;0))*A448</f>
        <v>0</v>
      </c>
      <c r="BK448" s="0" t="n">
        <f aca="false">IF(BJ448&gt;0,BI448,0)</f>
        <v>0</v>
      </c>
      <c r="BM448" s="0" t="n">
        <f aca="false">20*LOG(J448*F448*C448)</f>
        <v>-38.2321868330189</v>
      </c>
      <c r="BN448" s="0" t="n">
        <f aca="false">(H448+D448)*180/Pi</f>
        <v>-178.251341927961</v>
      </c>
      <c r="BQ448" s="347" t="n">
        <f aca="false">20*LOG(BA448*7)</f>
        <v>28.52075956316</v>
      </c>
    </row>
    <row r="449" customFormat="false" ht="12.75" hidden="false" customHeight="false" outlineLevel="0" collapsed="false">
      <c r="A449" s="0" t="n">
        <f aca="false">A448+5000</f>
        <v>1175000</v>
      </c>
      <c r="B449" s="0" t="n">
        <f aca="false">A449/1000</f>
        <v>1175</v>
      </c>
      <c r="C449" s="0" t="n">
        <f aca="false">SQRT((A449/Fesr)^2+1)</f>
        <v>1.00002725207375</v>
      </c>
      <c r="D449" s="0" t="n">
        <f aca="false">ATAN(A449/Fesr)</f>
        <v>0.0073826086000258</v>
      </c>
      <c r="F449" s="0" t="n">
        <f aca="false">(Ro/(Ro+Rdcr))/SQRT((A449/(Q*Fo))^2+(1-(A449^2/Fo^2))^2)</f>
        <v>0.00135029398814383</v>
      </c>
      <c r="G449" s="0" t="n">
        <f aca="false">-ATAN(A449*Fo/(Q*(Fo^2-A449^2)))</f>
        <v>0.023069822660799</v>
      </c>
      <c r="H449" s="0" t="n">
        <f aca="false">IF(G449&gt;0,G449-Pi,G449)</f>
        <v>-3.1185228273392</v>
      </c>
      <c r="J449" s="0" t="n">
        <f aca="false">Vin/Vramp</f>
        <v>9</v>
      </c>
      <c r="M449" s="0" t="n">
        <f aca="false">1/(2*Pi*_Rfb1*(Cc1ea_u+Cc2ea_u)*A449)</f>
        <v>0.00501670427970863</v>
      </c>
      <c r="N449" s="0" t="n">
        <f aca="false">-Pi/2</f>
        <v>-1.570796325</v>
      </c>
      <c r="O449" s="0" t="n">
        <f aca="false">SQRT(1+(A449/Fz1_u)^2)</f>
        <v>28.7215175544051</v>
      </c>
      <c r="P449" s="0" t="n">
        <f aca="false">ATAN2(Fz1_u,A449)</f>
        <v>1.53597218678116</v>
      </c>
      <c r="Q449" s="0" t="n">
        <f aca="false">SQRT(1+(A449/Fz2_u)^2)</f>
        <v>32571.1253185937</v>
      </c>
      <c r="R449" s="0" t="n">
        <f aca="false">ATAN2(Fz2_u,A449)</f>
        <v>1.57076562475466</v>
      </c>
      <c r="S449" s="0" t="n">
        <f aca="false">1/SQRT(1+(A449/Fp1_u)^2)</f>
        <v>0.0114859294829609</v>
      </c>
      <c r="T449" s="0" t="n">
        <f aca="false">-ATAN2(Fp1_u,A449)</f>
        <v>-1.55931014474705</v>
      </c>
      <c r="U449" s="0" t="n">
        <f aca="false">1/SQRT(1+(A449/Fp2_u)^2)</f>
        <v>0.299182425884873</v>
      </c>
      <c r="V449" s="0" t="n">
        <f aca="false">-ATAN2(Fp2_u,A449)</f>
        <v>-1.26696060796288</v>
      </c>
      <c r="X449" s="0" t="n">
        <f aca="false">20*LOG(C449*J449*O449*Q449*F449*M449*S449*U449)</f>
        <v>-14.1551289699361</v>
      </c>
      <c r="Y449" s="0" t="n">
        <f aca="false">(180/Pi)*(D449+H449+N449+P449+R449+T449+V449)</f>
        <v>-252.185625429316</v>
      </c>
      <c r="Z449" s="0" t="n">
        <f aca="false">Y449+180</f>
        <v>-72.1856254293158</v>
      </c>
      <c r="AC449" s="0" t="n">
        <v>1</v>
      </c>
      <c r="AD449" s="0" t="n">
        <f aca="false">Rcea1_u*Cc1ea_u*A449*2*Pi</f>
        <v>28.70410372452</v>
      </c>
      <c r="AE449" s="0" t="n">
        <f aca="false">-Rcea1_u*Cc1ea_u*Cc2ea_u*(A449*2*Pi)^2</f>
        <v>-0.0317872519532409</v>
      </c>
      <c r="AF449" s="0" t="n">
        <f aca="false">(Cc2ea_u+Cc1ea_u)*A449*2*Pi</f>
        <v>0.009966702682125</v>
      </c>
      <c r="AG449" s="0" t="n">
        <f aca="false">AC449*AE449/(AE449^2+AF449^2)+AD449*AF449/(AE449^2+AF449^2)</f>
        <v>229.145917333395</v>
      </c>
      <c r="AH449" s="0" t="n">
        <f aca="false">AD449*AE449/(AE449^2+AF449^2)-AC449*AF449/(AE449^2+AF449^2)</f>
        <v>-831.159438837291</v>
      </c>
      <c r="AJ449" s="0" t="n">
        <f aca="false">_Rfb1</f>
        <v>20000</v>
      </c>
      <c r="AK449" s="0" t="n">
        <f aca="false">_Rfb1*Rcea2_u*Cc3ea_u*A449*2*Pi</f>
        <v>1741146.0448536</v>
      </c>
      <c r="AL449" s="0" t="n">
        <v>1</v>
      </c>
      <c r="AM449" s="0" t="n">
        <f aca="false">(_Rfb1+Rcea2_u)*Cc3ea_u*A449*2*Pi</f>
        <v>32571.1253032427</v>
      </c>
      <c r="AN449" s="0" t="n">
        <f aca="false">AJ449*AL449/(AL449^2+AM449^2)+AK449*AM449/(AL449^2+AM449^2)</f>
        <v>53.4567547495766</v>
      </c>
      <c r="AO449" s="0" t="n">
        <f aca="false">AK449*AL449/(AL449^2+AM449^2)-AJ449*AM449/(AL449^2+AM449^2)</f>
        <v>-0.61239957353468</v>
      </c>
      <c r="AQ449" s="0" t="n">
        <f aca="false">Eadcg/(1+(Eadcg*A449/GBP)^2)</f>
        <v>0.00824638808421958</v>
      </c>
      <c r="AR449" s="0" t="n">
        <f aca="false">-(A449*Eadcg*Eadcg/GBP)/(1+(Eadcg*A449/GBP)^2)</f>
        <v>-5.10636966145087</v>
      </c>
      <c r="AT449" s="0" t="n">
        <f aca="false">-AR449*AH449+AG449*AQ449</f>
        <v>-4242.31771614503</v>
      </c>
      <c r="AU449" s="0" t="n">
        <f aca="false">AQ449*AH449+AG449*AR449</f>
        <v>-1176.95782360909</v>
      </c>
      <c r="AV449" s="0" t="n">
        <f aca="false">ATAN2(AT449,AU449)</f>
        <v>-2.87096615429725</v>
      </c>
      <c r="AW449" s="0" t="n">
        <f aca="false">AG449-AH449*AO449/_Rfb2+AG449*AN449/_Rfb2+AN449-AO449*AR449+AQ449*AN449</f>
        <v>285.199536563871</v>
      </c>
      <c r="AX449" s="0" t="n">
        <f aca="false">AH449+AH449*AN449/_Rfb2+AG449*AO449/_Rfb2+AO449+AO449*AQ449+AN449*AR449</f>
        <v>-1124.80397596203</v>
      </c>
      <c r="AY449" s="0" t="n">
        <f aca="false">ATAN2(AW449,AX449)</f>
        <v>-1.32247470340209</v>
      </c>
      <c r="BA449" s="0" t="n">
        <f aca="false">SQRT(AT449^2+AU449^2)/SQRT(AW449^2+AX449^2)</f>
        <v>3.79400524907014</v>
      </c>
      <c r="BB449" s="0" t="n">
        <f aca="false">20*LOG(BA449)</f>
        <v>11.5819585481357</v>
      </c>
      <c r="BC449" s="0" t="n">
        <f aca="false">AV449-AY449</f>
        <v>-1.54849145089516</v>
      </c>
      <c r="BD449" s="0" t="n">
        <f aca="false">BC449*180/Pi-180</f>
        <v>-268.722024849762</v>
      </c>
      <c r="BF449" s="0" t="n">
        <f aca="false">20*LOG(BA449*J449*F449*C449)</f>
        <v>-26.7243878763641</v>
      </c>
      <c r="BG449" s="0" t="n">
        <f aca="false">(180/Pi)*(D449+H449+BC449)</f>
        <v>-266.977229060611</v>
      </c>
      <c r="BH449" s="0" t="n">
        <f aca="false">IF(BG449&gt;180,BG449-180,BG449+180)</f>
        <v>-86.9772290606106</v>
      </c>
      <c r="BI449" s="0" t="n">
        <f aca="false">IF(BH449&gt;180,BH449-360,BH449)</f>
        <v>-86.9772290606106</v>
      </c>
      <c r="BJ449" s="0" t="n">
        <f aca="false">SUM((BF450&lt;0)*(BF449&gt;0))*A449</f>
        <v>0</v>
      </c>
      <c r="BK449" s="0" t="n">
        <f aca="false">IF(BJ449&gt;0,BI449,0)</f>
        <v>0</v>
      </c>
      <c r="BM449" s="0" t="n">
        <f aca="false">20*LOG(J449*F449*C449)</f>
        <v>-38.3063464244998</v>
      </c>
      <c r="BN449" s="0" t="n">
        <f aca="false">(H449+D449)*180/Pi</f>
        <v>-178.255204210849</v>
      </c>
      <c r="BQ449" s="347" t="n">
        <f aca="false">20*LOG(BA449*7)</f>
        <v>28.4839193484209</v>
      </c>
    </row>
    <row r="450" customFormat="false" ht="12.75" hidden="false" customHeight="false" outlineLevel="0" collapsed="false">
      <c r="A450" s="0" t="n">
        <f aca="false">A449+5000</f>
        <v>1180000</v>
      </c>
      <c r="B450" s="0" t="n">
        <f aca="false">A450/1000</f>
        <v>1180</v>
      </c>
      <c r="C450" s="0" t="n">
        <f aca="false">SQRT((A450/Fesr)^2+1)</f>
        <v>1.00002748449657</v>
      </c>
      <c r="D450" s="0" t="n">
        <f aca="false">ATAN(A450/Fesr)</f>
        <v>0.00741402280700149</v>
      </c>
      <c r="F450" s="0" t="n">
        <f aca="false">(Ro/(Ro+Rdcr))/SQRT((A450/(Q*Fo))^2+(1-(A450^2/Fo^2))^2)</f>
        <v>0.00133886267363638</v>
      </c>
      <c r="G450" s="0" t="n">
        <f aca="false">-ATAN(A450*Fo/(Q*(Fo^2-A450^2)))</f>
        <v>0.0229718393328508</v>
      </c>
      <c r="H450" s="0" t="n">
        <f aca="false">IF(G450&gt;0,G450-Pi,G450)</f>
        <v>-3.11862081066715</v>
      </c>
      <c r="J450" s="0" t="n">
        <f aca="false">Vin/Vramp</f>
        <v>9</v>
      </c>
      <c r="M450" s="0" t="n">
        <f aca="false">1/(2*Pi*_Rfb1*(Cc1ea_u+Cc2ea_u)*A450)</f>
        <v>0.00499544705818444</v>
      </c>
      <c r="N450" s="0" t="n">
        <f aca="false">-Pi/2</f>
        <v>-1.570796325</v>
      </c>
      <c r="O450" s="0" t="n">
        <f aca="false">SQRT(1+(A450/Fz1_u)^2)</f>
        <v>28.8435889336759</v>
      </c>
      <c r="P450" s="0" t="n">
        <f aca="false">ATAN2(Fz1_u,A450)</f>
        <v>1.53611962818236</v>
      </c>
      <c r="Q450" s="0" t="n">
        <f aca="false">SQRT(1+(A450/Fz2_u)^2)</f>
        <v>32709.7258517339</v>
      </c>
      <c r="R450" s="0" t="n">
        <f aca="false">ATAN2(Fz2_u,A450)</f>
        <v>1.57076575484805</v>
      </c>
      <c r="S450" s="0" t="n">
        <f aca="false">1/SQRT(1+(A450/Fp1_u)^2)</f>
        <v>0.0114372666702495</v>
      </c>
      <c r="T450" s="0" t="n">
        <f aca="false">-ATAN2(Fp1_u,A450)</f>
        <v>-1.55935881075645</v>
      </c>
      <c r="U450" s="0" t="n">
        <f aca="false">1/SQRT(1+(A450/Fp2_u)^2)</f>
        <v>0.298027521545759</v>
      </c>
      <c r="V450" s="0" t="n">
        <f aca="false">-ATAN2(Fp2_u,A450)</f>
        <v>-1.26817072165647</v>
      </c>
      <c r="X450" s="0" t="n">
        <f aca="false">20*LOG(C450*J450*O450*Q450*F450*M450*S450*U450)</f>
        <v>-14.2626067924556</v>
      </c>
      <c r="Y450" s="0" t="n">
        <f aca="false">(180/Pi)*(D450+H450+N450+P450+R450+T450+V450)</f>
        <v>-252.253107099572</v>
      </c>
      <c r="Z450" s="0" t="n">
        <f aca="false">Y450+180</f>
        <v>-72.2531070995721</v>
      </c>
      <c r="AC450" s="0" t="n">
        <v>1</v>
      </c>
      <c r="AD450" s="0" t="n">
        <f aca="false">Rcea1_u*Cc1ea_u*A450*2*Pi</f>
        <v>28.826248846752</v>
      </c>
      <c r="AE450" s="0" t="n">
        <f aca="false">-Rcea1_u*Cc1ea_u*Cc2ea_u*(A450*2*Pi)^2</f>
        <v>-0.0320583573524256</v>
      </c>
      <c r="AF450" s="0" t="n">
        <f aca="false">(Cc2ea_u+Cc1ea_u)*A450*2*Pi</f>
        <v>0.0100091141829</v>
      </c>
      <c r="AG450" s="0" t="n">
        <f aca="false">AC450*AE450/(AE450^2+AF450^2)+AD450*AF450/(AE450^2+AF450^2)</f>
        <v>227.380233212692</v>
      </c>
      <c r="AH450" s="0" t="n">
        <f aca="false">AD450*AE450/(AE450^2+AF450^2)-AC450*AF450/(AE450^2+AF450^2)</f>
        <v>-828.188850654973</v>
      </c>
      <c r="AJ450" s="0" t="n">
        <f aca="false">_Rfb1</f>
        <v>20000</v>
      </c>
      <c r="AK450" s="0" t="n">
        <f aca="false">_Rfb1*Rcea2_u*Cc3ea_u*A450*2*Pi</f>
        <v>1748555.17695936</v>
      </c>
      <c r="AL450" s="0" t="n">
        <v>1</v>
      </c>
      <c r="AM450" s="0" t="n">
        <f aca="false">(_Rfb1+Rcea2_u)*Cc3ea_u*A450*2*Pi</f>
        <v>32709.725836448</v>
      </c>
      <c r="AN450" s="0" t="n">
        <f aca="false">AJ450*AL450/(AL450^2+AM450^2)+AK450*AM450/(AL450^2+AM450^2)</f>
        <v>53.4567545905759</v>
      </c>
      <c r="AO450" s="0" t="n">
        <f aca="false">AK450*AL450/(AL450^2+AM450^2)-AJ450*AM450/(AL450^2+AM450^2)</f>
        <v>-0.60980466009236</v>
      </c>
      <c r="AQ450" s="0" t="n">
        <f aca="false">Eadcg/(1+(Eadcg*A450/GBP)^2)</f>
        <v>0.00817665168045878</v>
      </c>
      <c r="AR450" s="0" t="n">
        <f aca="false">-(A450*Eadcg*Eadcg/GBP)/(1+(Eadcg*A450/GBP)^2)</f>
        <v>-5.0847326140101</v>
      </c>
      <c r="AT450" s="0" t="n">
        <f aca="false">-AR450*AH450+AG450*AQ450</f>
        <v>-4209.25965051888</v>
      </c>
      <c r="AU450" s="0" t="n">
        <f aca="false">AQ450*AH450+AG450*AR450</f>
        <v>-1162.93949935524</v>
      </c>
      <c r="AV450" s="0" t="n">
        <f aca="false">ATAN2(AT450,AU450)</f>
        <v>-2.87203566946118</v>
      </c>
      <c r="AW450" s="0" t="n">
        <f aca="false">AG450-AH450*AO450/_Rfb2+AG450*AN450/_Rfb2+AN450-AO450*AR450+AQ450*AN450</f>
        <v>283.41588057944</v>
      </c>
      <c r="AX450" s="0" t="n">
        <f aca="false">AH450+AH450*AN450/_Rfb2+AG450*AO450/_Rfb2+AO450+AO450*AQ450+AN450*AR450</f>
        <v>-1120.60187053267</v>
      </c>
      <c r="AY450" s="0" t="n">
        <f aca="false">ATAN2(AW450,AX450)</f>
        <v>-1.32307697898725</v>
      </c>
      <c r="BA450" s="0" t="n">
        <f aca="false">SQRT(AT450^2+AU450^2)/SQRT(AW450^2+AX450^2)</f>
        <v>3.77801427279387</v>
      </c>
      <c r="BB450" s="0" t="n">
        <f aca="false">20*LOG(BA450)</f>
        <v>11.5452718858185</v>
      </c>
      <c r="BC450" s="0" t="n">
        <f aca="false">AV450-AY450</f>
        <v>-1.54895869047393</v>
      </c>
      <c r="BD450" s="0" t="n">
        <f aca="false">BC450*180/Pi-180</f>
        <v>-268.748795705677</v>
      </c>
      <c r="BF450" s="0" t="n">
        <f aca="false">20*LOG(BA450*J450*F450*C450)</f>
        <v>-26.8349185220793</v>
      </c>
      <c r="BG450" s="0" t="n">
        <f aca="false">(180/Pi)*(D450+H450+BC450)</f>
        <v>-267.007814046208</v>
      </c>
      <c r="BH450" s="0" t="n">
        <f aca="false">IF(BG450&gt;180,BG450-180,BG450+180)</f>
        <v>-87.0078140462082</v>
      </c>
      <c r="BI450" s="0" t="n">
        <f aca="false">IF(BH450&gt;180,BH450-360,BH450)</f>
        <v>-87.0078140462082</v>
      </c>
      <c r="BJ450" s="0" t="n">
        <f aca="false">SUM((BF451&lt;0)*(BF450&gt;0))*A450</f>
        <v>0</v>
      </c>
      <c r="BK450" s="0" t="n">
        <f aca="false">IF(BJ450&gt;0,BI450,0)</f>
        <v>0</v>
      </c>
      <c r="BM450" s="0" t="n">
        <f aca="false">20*LOG(J450*F450*C450)</f>
        <v>-38.3801904078978</v>
      </c>
      <c r="BN450" s="0" t="n">
        <f aca="false">(H450+D450)*180/Pi</f>
        <v>-178.259018340531</v>
      </c>
      <c r="BQ450" s="347" t="n">
        <f aca="false">20*LOG(BA450*7)</f>
        <v>28.4472326861036</v>
      </c>
    </row>
    <row r="451" customFormat="false" ht="12.75" hidden="false" customHeight="false" outlineLevel="0" collapsed="false">
      <c r="A451" s="0" t="n">
        <f aca="false">A450+5000</f>
        <v>1185000</v>
      </c>
      <c r="B451" s="0" t="n">
        <f aca="false">A451/1000</f>
        <v>1185</v>
      </c>
      <c r="C451" s="0" t="n">
        <f aca="false">SQRT((A451/Fesr)^2+1)</f>
        <v>1.00002771790628</v>
      </c>
      <c r="D451" s="0" t="n">
        <f aca="false">ATAN(A451/Fesr)</f>
        <v>0.00744543699934383</v>
      </c>
      <c r="F451" s="0" t="n">
        <f aca="false">(Ro/(Ro+Rdcr))/SQRT((A451/(Q*Fo))^2+(1-(A451^2/Fo^2))^2)</f>
        <v>0.0013275759613241</v>
      </c>
      <c r="G451" s="0" t="n">
        <f aca="false">-ATAN(A451*Fo/(Q*(Fo^2-A451^2)))</f>
        <v>0.0228746857632297</v>
      </c>
      <c r="H451" s="0" t="n">
        <f aca="false">IF(G451&gt;0,G451-Pi,G451)</f>
        <v>-3.11871796423677</v>
      </c>
      <c r="J451" s="0" t="n">
        <f aca="false">Vin/Vramp</f>
        <v>9</v>
      </c>
      <c r="M451" s="0" t="n">
        <f aca="false">1/(2*Pi*_Rfb1*(Cc1ea_u+Cc2ea_u)*A451)</f>
        <v>0.0049743692224959</v>
      </c>
      <c r="N451" s="0" t="n">
        <f aca="false">-Pi/2</f>
        <v>-1.570796325</v>
      </c>
      <c r="O451" s="0" t="n">
        <f aca="false">SQRT(1+(A451/Fz1_u)^2)</f>
        <v>28.9656609346914</v>
      </c>
      <c r="P451" s="0" t="n">
        <f aca="false">ATAN2(Fz1_u,A451)</f>
        <v>1.53626582684161</v>
      </c>
      <c r="Q451" s="0" t="n">
        <f aca="false">SQRT(1+(A451/Fz2_u)^2)</f>
        <v>32848.3263848747</v>
      </c>
      <c r="R451" s="0" t="n">
        <f aca="false">ATAN2(Fz2_u,A451)</f>
        <v>1.5707658838436</v>
      </c>
      <c r="S451" s="0" t="n">
        <f aca="false">1/SQRT(1+(A451/Fp1_u)^2)</f>
        <v>0.0113890144339468</v>
      </c>
      <c r="T451" s="0" t="n">
        <f aca="false">-ATAN2(Fp1_u,A451)</f>
        <v>-1.55940706613573</v>
      </c>
      <c r="U451" s="0" t="n">
        <f aca="false">1/SQRT(1+(A451/Fp2_u)^2)</f>
        <v>0.296881069503758</v>
      </c>
      <c r="V451" s="0" t="n">
        <f aca="false">-ATAN2(Fp2_u,A451)</f>
        <v>-1.26937152696838</v>
      </c>
      <c r="X451" s="0" t="n">
        <f aca="false">20*LOG(C451*J451*O451*Q451*F451*M451*S451*U451)</f>
        <v>-14.3696543260558</v>
      </c>
      <c r="Y451" s="0" t="n">
        <f aca="false">(180/Pi)*(D451+H451+N451+P451+R451+T451+V451)</f>
        <v>-252.320055637429</v>
      </c>
      <c r="Z451" s="0" t="n">
        <f aca="false">Y451+180</f>
        <v>-72.320055637429</v>
      </c>
      <c r="AC451" s="0" t="n">
        <v>1</v>
      </c>
      <c r="AD451" s="0" t="n">
        <f aca="false">Rcea1_u*Cc1ea_u*A451*2*Pi</f>
        <v>28.948393968984</v>
      </c>
      <c r="AE451" s="0" t="n">
        <f aca="false">-Rcea1_u*Cc1ea_u*Cc2ea_u*(A451*2*Pi)^2</f>
        <v>-0.032330613942265</v>
      </c>
      <c r="AF451" s="0" t="n">
        <f aca="false">(Cc2ea_u+Cc1ea_u)*A451*2*Pi</f>
        <v>0.010051525683675</v>
      </c>
      <c r="AG451" s="0" t="n">
        <f aca="false">AC451*AE451/(AE451^2+AF451^2)+AD451*AF451/(AE451^2+AF451^2)</f>
        <v>225.634225740019</v>
      </c>
      <c r="AH451" s="0" t="n">
        <f aca="false">AD451*AE451/(AE451^2+AF451^2)-AC451*AF451/(AE451^2+AF451^2)</f>
        <v>-825.237213295335</v>
      </c>
      <c r="AJ451" s="0" t="n">
        <f aca="false">_Rfb1</f>
        <v>20000</v>
      </c>
      <c r="AK451" s="0" t="n">
        <f aca="false">_Rfb1*Rcea2_u*Cc3ea_u*A451*2*Pi</f>
        <v>1755964.30906512</v>
      </c>
      <c r="AL451" s="0" t="n">
        <v>1</v>
      </c>
      <c r="AM451" s="0" t="n">
        <f aca="false">(_Rfb1+Rcea2_u)*Cc3ea_u*A451*2*Pi</f>
        <v>32848.3263696533</v>
      </c>
      <c r="AN451" s="0" t="n">
        <f aca="false">AJ451*AL451/(AL451^2+AM451^2)+AK451*AM451/(AL451^2+AM451^2)</f>
        <v>53.4567544335837</v>
      </c>
      <c r="AO451" s="0" t="n">
        <f aca="false">AK451*AL451/(AL451^2+AM451^2)-AJ451*AM451/(AL451^2+AM451^2)</f>
        <v>-0.607231644653711</v>
      </c>
      <c r="AQ451" s="0" t="n">
        <f aca="false">Eadcg/(1+(Eadcg*A451/GBP)^2)</f>
        <v>0.00810779614933095</v>
      </c>
      <c r="AR451" s="0" t="n">
        <f aca="false">-(A451*Eadcg*Eadcg/GBP)/(1+(Eadcg*A451/GBP)^2)</f>
        <v>-5.06327815627643</v>
      </c>
      <c r="AT451" s="0" t="n">
        <f aca="false">-AR451*AH451+AG451*AQ451</f>
        <v>-4176.57615951809</v>
      </c>
      <c r="AU451" s="0" t="n">
        <f aca="false">AQ451*AH451+AG451*AR451</f>
        <v>-1149.13970159803</v>
      </c>
      <c r="AV451" s="0" t="n">
        <f aca="false">ATAN2(AT451,AU451)</f>
        <v>-2.87309706123978</v>
      </c>
      <c r="AW451" s="0" t="n">
        <f aca="false">AG451-AH451*AO451/_Rfb2+AG451*AN451/_Rfb2+AN451-AO451*AR451+AQ451*AN451</f>
        <v>281.652067380302</v>
      </c>
      <c r="AX451" s="0" t="n">
        <f aca="false">AH451+AH451*AN451/_Rfb2+AG451*AO451/_Rfb2+AO451+AO451*AQ451+AN451*AR451</f>
        <v>-1116.42896716553</v>
      </c>
      <c r="AY451" s="0" t="n">
        <f aca="false">ATAN2(AW451,AX451)</f>
        <v>-1.32367346779091</v>
      </c>
      <c r="BA451" s="0" t="n">
        <f aca="false">SQRT(AT451^2+AU451^2)/SQRT(AW451^2+AX451^2)</f>
        <v>3.76215665222685</v>
      </c>
      <c r="BB451" s="0" t="n">
        <f aca="false">20*LOG(BA451)</f>
        <v>11.5087375030818</v>
      </c>
      <c r="BC451" s="0" t="n">
        <f aca="false">AV451-AY451</f>
        <v>-1.54942359344887</v>
      </c>
      <c r="BD451" s="0" t="n">
        <f aca="false">BC451*180/Pi-180</f>
        <v>-268.775432684055</v>
      </c>
      <c r="BF451" s="0" t="n">
        <f aca="false">20*LOG(BA451*J451*F451*C451)</f>
        <v>-26.9449839577296</v>
      </c>
      <c r="BG451" s="0" t="n">
        <f aca="false">(180/Pi)*(D451+H451+BC451)</f>
        <v>-267.038217613456</v>
      </c>
      <c r="BH451" s="0" t="n">
        <f aca="false">IF(BG451&gt;180,BG451-180,BG451+180)</f>
        <v>-87.0382176134557</v>
      </c>
      <c r="BI451" s="0" t="n">
        <f aca="false">IF(BH451&gt;180,BH451-360,BH451)</f>
        <v>-87.0382176134557</v>
      </c>
      <c r="BJ451" s="0" t="n">
        <f aca="false">SUM((BF452&lt;0)*(BF451&gt;0))*A451</f>
        <v>0</v>
      </c>
      <c r="BK451" s="0" t="n">
        <f aca="false">IF(BJ451&gt;0,BI451,0)</f>
        <v>0</v>
      </c>
      <c r="BM451" s="0" t="n">
        <f aca="false">20*LOG(J451*F451*C451)</f>
        <v>-38.4537214608114</v>
      </c>
      <c r="BN451" s="0" t="n">
        <f aca="false">(H451+D451)*180/Pi</f>
        <v>-178.262784929401</v>
      </c>
      <c r="BQ451" s="347" t="n">
        <f aca="false">20*LOG(BA451*7)</f>
        <v>28.4106983033669</v>
      </c>
    </row>
    <row r="452" customFormat="false" ht="12.75" hidden="false" customHeight="false" outlineLevel="0" collapsed="false">
      <c r="A452" s="0" t="n">
        <f aca="false">A451+5000</f>
        <v>1190000</v>
      </c>
      <c r="B452" s="0" t="n">
        <f aca="false">A452/1000</f>
        <v>1190</v>
      </c>
      <c r="C452" s="0" t="n">
        <f aca="false">SQRT((A452/Fesr)^2+1)</f>
        <v>1.00002795230286</v>
      </c>
      <c r="D452" s="0" t="n">
        <f aca="false">ATAN(A452/Fesr)</f>
        <v>0.00747685117699082</v>
      </c>
      <c r="F452" s="0" t="n">
        <f aca="false">(Ro/(Ro+Rdcr))/SQRT((A452/(Q*Fo))^2+(1-(A452^2/Fo^2))^2)</f>
        <v>0.00131643142170408</v>
      </c>
      <c r="G452" s="0" t="n">
        <f aca="false">-ATAN(A452*Fo/(Q*(Fo^2-A452^2)))</f>
        <v>0.0227783514443722</v>
      </c>
      <c r="H452" s="0" t="n">
        <f aca="false">IF(G452&gt;0,G452-Pi,G452)</f>
        <v>-3.11881429855563</v>
      </c>
      <c r="J452" s="0" t="n">
        <f aca="false">Vin/Vramp</f>
        <v>9</v>
      </c>
      <c r="M452" s="0" t="n">
        <f aca="false">1/(2*Pi*_Rfb1*(Cc1ea_u+Cc2ea_u)*A452)</f>
        <v>0.00495346851147701</v>
      </c>
      <c r="N452" s="0" t="n">
        <f aca="false">-Pi/2</f>
        <v>-1.570796325</v>
      </c>
      <c r="O452" s="0" t="n">
        <f aca="false">SQRT(1+(A452/Fz1_u)^2)</f>
        <v>29.0877335496239</v>
      </c>
      <c r="P452" s="0" t="n">
        <f aca="false">ATAN2(Fz1_u,A452)</f>
        <v>1.53641079839886</v>
      </c>
      <c r="Q452" s="0" t="n">
        <f aca="false">SQRT(1+(A452/Fz2_u)^2)</f>
        <v>32986.9269180161</v>
      </c>
      <c r="R452" s="0" t="n">
        <f aca="false">ATAN2(Fz2_u,A452)</f>
        <v>1.57076601175516</v>
      </c>
      <c r="S452" s="0" t="n">
        <f aca="false">1/SQRT(1+(A452/Fp1_u)^2)</f>
        <v>0.0113411676000597</v>
      </c>
      <c r="T452" s="0" t="n">
        <f aca="false">-ATAN2(Fp1_u,A452)</f>
        <v>-1.55945491606</v>
      </c>
      <c r="U452" s="0" t="n">
        <f aca="false">1/SQRT(1+(A452/Fp2_u)^2)</f>
        <v>0.295742982451964</v>
      </c>
      <c r="V452" s="0" t="n">
        <f aca="false">-ATAN2(Fp2_u,A452)</f>
        <v>-1.27056312746601</v>
      </c>
      <c r="X452" s="0" t="n">
        <f aca="false">20*LOG(C452*J452*O452*Q452*F452*M452*S452*U452)</f>
        <v>-14.4762749277355</v>
      </c>
      <c r="Y452" s="0" t="n">
        <f aca="false">(180/Pi)*(D452+H452+N452+P452+R452+T452+V452)</f>
        <v>-252.38647697852</v>
      </c>
      <c r="Z452" s="0" t="n">
        <f aca="false">Y452+180</f>
        <v>-72.3864769785199</v>
      </c>
      <c r="AC452" s="0" t="n">
        <v>1</v>
      </c>
      <c r="AD452" s="0" t="n">
        <f aca="false">Rcea1_u*Cc1ea_u*A452*2*Pi</f>
        <v>29.070539091216</v>
      </c>
      <c r="AE452" s="0" t="n">
        <f aca="false">-Rcea1_u*Cc1ea_u*Cc2ea_u*(A452*2*Pi)^2</f>
        <v>-0.0326040217227592</v>
      </c>
      <c r="AF452" s="0" t="n">
        <f aca="false">(Cc2ea_u+Cc1ea_u)*A452*2*Pi</f>
        <v>0.01009393718445</v>
      </c>
      <c r="AG452" s="0" t="n">
        <f aca="false">AC452*AE452/(AE452^2+AF452^2)+AD452*AF452/(AE452^2+AF452^2)</f>
        <v>223.907613874131</v>
      </c>
      <c r="AH452" s="0" t="n">
        <f aca="false">AD452*AE452/(AE452^2+AF452^2)-AC452*AF452/(AE452^2+AF452^2)</f>
        <v>-822.304374890521</v>
      </c>
      <c r="AJ452" s="0" t="n">
        <f aca="false">_Rfb1</f>
        <v>20000</v>
      </c>
      <c r="AK452" s="0" t="n">
        <f aca="false">_Rfb1*Rcea2_u*Cc3ea_u*A452*2*Pi</f>
        <v>1763373.44117088</v>
      </c>
      <c r="AL452" s="0" t="n">
        <v>1</v>
      </c>
      <c r="AM452" s="0" t="n">
        <f aca="false">(_Rfb1+Rcea2_u)*Cc3ea_u*A452*2*Pi</f>
        <v>32986.9269028585</v>
      </c>
      <c r="AN452" s="0" t="n">
        <f aca="false">AJ452*AL452/(AL452^2+AM452^2)+AK452*AM452/(AL452^2+AM452^2)</f>
        <v>53.4567542785661</v>
      </c>
      <c r="AO452" s="0" t="n">
        <f aca="false">AK452*AL452/(AL452^2+AM452^2)-AJ452*AM452/(AL452^2+AM452^2)</f>
        <v>-0.604680251193479</v>
      </c>
      <c r="AQ452" s="0" t="n">
        <f aca="false">Eadcg/(1+(Eadcg*A452/GBP)^2)</f>
        <v>0.00803980671746289</v>
      </c>
      <c r="AR452" s="0" t="n">
        <f aca="false">-(A452*Eadcg*Eadcg/GBP)/(1+(Eadcg*A452/GBP)^2)</f>
        <v>-5.0420039867225</v>
      </c>
      <c r="AT452" s="0" t="n">
        <f aca="false">-AR452*AH452+AG452*AQ452</f>
        <v>-4144.26176255924</v>
      </c>
      <c r="AU452" s="0" t="n">
        <f aca="false">AQ452*AH452+AG452*AR452</f>
        <v>-1135.55425004794</v>
      </c>
      <c r="AV452" s="0" t="n">
        <f aca="false">ATAN2(AT452,AU452)</f>
        <v>-2.87415041828839</v>
      </c>
      <c r="AW452" s="0" t="n">
        <f aca="false">AG452-AH452*AO452/_Rfb2+AG452*AN452/_Rfb2+AN452-AO452*AR452+AQ452*AN452</f>
        <v>279.907814273631</v>
      </c>
      <c r="AX452" s="0" t="n">
        <f aca="false">AH452+AH452*AN452/_Rfb2+AG452*AO452/_Rfb2+AO452+AO452*AQ452+AN452*AR452</f>
        <v>-1112.28498678415</v>
      </c>
      <c r="AY452" s="0" t="n">
        <f aca="false">ATAN2(AW452,AX452)</f>
        <v>-1.32426422949444</v>
      </c>
      <c r="BA452" s="0" t="n">
        <f aca="false">SQRT(AT452^2+AU452^2)/SQRT(AW452^2+AX452^2)</f>
        <v>3.74643073049245</v>
      </c>
      <c r="BB452" s="0" t="n">
        <f aca="false">20*LOG(BA452)</f>
        <v>11.4723541426968</v>
      </c>
      <c r="BC452" s="0" t="n">
        <f aca="false">AV452-AY452</f>
        <v>-1.54988618879395</v>
      </c>
      <c r="BD452" s="0" t="n">
        <f aca="false">BC452*180/Pi-180</f>
        <v>-268.801937444981</v>
      </c>
      <c r="BF452" s="0" t="n">
        <f aca="false">20*LOG(BA452*J452*F452*C452)</f>
        <v>-27.0545880841747</v>
      </c>
      <c r="BG452" s="0" t="n">
        <f aca="false">(180/Pi)*(D452+H452+BC452)</f>
        <v>-267.068442024483</v>
      </c>
      <c r="BH452" s="0" t="n">
        <f aca="false">IF(BG452&gt;180,BG452-180,BG452+180)</f>
        <v>-87.0684420244826</v>
      </c>
      <c r="BI452" s="0" t="n">
        <f aca="false">IF(BH452&gt;180,BH452-360,BH452)</f>
        <v>-87.0684420244826</v>
      </c>
      <c r="BJ452" s="0" t="n">
        <f aca="false">SUM((BF453&lt;0)*(BF452&gt;0))*A452</f>
        <v>0</v>
      </c>
      <c r="BK452" s="0" t="n">
        <f aca="false">IF(BJ452&gt;0,BI452,0)</f>
        <v>0</v>
      </c>
      <c r="BM452" s="0" t="n">
        <f aca="false">20*LOG(J452*F452*C452)</f>
        <v>-38.5269422268715</v>
      </c>
      <c r="BN452" s="0" t="n">
        <f aca="false">(H452+D452)*180/Pi</f>
        <v>-178.266504579502</v>
      </c>
      <c r="BQ452" s="347" t="n">
        <f aca="false">20*LOG(BA452*7)</f>
        <v>28.3743149429819</v>
      </c>
    </row>
    <row r="453" customFormat="false" ht="12.75" hidden="false" customHeight="false" outlineLevel="0" collapsed="false">
      <c r="A453" s="0" t="n">
        <f aca="false">A452+5000</f>
        <v>1195000</v>
      </c>
      <c r="B453" s="0" t="n">
        <f aca="false">A453/1000</f>
        <v>1195</v>
      </c>
      <c r="C453" s="0" t="n">
        <f aca="false">SQRT((A453/Fesr)^2+1)</f>
        <v>1.00002818768631</v>
      </c>
      <c r="D453" s="0" t="n">
        <f aca="false">ATAN(A453/Fesr)</f>
        <v>0.00750826533988047</v>
      </c>
      <c r="F453" s="0" t="n">
        <f aca="false">(Ro/(Ro+Rdcr))/SQRT((A453/(Q*Fo))^2+(1-(A453^2/Fo^2))^2)</f>
        <v>0.00130542667610107</v>
      </c>
      <c r="G453" s="0" t="n">
        <f aca="false">-ATAN(A453*Fo/(Q*(Fo^2-A453^2)))</f>
        <v>0.0226828260455828</v>
      </c>
      <c r="H453" s="0" t="n">
        <f aca="false">IF(G453&gt;0,G453-Pi,G453)</f>
        <v>-3.11890982395442</v>
      </c>
      <c r="J453" s="0" t="n">
        <f aca="false">Vin/Vramp</f>
        <v>9</v>
      </c>
      <c r="M453" s="0" t="n">
        <f aca="false">1/(2*Pi*_Rfb1*(Cc1ea_u+Cc2ea_u)*A453)</f>
        <v>0.00493274270180556</v>
      </c>
      <c r="N453" s="0" t="n">
        <f aca="false">-Pi/2</f>
        <v>-1.570796325</v>
      </c>
      <c r="O453" s="0" t="n">
        <f aca="false">SQRT(1+(A453/Fz1_u)^2)</f>
        <v>29.2098067707764</v>
      </c>
      <c r="P453" s="0" t="n">
        <f aca="false">ATAN2(Fz1_u,A453)</f>
        <v>1.53655455823285</v>
      </c>
      <c r="Q453" s="0" t="n">
        <f aca="false">SQRT(1+(A453/Fz2_u)^2)</f>
        <v>33125.5274511579</v>
      </c>
      <c r="R453" s="0" t="n">
        <f aca="false">ATAN2(Fz2_u,A453)</f>
        <v>1.57076613859634</v>
      </c>
      <c r="S453" s="0" t="n">
        <f aca="false">1/SQRT(1+(A453/Fp1_u)^2)</f>
        <v>0.0112937210811613</v>
      </c>
      <c r="T453" s="0" t="n">
        <f aca="false">-ATAN2(Fp1_u,A453)</f>
        <v>-1.55950236561778</v>
      </c>
      <c r="U453" s="0" t="n">
        <f aca="false">1/SQRT(1+(A453/Fp2_u)^2)</f>
        <v>0.294613174197619</v>
      </c>
      <c r="V453" s="0" t="n">
        <f aca="false">-ATAN2(Fp2_u,A453)</f>
        <v>-1.27174562523964</v>
      </c>
      <c r="X453" s="0" t="n">
        <f aca="false">20*LOG(C453*J453*O453*Q453*F453*M453*S453*U453)</f>
        <v>-14.5824719160197</v>
      </c>
      <c r="Y453" s="0" t="n">
        <f aca="false">(180/Pi)*(D453+H453+N453+P453+R453+T453+V453)</f>
        <v>-252.452376973729</v>
      </c>
      <c r="Z453" s="0" t="n">
        <f aca="false">Y453+180</f>
        <v>-72.4523769737295</v>
      </c>
      <c r="AC453" s="0" t="n">
        <v>1</v>
      </c>
      <c r="AD453" s="0" t="n">
        <f aca="false">Rcea1_u*Cc1ea_u*A453*2*Pi</f>
        <v>29.192684213448</v>
      </c>
      <c r="AE453" s="0" t="n">
        <f aca="false">-Rcea1_u*Cc1ea_u*Cc2ea_u*(A453*2*Pi)^2</f>
        <v>-0.032878580693908</v>
      </c>
      <c r="AF453" s="0" t="n">
        <f aca="false">(Cc2ea_u+Cc1ea_u)*A453*2*Pi</f>
        <v>0.010136348685225</v>
      </c>
      <c r="AG453" s="0" t="n">
        <f aca="false">AC453*AE453/(AE453^2+AF453^2)+AD453*AF453/(AE453^2+AF453^2)</f>
        <v>222.20012137164</v>
      </c>
      <c r="AH453" s="0" t="n">
        <f aca="false">AD453*AE453/(AE453^2+AF453^2)-AC453*AF453/(AE453^2+AF453^2)</f>
        <v>-819.390184635234</v>
      </c>
      <c r="AJ453" s="0" t="n">
        <f aca="false">_Rfb1</f>
        <v>20000</v>
      </c>
      <c r="AK453" s="0" t="n">
        <f aca="false">_Rfb1*Rcea2_u*Cc3ea_u*A453*2*Pi</f>
        <v>1770782.57327664</v>
      </c>
      <c r="AL453" s="0" t="n">
        <v>1</v>
      </c>
      <c r="AM453" s="0" t="n">
        <f aca="false">(_Rfb1+Rcea2_u)*Cc3ea_u*A453*2*Pi</f>
        <v>33125.5274360638</v>
      </c>
      <c r="AN453" s="0" t="n">
        <f aca="false">AJ453*AL453/(AL453^2+AM453^2)+AK453*AM453/(AL453^2+AM453^2)</f>
        <v>53.4567541254903</v>
      </c>
      <c r="AO453" s="0" t="n">
        <f aca="false">AK453*AL453/(AL453^2+AM453^2)-AJ453*AM453/(AL453^2+AM453^2)</f>
        <v>-0.602150208306077</v>
      </c>
      <c r="AQ453" s="0" t="n">
        <f aca="false">Eadcg/(1+(Eadcg*A453/GBP)^2)</f>
        <v>0.00797266891989826</v>
      </c>
      <c r="AR453" s="0" t="n">
        <f aca="false">-(A453*Eadcg*Eadcg/GBP)/(1+(Eadcg*A453/GBP)^2)</f>
        <v>-5.02090784233973</v>
      </c>
      <c r="AT453" s="0" t="n">
        <f aca="false">-AR453*AH453+AG453*AQ453</f>
        <v>-4112.31107596959</v>
      </c>
      <c r="AU453" s="0" t="n">
        <f aca="false">AQ453*AH453+AG453*AR453</f>
        <v>-1122.17905862202</v>
      </c>
      <c r="AV453" s="0" t="n">
        <f aca="false">ATAN2(AT453,AU453)</f>
        <v>-2.87519582803423</v>
      </c>
      <c r="AW453" s="0" t="n">
        <f aca="false">AG453-AH453*AO453/_Rfb2+AG453*AN453/_Rfb2+AN453-AO453*AR453+AQ453*AN453</f>
        <v>278.18284337416</v>
      </c>
      <c r="AX453" s="0" t="n">
        <f aca="false">AH453+AH453*AN453/_Rfb2+AG453*AO453/_Rfb2+AO453+AO453*AQ453+AN453*AR453</f>
        <v>-1108.16965346951</v>
      </c>
      <c r="AY453" s="0" t="n">
        <f aca="false">ATAN2(AW453,AX453)</f>
        <v>-1.32484932302743</v>
      </c>
      <c r="BA453" s="0" t="n">
        <f aca="false">SQRT(AT453^2+AU453^2)/SQRT(AW453^2+AX453^2)</f>
        <v>3.73083487795032</v>
      </c>
      <c r="BB453" s="0" t="n">
        <f aca="false">20*LOG(BA453)</f>
        <v>11.436120562795</v>
      </c>
      <c r="BC453" s="0" t="n">
        <f aca="false">AV453-AY453</f>
        <v>-1.5503465050068</v>
      </c>
      <c r="BD453" s="0" t="n">
        <f aca="false">BC453*180/Pi-180</f>
        <v>-268.828311621248</v>
      </c>
      <c r="BF453" s="0" t="n">
        <f aca="false">20*LOG(BA453*J453*F453*C453)</f>
        <v>-27.163734753519</v>
      </c>
      <c r="BG453" s="0" t="n">
        <f aca="false">(180/Pi)*(D453+H453+BC453)</f>
        <v>-267.098489503991</v>
      </c>
      <c r="BH453" s="0" t="n">
        <f aca="false">IF(BG453&gt;180,BG453-180,BG453+180)</f>
        <v>-87.098489503991</v>
      </c>
      <c r="BI453" s="0" t="n">
        <f aca="false">IF(BH453&gt;180,BH453-360,BH453)</f>
        <v>-87.098489503991</v>
      </c>
      <c r="BJ453" s="0" t="n">
        <f aca="false">SUM((BF454&lt;0)*(BF453&gt;0))*A453</f>
        <v>0</v>
      </c>
      <c r="BK453" s="0" t="n">
        <f aca="false">IF(BJ453&gt;0,BI453,0)</f>
        <v>0</v>
      </c>
      <c r="BM453" s="0" t="n">
        <f aca="false">20*LOG(J453*F453*C453)</f>
        <v>-38.599855316314</v>
      </c>
      <c r="BN453" s="0" t="n">
        <f aca="false">(H453+D453)*180/Pi</f>
        <v>-178.270177882743</v>
      </c>
      <c r="BQ453" s="347" t="n">
        <f aca="false">20*LOG(BA453*7)</f>
        <v>28.3380813630801</v>
      </c>
    </row>
    <row r="454" customFormat="false" ht="12.75" hidden="false" customHeight="false" outlineLevel="0" collapsed="false">
      <c r="A454" s="0" t="n">
        <f aca="false">A453+5000</f>
        <v>1200000</v>
      </c>
      <c r="B454" s="0" t="n">
        <f aca="false">A454/1000</f>
        <v>1200</v>
      </c>
      <c r="C454" s="0" t="n">
        <f aca="false">SQRT((A454/Fesr)^2+1)</f>
        <v>1.00002842405665</v>
      </c>
      <c r="D454" s="0" t="n">
        <f aca="false">ATAN(A454/Fesr)</f>
        <v>0.00753967948795079</v>
      </c>
      <c r="F454" s="0" t="n">
        <f aca="false">(Ro/(Ro+Rdcr))/SQRT((A454/(Q*Fo))^2+(1-(A454^2/Fo^2))^2)</f>
        <v>0.00129455939539641</v>
      </c>
      <c r="G454" s="0" t="n">
        <f aca="false">-ATAN(A454*Fo/(Q*(Fo^2-A454^2)))</f>
        <v>0.0225880994093234</v>
      </c>
      <c r="H454" s="0" t="n">
        <f aca="false">IF(G454&gt;0,G454-Pi,G454)</f>
        <v>-3.11900455059068</v>
      </c>
      <c r="J454" s="0" t="n">
        <f aca="false">Vin/Vramp</f>
        <v>9</v>
      </c>
      <c r="M454" s="0" t="n">
        <f aca="false">1/(2*Pi*_Rfb1*(Cc1ea_u+Cc2ea_u)*A454)</f>
        <v>0.0049121896072147</v>
      </c>
      <c r="N454" s="0" t="n">
        <f aca="false">-Pi/2</f>
        <v>-1.570796325</v>
      </c>
      <c r="O454" s="0" t="n">
        <f aca="false">SQRT(1+(A454/Fz1_u)^2)</f>
        <v>29.33188059058</v>
      </c>
      <c r="P454" s="0" t="n">
        <f aca="false">ATAN2(Fz1_u,A454)</f>
        <v>1.5366971214665</v>
      </c>
      <c r="Q454" s="0" t="n">
        <f aca="false">SQRT(1+(A454/Fz2_u)^2)</f>
        <v>33264.1279843003</v>
      </c>
      <c r="R454" s="0" t="n">
        <f aca="false">ATAN2(Fz2_u,A454)</f>
        <v>1.5707662643805</v>
      </c>
      <c r="S454" s="0" t="n">
        <f aca="false">1/SQRT(1+(A454/Fp1_u)^2)</f>
        <v>0.0112466698745883</v>
      </c>
      <c r="T454" s="0" t="n">
        <f aca="false">-ATAN2(Fp1_u,A454)</f>
        <v>-1.5595494198128</v>
      </c>
      <c r="U454" s="0" t="n">
        <f aca="false">1/SQRT(1+(A454/Fp2_u)^2)</f>
        <v>0.293491559646184</v>
      </c>
      <c r="V454" s="0" t="n">
        <f aca="false">-ATAN2(Fp2_u,A454)</f>
        <v>-1.27291912092754</v>
      </c>
      <c r="X454" s="0" t="n">
        <f aca="false">20*LOG(C454*J454*O454*Q454*F454*M454*S454*U454)</f>
        <v>-14.6882485715397</v>
      </c>
      <c r="Y454" s="0" t="n">
        <f aca="false">(180/Pi)*(D454+H454+N454+P454+R454+T454+V454)</f>
        <v>-252.517761390641</v>
      </c>
      <c r="Z454" s="0" t="n">
        <f aca="false">Y454+180</f>
        <v>-72.5177613906409</v>
      </c>
      <c r="AC454" s="0" t="n">
        <v>1</v>
      </c>
      <c r="AD454" s="0" t="n">
        <f aca="false">Rcea1_u*Cc1ea_u*A454*2*Pi</f>
        <v>29.31482933568</v>
      </c>
      <c r="AE454" s="0" t="n">
        <f aca="false">-Rcea1_u*Cc1ea_u*Cc2ea_u*(A454*2*Pi)^2</f>
        <v>-0.0331542908557116</v>
      </c>
      <c r="AF454" s="0" t="n">
        <f aca="false">(Cc2ea_u+Cc1ea_u)*A454*2*Pi</f>
        <v>0.010178760186</v>
      </c>
      <c r="AG454" s="0" t="n">
        <f aca="false">AC454*AE454/(AE454^2+AF454^2)+AD454*AF454/(AE454^2+AF454^2)</f>
        <v>220.511476693887</v>
      </c>
      <c r="AH454" s="0" t="n">
        <f aca="false">AD454*AE454/(AE454^2+AF454^2)-AC454*AF454/(AE454^2+AF454^2)</f>
        <v>-816.494492793191</v>
      </c>
      <c r="AJ454" s="0" t="n">
        <f aca="false">_Rfb1</f>
        <v>20000</v>
      </c>
      <c r="AK454" s="0" t="n">
        <f aca="false">_Rfb1*Rcea2_u*Cc3ea_u*A454*2*Pi</f>
        <v>1778191.7053824</v>
      </c>
      <c r="AL454" s="0" t="n">
        <v>1</v>
      </c>
      <c r="AM454" s="0" t="n">
        <f aca="false">(_Rfb1+Rcea2_u)*Cc3ea_u*A454*2*Pi</f>
        <v>33264.1279692691</v>
      </c>
      <c r="AN454" s="0" t="n">
        <f aca="false">AJ454*AL454/(AL454^2+AM454^2)+AK454*AM454/(AL454^2+AM454^2)</f>
        <v>53.456753974324</v>
      </c>
      <c r="AO454" s="0" t="n">
        <f aca="false">AK454*AL454/(AL454^2+AM454^2)-AJ454*AM454/(AL454^2+AM454^2)</f>
        <v>-0.599641249109346</v>
      </c>
      <c r="AQ454" s="0" t="n">
        <f aca="false">Eadcg/(1+(Eadcg*A454/GBP)^2)</f>
        <v>0.00790636859240335</v>
      </c>
      <c r="AR454" s="0" t="n">
        <f aca="false">-(A454*Eadcg*Eadcg/GBP)/(1+(Eadcg*A454/GBP)^2)</f>
        <v>-4.99998749783588</v>
      </c>
      <c r="AT454" s="0" t="n">
        <f aca="false">-AR454*AH454+AG454*AQ454</f>
        <v>-4080.71881100421</v>
      </c>
      <c r="AU454" s="0" t="n">
        <f aca="false">AQ454*AH454+AG454*AR454</f>
        <v>-1109.01013301245</v>
      </c>
      <c r="AV454" s="0" t="n">
        <f aca="false">ATAN2(AT454,AU454)</f>
        <v>-2.87623337669643</v>
      </c>
      <c r="AW454" s="0" t="n">
        <f aca="false">AG454-AH454*AO454/_Rfb2+AG454*AN454/_Rfb2+AN454-AO454*AR454+AQ454*AN454</f>
        <v>276.476881511418</v>
      </c>
      <c r="AX454" s="0" t="n">
        <f aca="false">AH454+AH454*AN454/_Rfb2+AG454*AO454/_Rfb2+AO454+AO454*AQ454+AN454*AR454</f>
        <v>-1104.08269442353</v>
      </c>
      <c r="AY454" s="0" t="n">
        <f aca="false">ATAN2(AW454,AX454)</f>
        <v>-1.32542880657806</v>
      </c>
      <c r="BA454" s="0" t="n">
        <f aca="false">SQRT(AT454^2+AU454^2)/SQRT(AW454^2+AX454^2)</f>
        <v>3.71536749164103</v>
      </c>
      <c r="BB454" s="0" t="n">
        <f aca="false">20*LOG(BA454)</f>
        <v>11.4000355366209</v>
      </c>
      <c r="BC454" s="0" t="n">
        <f aca="false">AV454-AY454</f>
        <v>-1.55080457011837</v>
      </c>
      <c r="BD454" s="0" t="n">
        <f aca="false">BC454*180/Pi-180</f>
        <v>-268.854556818914</v>
      </c>
      <c r="BF454" s="0" t="n">
        <f aca="false">20*LOG(BA454*J454*F454*C454)</f>
        <v>-27.2724277699198</v>
      </c>
      <c r="BG454" s="0" t="n">
        <f aca="false">(180/Pi)*(D454+H454+BC454)</f>
        <v>-267.128362240024</v>
      </c>
      <c r="BH454" s="0" t="n">
        <f aca="false">IF(BG454&gt;180,BG454-180,BG454+180)</f>
        <v>-87.1283622400241</v>
      </c>
      <c r="BI454" s="0" t="n">
        <f aca="false">IF(BH454&gt;180,BH454-360,BH454)</f>
        <v>-87.1283622400241</v>
      </c>
      <c r="BJ454" s="0" t="n">
        <f aca="false">SUM((BF455&lt;0)*(BF454&gt;0))*A454</f>
        <v>0</v>
      </c>
      <c r="BK454" s="0" t="n">
        <f aca="false">IF(BJ454&gt;0,BI454,0)</f>
        <v>0</v>
      </c>
      <c r="BM454" s="0" t="n">
        <f aca="false">20*LOG(J454*F454*C454)</f>
        <v>-38.6724633065407</v>
      </c>
      <c r="BN454" s="0" t="n">
        <f aca="false">(H454+D454)*180/Pi</f>
        <v>-178.27380542111</v>
      </c>
      <c r="BQ454" s="347" t="n">
        <f aca="false">20*LOG(BA454*7)</f>
        <v>28.301996336906</v>
      </c>
    </row>
    <row r="455" customFormat="false" ht="12.75" hidden="false" customHeight="false" outlineLevel="0" collapsed="false">
      <c r="A455" s="0" t="n">
        <f aca="false">A454+5000</f>
        <v>1205000</v>
      </c>
      <c r="B455" s="0" t="n">
        <f aca="false">A455/1000</f>
        <v>1205</v>
      </c>
      <c r="C455" s="0" t="n">
        <f aca="false">SQRT((A455/Fesr)^2+1)</f>
        <v>1.00002866141386</v>
      </c>
      <c r="D455" s="0" t="n">
        <f aca="false">ATAN(A455/Fesr)</f>
        <v>0.00757109362113979</v>
      </c>
      <c r="F455" s="0" t="n">
        <f aca="false">(Ro/(Ro+Rdcr))/SQRT((A455/(Q*Fo))^2+(1-(A455^2/Fo^2))^2)</f>
        <v>0.0012838272987937</v>
      </c>
      <c r="G455" s="0" t="n">
        <f aca="false">-ATAN(A455*Fo/(Q*(Fo^2-A455^2)))</f>
        <v>0.0224941615475965</v>
      </c>
      <c r="H455" s="0" t="n">
        <f aca="false">IF(G455&gt;0,G455-Pi,G455)</f>
        <v>-3.1190984884524</v>
      </c>
      <c r="J455" s="0" t="n">
        <f aca="false">Vin/Vramp</f>
        <v>9</v>
      </c>
      <c r="M455" s="0" t="n">
        <f aca="false">1/(2*Pi*_Rfb1*(Cc1ea_u+Cc2ea_u)*A455)</f>
        <v>0.00489180707772419</v>
      </c>
      <c r="N455" s="0" t="n">
        <f aca="false">-Pi/2</f>
        <v>-1.570796325</v>
      </c>
      <c r="O455" s="0" t="n">
        <f aca="false">SQRT(1+(A455/Fz1_u)^2)</f>
        <v>29.4539550015913</v>
      </c>
      <c r="P455" s="0" t="n">
        <f aca="false">ATAN2(Fz1_u,A455)</f>
        <v>1.53683850297222</v>
      </c>
      <c r="Q455" s="0" t="n">
        <f aca="false">SQRT(1+(A455/Fz2_u)^2)</f>
        <v>33402.7285174432</v>
      </c>
      <c r="R455" s="0" t="n">
        <f aca="false">ATAN2(Fz2_u,A455)</f>
        <v>1.5707663891208</v>
      </c>
      <c r="S455" s="0" t="n">
        <f aca="false">1/SQRT(1+(A455/Fp1_u)^2)</f>
        <v>0.0112000090606826</v>
      </c>
      <c r="T455" s="0" t="n">
        <f aca="false">-ATAN2(Fp1_u,A455)</f>
        <v>-1.55959608356576</v>
      </c>
      <c r="U455" s="0" t="n">
        <f aca="false">1/SQRT(1+(A455/Fp2_u)^2)</f>
        <v>0.292378054785622</v>
      </c>
      <c r="V455" s="0" t="n">
        <f aca="false">-ATAN2(Fp2_u,A455)</f>
        <v>-1.27408371374071</v>
      </c>
      <c r="X455" s="0" t="n">
        <f aca="false">20*LOG(C455*J455*O455*Q455*F455*M455*S455*U455)</f>
        <v>-14.7936081376012</v>
      </c>
      <c r="Y455" s="0" t="n">
        <f aca="false">(180/Pi)*(D455+H455+N455+P455+R455+T455+V455)</f>
        <v>-252.582635914955</v>
      </c>
      <c r="Z455" s="0" t="n">
        <f aca="false">Y455+180</f>
        <v>-72.5826359149549</v>
      </c>
      <c r="AC455" s="0" t="n">
        <v>1</v>
      </c>
      <c r="AD455" s="0" t="n">
        <f aca="false">Rcea1_u*Cc1ea_u*A455*2*Pi</f>
        <v>29.436974457912</v>
      </c>
      <c r="AE455" s="0" t="n">
        <f aca="false">-Rcea1_u*Cc1ea_u*Cc2ea_u*(A455*2*Pi)^2</f>
        <v>-0.0334311522081699</v>
      </c>
      <c r="AF455" s="0" t="n">
        <f aca="false">(Cc2ea_u+Cc1ea_u)*A455*2*Pi</f>
        <v>0.010221171686775</v>
      </c>
      <c r="AG455" s="0" t="n">
        <f aca="false">AC455*AE455/(AE455^2+AF455^2)+AD455*AF455/(AE455^2+AF455^2)</f>
        <v>218.841412915774</v>
      </c>
      <c r="AH455" s="0" t="n">
        <f aca="false">AD455*AE455/(AE455^2+AF455^2)-AC455*AF455/(AE455^2+AF455^2)</f>
        <v>-813.617150702819</v>
      </c>
      <c r="AJ455" s="0" t="n">
        <f aca="false">_Rfb1</f>
        <v>20000</v>
      </c>
      <c r="AK455" s="0" t="n">
        <f aca="false">_Rfb1*Rcea2_u*Cc3ea_u*A455*2*Pi</f>
        <v>1785600.83748816</v>
      </c>
      <c r="AL455" s="0" t="n">
        <v>1</v>
      </c>
      <c r="AM455" s="0" t="n">
        <f aca="false">(_Rfb1+Rcea2_u)*Cc3ea_u*A455*2*Pi</f>
        <v>33402.7285024744</v>
      </c>
      <c r="AN455" s="0" t="n">
        <f aca="false">AJ455*AL455/(AL455^2+AM455^2)+AK455*AM455/(AL455^2+AM455^2)</f>
        <v>53.4567538250355</v>
      </c>
      <c r="AO455" s="0" t="n">
        <f aca="false">AK455*AL455/(AL455^2+AM455^2)-AJ455*AM455/(AL455^2+AM455^2)</f>
        <v>-0.597153111150706</v>
      </c>
      <c r="AQ455" s="0" t="n">
        <f aca="false">Eadcg/(1+(Eadcg*A455/GBP)^2)</f>
        <v>0.00784089186399576</v>
      </c>
      <c r="AR455" s="0" t="n">
        <f aca="false">-(A455*Eadcg*Eadcg/GBP)/(1+(Eadcg*A455/GBP)^2)</f>
        <v>-4.97924076485255</v>
      </c>
      <c r="AT455" s="0" t="n">
        <f aca="false">-AR455*AH455+AG455*AQ455</f>
        <v>-4049.47977190862</v>
      </c>
      <c r="AU455" s="0" t="n">
        <f aca="false">AQ455*AH455+AG455*AR455</f>
        <v>-1096.0435683255</v>
      </c>
      <c r="AV455" s="0" t="n">
        <f aca="false">ATAN2(AT455,AU455)</f>
        <v>-2.87726314930569</v>
      </c>
      <c r="AW455" s="0" t="n">
        <f aca="false">AG455-AH455*AO455/_Rfb2+AG455*AN455/_Rfb2+AN455-AO455*AR455+AQ455*AN455</f>
        <v>274.789660138912</v>
      </c>
      <c r="AX455" s="0" t="n">
        <f aca="false">AH455+AH455*AN455/_Rfb2+AG455*AO455/_Rfb2+AO455+AO455*AQ455+AN455*AR455</f>
        <v>-1100.02383993283</v>
      </c>
      <c r="AY455" s="0" t="n">
        <f aca="false">ATAN2(AW455,AX455)</f>
        <v>-1.32600273760325</v>
      </c>
      <c r="BA455" s="0" t="n">
        <f aca="false">SQRT(AT455^2+AU455^2)/SQRT(AW455^2+AX455^2)</f>
        <v>3.70002699474423</v>
      </c>
      <c r="BB455" s="0" t="n">
        <f aca="false">20*LOG(BA455)</f>
        <v>11.3640978522896</v>
      </c>
      <c r="BC455" s="0" t="n">
        <f aca="false">AV455-AY455</f>
        <v>-1.55126041170245</v>
      </c>
      <c r="BD455" s="0" t="n">
        <f aca="false">BC455*180/Pi-180</f>
        <v>-268.880674617838</v>
      </c>
      <c r="BF455" s="0" t="n">
        <f aca="false">20*LOG(BA455*J455*F455*C455)</f>
        <v>-27.3806708903781</v>
      </c>
      <c r="BG455" s="0" t="n">
        <f aca="false">(180/Pi)*(D455+H455+BC455)</f>
        <v>-267.158062384717</v>
      </c>
      <c r="BH455" s="0" t="n">
        <f aca="false">IF(BG455&gt;180,BG455-180,BG455+180)</f>
        <v>-87.1580623847168</v>
      </c>
      <c r="BI455" s="0" t="n">
        <f aca="false">IF(BH455&gt;180,BH455-360,BH455)</f>
        <v>-87.1580623847168</v>
      </c>
      <c r="BJ455" s="0" t="n">
        <f aca="false">SUM((BF456&lt;0)*(BF455&gt;0))*A455</f>
        <v>0</v>
      </c>
      <c r="BK455" s="0" t="n">
        <f aca="false">IF(BJ455&gt;0,BI455,0)</f>
        <v>0</v>
      </c>
      <c r="BM455" s="0" t="n">
        <f aca="false">20*LOG(J455*F455*C455)</f>
        <v>-38.7447687426676</v>
      </c>
      <c r="BN455" s="0" t="n">
        <f aca="false">(H455+D455)*180/Pi</f>
        <v>-178.277387766879</v>
      </c>
      <c r="BQ455" s="347" t="n">
        <f aca="false">20*LOG(BA455*7)</f>
        <v>28.2660586525747</v>
      </c>
    </row>
    <row r="456" customFormat="false" ht="12.75" hidden="false" customHeight="false" outlineLevel="0" collapsed="false">
      <c r="A456" s="0" t="n">
        <f aca="false">A455+5000</f>
        <v>1210000</v>
      </c>
      <c r="B456" s="0" t="n">
        <f aca="false">A456/1000</f>
        <v>1210</v>
      </c>
      <c r="C456" s="0" t="n">
        <f aca="false">SQRT((A456/Fesr)^2+1)</f>
        <v>1.00002889975794</v>
      </c>
      <c r="D456" s="0" t="n">
        <f aca="false">ATAN(A456/Fesr)</f>
        <v>0.00760250773938548</v>
      </c>
      <c r="F456" s="0" t="n">
        <f aca="false">(Ro/(Ro+Rdcr))/SQRT((A456/(Q*Fo))^2+(1-(A456^2/Fo^2))^2)</f>
        <v>0.00127322815262044</v>
      </c>
      <c r="G456" s="0" t="n">
        <f aca="false">-ATAN(A456*Fo/(Q*(Fo^2-A456^2)))</f>
        <v>0.0224010026384195</v>
      </c>
      <c r="H456" s="0" t="n">
        <f aca="false">IF(G456&gt;0,G456-Pi,G456)</f>
        <v>-3.11919164736158</v>
      </c>
      <c r="J456" s="0" t="n">
        <f aca="false">Vin/Vramp</f>
        <v>9</v>
      </c>
      <c r="M456" s="0" t="n">
        <f aca="false">1/(2*Pi*_Rfb1*(Cc1ea_u+Cc2ea_u)*A456)</f>
        <v>0.00487159299889061</v>
      </c>
      <c r="N456" s="0" t="n">
        <f aca="false">-Pi/2</f>
        <v>-1.570796325</v>
      </c>
      <c r="O456" s="0" t="n">
        <f aca="false">SQRT(1+(A456/Fz1_u)^2)</f>
        <v>29.5760299964896</v>
      </c>
      <c r="P456" s="0" t="n">
        <f aca="false">ATAN2(Fz1_u,A456)</f>
        <v>1.53697871737704</v>
      </c>
      <c r="Q456" s="0" t="n">
        <f aca="false">SQRT(1+(A456/Fz2_u)^2)</f>
        <v>33541.3290505867</v>
      </c>
      <c r="R456" s="0" t="n">
        <f aca="false">ATAN2(Fz2_u,A456)</f>
        <v>1.5707665128302</v>
      </c>
      <c r="S456" s="0" t="n">
        <f aca="false">1/SQRT(1+(A456/Fp1_u)^2)</f>
        <v>0.0111537338010774</v>
      </c>
      <c r="T456" s="0" t="n">
        <f aca="false">-ATAN2(Fp1_u,A456)</f>
        <v>-1.55964236171605</v>
      </c>
      <c r="U456" s="0" t="n">
        <f aca="false">1/SQRT(1+(A456/Fp2_u)^2)</f>
        <v>0.291272576670919</v>
      </c>
      <c r="V456" s="0" t="n">
        <f aca="false">-ATAN2(Fp2_u,A456)</f>
        <v>-1.2752395014871</v>
      </c>
      <c r="X456" s="0" t="n">
        <f aca="false">20*LOG(C456*J456*O456*Q456*F456*M456*S456*U456)</f>
        <v>-14.8985538207431</v>
      </c>
      <c r="Y456" s="0" t="n">
        <f aca="false">(180/Pi)*(D456+H456+N456+P456+R456+T456+V456)</f>
        <v>-252.647006151883</v>
      </c>
      <c r="Z456" s="0" t="n">
        <f aca="false">Y456+180</f>
        <v>-72.6470061518826</v>
      </c>
      <c r="AC456" s="0" t="n">
        <v>1</v>
      </c>
      <c r="AD456" s="0" t="n">
        <f aca="false">Rcea1_u*Cc1ea_u*A456*2*Pi</f>
        <v>29.559119580144</v>
      </c>
      <c r="AE456" s="0" t="n">
        <f aca="false">-Rcea1_u*Cc1ea_u*Cc2ea_u*(A456*2*Pi)^2</f>
        <v>-0.0337091647512829</v>
      </c>
      <c r="AF456" s="0" t="n">
        <f aca="false">(Cc2ea_u+Cc1ea_u)*A456*2*Pi</f>
        <v>0.01026358318755</v>
      </c>
      <c r="AG456" s="0" t="n">
        <f aca="false">AC456*AE456/(AE456^2+AF456^2)+AD456*AF456/(AE456^2+AF456^2)</f>
        <v>217.189667636521</v>
      </c>
      <c r="AH456" s="0" t="n">
        <f aca="false">AD456*AE456/(AE456^2+AF456^2)-AC456*AF456/(AE456^2+AF456^2)</f>
        <v>-810.75801078222</v>
      </c>
      <c r="AJ456" s="0" t="n">
        <f aca="false">_Rfb1</f>
        <v>20000</v>
      </c>
      <c r="AK456" s="0" t="n">
        <f aca="false">_Rfb1*Rcea2_u*Cc3ea_u*A456*2*Pi</f>
        <v>1793009.96959392</v>
      </c>
      <c r="AL456" s="0" t="n">
        <v>1</v>
      </c>
      <c r="AM456" s="0" t="n">
        <f aca="false">(_Rfb1+Rcea2_u)*Cc3ea_u*A456*2*Pi</f>
        <v>33541.3290356797</v>
      </c>
      <c r="AN456" s="0" t="n">
        <f aca="false">AJ456*AL456/(AL456^2+AM456^2)+AK456*AM456/(AL456^2+AM456^2)</f>
        <v>53.4567536775939</v>
      </c>
      <c r="AO456" s="0" t="n">
        <f aca="false">AK456*AL456/(AL456^2+AM456^2)-AJ456*AM456/(AL456^2+AM456^2)</f>
        <v>-0.594685536315636</v>
      </c>
      <c r="AQ456" s="0" t="n">
        <f aca="false">Eadcg/(1+(Eadcg*A456/GBP)^2)</f>
        <v>0.00777622514968889</v>
      </c>
      <c r="AR456" s="0" t="n">
        <f aca="false">-(A456*Eadcg*Eadcg/GBP)/(1+(Eadcg*A456/GBP)^2)</f>
        <v>-4.95866549120211</v>
      </c>
      <c r="AT456" s="0" t="n">
        <f aca="false">-AR456*AH456+AG456*AQ456</f>
        <v>-4018.58885402573</v>
      </c>
      <c r="AU456" s="0" t="n">
        <f aca="false">AQ456*AH456+AG456*AR456</f>
        <v>-1083.27554678863</v>
      </c>
      <c r="AV456" s="0" t="n">
        <f aca="false">ATAN2(AT456,AU456)</f>
        <v>-2.87828522972357</v>
      </c>
      <c r="AW456" s="0" t="n">
        <f aca="false">AG456-AH456*AO456/_Rfb2+AG456*AN456/_Rfb2+AN456-AO456*AR456+AQ456*AN456</f>
        <v>273.120915245203</v>
      </c>
      <c r="AX456" s="0" t="n">
        <f aca="false">AH456+AH456*AN456/_Rfb2+AG456*AO456/_Rfb2+AO456+AO456*AQ456+AN456*AR456</f>
        <v>-1095.99282333276</v>
      </c>
      <c r="AY456" s="0" t="n">
        <f aca="false">ATAN2(AW456,AX456)</f>
        <v>-1.3265711728387</v>
      </c>
      <c r="BA456" s="0" t="n">
        <f aca="false">SQRT(AT456^2+AU456^2)/SQRT(AW456^2+AX456^2)</f>
        <v>3.68481183604991</v>
      </c>
      <c r="BB456" s="0" t="n">
        <f aca="false">20*LOG(BA456)</f>
        <v>11.3283063125492</v>
      </c>
      <c r="BC456" s="0" t="n">
        <f aca="false">AV456-AY456</f>
        <v>-1.55171405688487</v>
      </c>
      <c r="BD456" s="0" t="n">
        <f aca="false">BC456*180/Pi-180</f>
        <v>-268.906666572216</v>
      </c>
      <c r="BF456" s="0" t="n">
        <f aca="false">20*LOG(BA456*J456*F456*C456)</f>
        <v>-27.4884678255143</v>
      </c>
      <c r="BG456" s="0" t="n">
        <f aca="false">(180/Pi)*(D456+H456+BC456)</f>
        <v>-267.187592055027</v>
      </c>
      <c r="BH456" s="0" t="n">
        <f aca="false">IF(BG456&gt;180,BG456-180,BG456+180)</f>
        <v>-87.1875920550269</v>
      </c>
      <c r="BI456" s="0" t="n">
        <f aca="false">IF(BH456&gt;180,BH456-360,BH456)</f>
        <v>-87.1875920550269</v>
      </c>
      <c r="BJ456" s="0" t="n">
        <f aca="false">SUM((BF457&lt;0)*(BF456&gt;0))*A456</f>
        <v>0</v>
      </c>
      <c r="BK456" s="0" t="n">
        <f aca="false">IF(BJ456&gt;0,BI456,0)</f>
        <v>0</v>
      </c>
      <c r="BM456" s="0" t="n">
        <f aca="false">20*LOG(J456*F456*C456)</f>
        <v>-38.8167741380634</v>
      </c>
      <c r="BN456" s="0" t="n">
        <f aca="false">(H456+D456)*180/Pi</f>
        <v>-178.28092548281</v>
      </c>
      <c r="BQ456" s="347" t="n">
        <f aca="false">20*LOG(BA456*7)</f>
        <v>28.2302671128343</v>
      </c>
    </row>
    <row r="457" customFormat="false" ht="12.75" hidden="false" customHeight="false" outlineLevel="0" collapsed="false">
      <c r="A457" s="0" t="n">
        <f aca="false">A456+5000</f>
        <v>1215000</v>
      </c>
      <c r="B457" s="0" t="n">
        <f aca="false">A457/1000</f>
        <v>1215</v>
      </c>
      <c r="C457" s="0" t="n">
        <f aca="false">SQRT((A457/Fesr)^2+1)</f>
        <v>1.0000291390889</v>
      </c>
      <c r="D457" s="0" t="n">
        <f aca="false">ATAN(A457/Fesr)</f>
        <v>0.00763392184262587</v>
      </c>
      <c r="F457" s="0" t="n">
        <f aca="false">(Ro/(Ro+Rdcr))/SQRT((A457/(Q*Fo))^2+(1-(A457^2/Fo^2))^2)</f>
        <v>0.00126275976916397</v>
      </c>
      <c r="G457" s="0" t="n">
        <f aca="false">-ATAN(A457*Fo/(Q*(Fo^2-A457^2)))</f>
        <v>0.0223086130223853</v>
      </c>
      <c r="H457" s="0" t="n">
        <f aca="false">IF(G457&gt;0,G457-Pi,G457)</f>
        <v>-3.11928403697762</v>
      </c>
      <c r="J457" s="0" t="n">
        <f aca="false">Vin/Vramp</f>
        <v>9</v>
      </c>
      <c r="M457" s="0" t="n">
        <f aca="false">1/(2*Pi*_Rfb1*(Cc1ea_u+Cc2ea_u)*A457)</f>
        <v>0.00485154529107625</v>
      </c>
      <c r="N457" s="0" t="n">
        <f aca="false">-Pi/2</f>
        <v>-1.570796325</v>
      </c>
      <c r="O457" s="0" t="n">
        <f aca="false">SQRT(1+(A457/Fz1_u)^2)</f>
        <v>29.6981055680747</v>
      </c>
      <c r="P457" s="0" t="n">
        <f aca="false">ATAN2(Fz1_u,A457)</f>
        <v>1.53711777906771</v>
      </c>
      <c r="Q457" s="0" t="n">
        <f aca="false">SQRT(1+(A457/Fz2_u)^2)</f>
        <v>33679.9295837306</v>
      </c>
      <c r="R457" s="0" t="n">
        <f aca="false">ATAN2(Fz2_u,A457)</f>
        <v>1.57076663552141</v>
      </c>
      <c r="S457" s="0" t="n">
        <f aca="false">1/SQRT(1+(A457/Fp1_u)^2)</f>
        <v>0.0111078393370252</v>
      </c>
      <c r="T457" s="0" t="n">
        <f aca="false">-ATAN2(Fp1_u,A457)</f>
        <v>-1.5596882590234</v>
      </c>
      <c r="U457" s="0" t="n">
        <f aca="false">1/SQRT(1+(A457/Fp2_u)^2)</f>
        <v>0.290175043408812</v>
      </c>
      <c r="V457" s="0" t="n">
        <f aca="false">-ATAN2(Fp2_u,A457)</f>
        <v>-1.27638658059537</v>
      </c>
      <c r="X457" s="0" t="n">
        <f aca="false">20*LOG(C457*J457*O457*Q457*F457*M457*S457*U457)</f>
        <v>-15.0030887912847</v>
      </c>
      <c r="Y457" s="0" t="n">
        <f aca="false">(180/Pi)*(D457+H457+N457+P457+R457+T457+V457)</f>
        <v>-252.71087762751</v>
      </c>
      <c r="Z457" s="0" t="n">
        <f aca="false">Y457+180</f>
        <v>-72.7108776275101</v>
      </c>
      <c r="AC457" s="0" t="n">
        <v>1</v>
      </c>
      <c r="AD457" s="0" t="n">
        <f aca="false">Rcea1_u*Cc1ea_u*A457*2*Pi</f>
        <v>29.681264702376</v>
      </c>
      <c r="AE457" s="0" t="n">
        <f aca="false">-Rcea1_u*Cc1ea_u*Cc2ea_u*(A457*2*Pi)^2</f>
        <v>-0.0339883284850506</v>
      </c>
      <c r="AF457" s="0" t="n">
        <f aca="false">(Cc2ea_u+Cc1ea_u)*A457*2*Pi</f>
        <v>0.010305994688325</v>
      </c>
      <c r="AG457" s="0" t="n">
        <f aca="false">AC457*AE457/(AE457^2+AF457^2)+AD457*AF457/(AE457^2+AF457^2)</f>
        <v>215.555982892303</v>
      </c>
      <c r="AH457" s="0" t="n">
        <f aca="false">AD457*AE457/(AE457^2+AF457^2)-AC457*AF457/(AE457^2+AF457^2)</f>
        <v>-807.916926533446</v>
      </c>
      <c r="AJ457" s="0" t="n">
        <f aca="false">_Rfb1</f>
        <v>20000</v>
      </c>
      <c r="AK457" s="0" t="n">
        <f aca="false">_Rfb1*Rcea2_u*Cc3ea_u*A457*2*Pi</f>
        <v>1800419.10169968</v>
      </c>
      <c r="AL457" s="0" t="n">
        <v>1</v>
      </c>
      <c r="AM457" s="0" t="n">
        <f aca="false">(_Rfb1+Rcea2_u)*Cc3ea_u*A457*2*Pi</f>
        <v>33679.929568885</v>
      </c>
      <c r="AN457" s="0" t="n">
        <f aca="false">AJ457*AL457/(AL457^2+AM457^2)+AK457*AM457/(AL457^2+AM457^2)</f>
        <v>53.4567535319687</v>
      </c>
      <c r="AO457" s="0" t="n">
        <f aca="false">AK457*AL457/(AL457^2+AM457^2)-AJ457*AM457/(AL457^2+AM457^2)</f>
        <v>-0.592238270738414</v>
      </c>
      <c r="AQ457" s="0" t="n">
        <f aca="false">Eadcg/(1+(Eadcg*A457/GBP)^2)</f>
        <v>0.00771235514344487</v>
      </c>
      <c r="AR457" s="0" t="n">
        <f aca="false">-(A457*Eadcg*Eadcg/GBP)/(1+(Eadcg*A457/GBP)^2)</f>
        <v>-4.93825956012347</v>
      </c>
      <c r="AT457" s="0" t="n">
        <f aca="false">-AR457*AH457+AG457*AQ457</f>
        <v>-3988.041041946</v>
      </c>
      <c r="AU457" s="0" t="n">
        <f aca="false">AQ457*AH457+AG457*AR457</f>
        <v>-1070.70233552355</v>
      </c>
      <c r="AV457" s="0" t="n">
        <f aca="false">ATAN2(AT457,AU457)</f>
        <v>-2.87929970066141</v>
      </c>
      <c r="AW457" s="0" t="n">
        <f aca="false">AG457-AH457*AO457/_Rfb2+AG457*AN457/_Rfb2+AN457-AO457*AR457+AQ457*AN457</f>
        <v>271.470387266836</v>
      </c>
      <c r="AX457" s="0" t="n">
        <f aca="false">AH457+AH457*AN457/_Rfb2+AG457*AO457/_Rfb2+AO457+AO457*AQ457+AN457*AR457</f>
        <v>-1091.98938097182</v>
      </c>
      <c r="AY457" s="0" t="n">
        <f aca="false">ATAN2(AW457,AX457)</f>
        <v>-1.32713416830886</v>
      </c>
      <c r="BA457" s="0" t="n">
        <f aca="false">SQRT(AT457^2+AU457^2)/SQRT(AW457^2+AX457^2)</f>
        <v>3.66972048944241</v>
      </c>
      <c r="BB457" s="0" t="n">
        <f aca="false">20*LOG(BA457)</f>
        <v>11.292659734548</v>
      </c>
      <c r="BC457" s="0" t="n">
        <f aca="false">AV457-AY457</f>
        <v>-1.55216553235256</v>
      </c>
      <c r="BD457" s="0" t="n">
        <f aca="false">BC457*180/Pi-180</f>
        <v>-268.932534211098</v>
      </c>
      <c r="BF457" s="0" t="n">
        <f aca="false">20*LOG(BA457*J457*F457*C457)</f>
        <v>-27.5958222403271</v>
      </c>
      <c r="BG457" s="0" t="n">
        <f aca="false">(180/Pi)*(D457+H457+BC457)</f>
        <v>-267.21695333345</v>
      </c>
      <c r="BH457" s="0" t="n">
        <f aca="false">IF(BG457&gt;180,BG457-180,BG457+180)</f>
        <v>-87.2169533334496</v>
      </c>
      <c r="BI457" s="0" t="n">
        <f aca="false">IF(BH457&gt;180,BH457-360,BH457)</f>
        <v>-87.2169533334496</v>
      </c>
      <c r="BJ457" s="0" t="n">
        <f aca="false">SUM((BF458&lt;0)*(BF457&gt;0))*A457</f>
        <v>0</v>
      </c>
      <c r="BK457" s="0" t="n">
        <f aca="false">IF(BJ457&gt;0,BI457,0)</f>
        <v>0</v>
      </c>
      <c r="BM457" s="0" t="n">
        <f aca="false">20*LOG(J457*F457*C457)</f>
        <v>-38.8884819748751</v>
      </c>
      <c r="BN457" s="0" t="n">
        <f aca="false">(H457+D457)*180/Pi</f>
        <v>-178.284419122351</v>
      </c>
      <c r="BQ457" s="347" t="n">
        <f aca="false">20*LOG(BA457*7)</f>
        <v>28.1946205348331</v>
      </c>
    </row>
    <row r="458" customFormat="false" ht="12.75" hidden="false" customHeight="false" outlineLevel="0" collapsed="false">
      <c r="A458" s="0" t="n">
        <f aca="false">A457+5000</f>
        <v>1220000</v>
      </c>
      <c r="B458" s="0" t="n">
        <f aca="false">A458/1000</f>
        <v>1220</v>
      </c>
      <c r="C458" s="0" t="n">
        <f aca="false">SQRT((A458/Fesr)^2+1)</f>
        <v>1.00002937940674</v>
      </c>
      <c r="D458" s="0" t="n">
        <f aca="false">ATAN(A458/Fesr)</f>
        <v>0.00766533593079896</v>
      </c>
      <c r="F458" s="0" t="n">
        <f aca="false">(Ro/(Ro+Rdcr))/SQRT((A458/(Q*Fo))^2+(1-(A458^2/Fo^2))^2)</f>
        <v>0.00125242000554104</v>
      </c>
      <c r="G458" s="0" t="n">
        <f aca="false">-ATAN(A458*Fo/(Q*(Fo^2-A458^2)))</f>
        <v>0.0222169831993092</v>
      </c>
      <c r="H458" s="0" t="n">
        <f aca="false">IF(G458&gt;0,G458-Pi,G458)</f>
        <v>-3.11937566680069</v>
      </c>
      <c r="J458" s="0" t="n">
        <f aca="false">Vin/Vramp</f>
        <v>9</v>
      </c>
      <c r="M458" s="0" t="n">
        <f aca="false">1/(2*Pi*_Rfb1*(Cc1ea_u+Cc2ea_u)*A458)</f>
        <v>0.00483166190873577</v>
      </c>
      <c r="N458" s="0" t="n">
        <f aca="false">-Pi/2</f>
        <v>-1.570796325</v>
      </c>
      <c r="O458" s="0" t="n">
        <f aca="false">SQRT(1+(A458/Fz1_u)^2)</f>
        <v>29.8201817092643</v>
      </c>
      <c r="P458" s="0" t="n">
        <f aca="false">ATAN2(Fz1_u,A458)</f>
        <v>1.53725570219557</v>
      </c>
      <c r="Q458" s="0" t="n">
        <f aca="false">SQRT(1+(A458/Fz2_u)^2)</f>
        <v>33818.5301168751</v>
      </c>
      <c r="R458" s="0" t="n">
        <f aca="false">ATAN2(Fz2_u,A458)</f>
        <v>1.57076675720696</v>
      </c>
      <c r="S458" s="0" t="n">
        <f aca="false">1/SQRT(1+(A458/Fp1_u)^2)</f>
        <v>0.0110623209877662</v>
      </c>
      <c r="T458" s="0" t="n">
        <f aca="false">-ATAN2(Fp1_u,A458)</f>
        <v>-1.55973378016955</v>
      </c>
      <c r="U458" s="0" t="n">
        <f aca="false">1/SQRT(1+(A458/Fp2_u)^2)</f>
        <v>0.289085374142749</v>
      </c>
      <c r="V458" s="0" t="n">
        <f aca="false">-ATAN2(Fp2_u,A458)</f>
        <v>-1.27752504613816</v>
      </c>
      <c r="X458" s="0" t="n">
        <f aca="false">20*LOG(C458*J458*O458*Q458*F458*M458*S458*U458)</f>
        <v>-15.1072161838641</v>
      </c>
      <c r="Y458" s="0" t="n">
        <f aca="false">(180/Pi)*(D458+H458+N458+P458+R458+T458+V458)</f>
        <v>-252.774255790136</v>
      </c>
      <c r="Z458" s="0" t="n">
        <f aca="false">Y458+180</f>
        <v>-72.7742557901363</v>
      </c>
      <c r="AC458" s="0" t="n">
        <v>1</v>
      </c>
      <c r="AD458" s="0" t="n">
        <f aca="false">Rcea1_u*Cc1ea_u*A458*2*Pi</f>
        <v>29.803409824608</v>
      </c>
      <c r="AE458" s="0" t="n">
        <f aca="false">-Rcea1_u*Cc1ea_u*Cc2ea_u*(A458*2*Pi)^2</f>
        <v>-0.034268643409473</v>
      </c>
      <c r="AF458" s="0" t="n">
        <f aca="false">(Cc2ea_u+Cc1ea_u)*A458*2*Pi</f>
        <v>0.0103484061891</v>
      </c>
      <c r="AG458" s="0" t="n">
        <f aca="false">AC458*AE458/(AE458^2+AF458^2)+AD458*AF458/(AE458^2+AF458^2)</f>
        <v>213.940105070728</v>
      </c>
      <c r="AH458" s="0" t="n">
        <f aca="false">AD458*AE458/(AE458^2+AF458^2)-AC458*AF458/(AE458^2+AF458^2)</f>
        <v>-805.093752546116</v>
      </c>
      <c r="AJ458" s="0" t="n">
        <f aca="false">_Rfb1</f>
        <v>20000</v>
      </c>
      <c r="AK458" s="0" t="n">
        <f aca="false">_Rfb1*Rcea2_u*Cc3ea_u*A458*2*Pi</f>
        <v>1807828.23380544</v>
      </c>
      <c r="AL458" s="0" t="n">
        <v>1</v>
      </c>
      <c r="AM458" s="0" t="n">
        <f aca="false">(_Rfb1+Rcea2_u)*Cc3ea_u*A458*2*Pi</f>
        <v>33818.5301020903</v>
      </c>
      <c r="AN458" s="0" t="n">
        <f aca="false">AJ458*AL458/(AL458^2+AM458^2)+AK458*AM458/(AL458^2+AM458^2)</f>
        <v>53.4567533881304</v>
      </c>
      <c r="AO458" s="0" t="n">
        <f aca="false">AK458*AL458/(AL458^2+AM458^2)-AJ458*AM458/(AL458^2+AM458^2)</f>
        <v>-0.589811064715051</v>
      </c>
      <c r="AQ458" s="0" t="n">
        <f aca="false">Eadcg/(1+(Eadcg*A458/GBP)^2)</f>
        <v>0.00764926881132934</v>
      </c>
      <c r="AR458" s="0" t="n">
        <f aca="false">-(A458*Eadcg*Eadcg/GBP)/(1+(Eadcg*A458/GBP)^2)</f>
        <v>-4.91802088955608</v>
      </c>
      <c r="AT458" s="0" t="n">
        <f aca="false">-AR458*AH458+AG458*AQ458</f>
        <v>-3957.83140769969</v>
      </c>
      <c r="AU458" s="0" t="n">
        <f aca="false">AQ458*AH458+AG458*AR458</f>
        <v>-1058.32028438321</v>
      </c>
      <c r="AV458" s="0" t="n">
        <f aca="false">ATAN2(AT458,AU458)</f>
        <v>-2.88030664369901</v>
      </c>
      <c r="AW458" s="0" t="n">
        <f aca="false">AG458-AH458*AO458/_Rfb2+AG458*AN458/_Rfb2+AN458-AO458*AR458+AQ458*AN458</f>
        <v>269.837821003091</v>
      </c>
      <c r="AX458" s="0" t="n">
        <f aca="false">AH458+AH458*AN458/_Rfb2+AG458*AO458/_Rfb2+AO458+AO458*AQ458+AN458*AR458</f>
        <v>-1088.01325217629</v>
      </c>
      <c r="AY458" s="0" t="n">
        <f aca="false">ATAN2(AW458,AX458)</f>
        <v>-1.32769177933668</v>
      </c>
      <c r="BA458" s="0" t="n">
        <f aca="false">SQRT(AT458^2+AU458^2)/SQRT(AW458^2+AX458^2)</f>
        <v>3.65475145339672</v>
      </c>
      <c r="BB458" s="0" t="n">
        <f aca="false">20*LOG(BA458)</f>
        <v>11.2571569496061</v>
      </c>
      <c r="BC458" s="0" t="n">
        <f aca="false">AV458-AY458</f>
        <v>-1.55261486436233</v>
      </c>
      <c r="BD458" s="0" t="n">
        <f aca="false">BC458*180/Pi-180</f>
        <v>-268.958279038888</v>
      </c>
      <c r="BF458" s="0" t="n">
        <f aca="false">20*LOG(BA458*J458*F458*C458)</f>
        <v>-27.7027377549376</v>
      </c>
      <c r="BG458" s="0" t="n">
        <f aca="false">(180/Pi)*(D458+H458+BC458)</f>
        <v>-267.246148268713</v>
      </c>
      <c r="BH458" s="0" t="n">
        <f aca="false">IF(BG458&gt;180,BG458-180,BG458+180)</f>
        <v>-87.2461482687134</v>
      </c>
      <c r="BI458" s="0" t="n">
        <f aca="false">IF(BH458&gt;180,BH458-360,BH458)</f>
        <v>-87.2461482687134</v>
      </c>
      <c r="BJ458" s="0" t="n">
        <f aca="false">SUM((BF459&lt;0)*(BF458&gt;0))*A458</f>
        <v>0</v>
      </c>
      <c r="BK458" s="0" t="n">
        <f aca="false">IF(BJ458&gt;0,BI458,0)</f>
        <v>0</v>
      </c>
      <c r="BM458" s="0" t="n">
        <f aca="false">20*LOG(J458*F458*C458)</f>
        <v>-38.9598947045437</v>
      </c>
      <c r="BN458" s="0" t="n">
        <f aca="false">(H458+D458)*180/Pi</f>
        <v>-178.287869229825</v>
      </c>
      <c r="BQ458" s="347" t="n">
        <f aca="false">20*LOG(BA458*7)</f>
        <v>28.1591177498913</v>
      </c>
    </row>
    <row r="459" customFormat="false" ht="12.75" hidden="false" customHeight="false" outlineLevel="0" collapsed="false">
      <c r="A459" s="0" t="n">
        <f aca="false">A458+5000</f>
        <v>1225000</v>
      </c>
      <c r="B459" s="0" t="n">
        <f aca="false">A459/1000</f>
        <v>1225</v>
      </c>
      <c r="C459" s="0" t="n">
        <f aca="false">SQRT((A459/Fesr)^2+1)</f>
        <v>1.00002962071145</v>
      </c>
      <c r="D459" s="0" t="n">
        <f aca="false">ATAN(A459/Fesr)</f>
        <v>0.00769675000384276</v>
      </c>
      <c r="F459" s="0" t="n">
        <f aca="false">(Ro/(Ro+Rdcr))/SQRT((A459/(Q*Fo))^2+(1-(A459^2/Fo^2))^2)</f>
        <v>0.00124220676259955</v>
      </c>
      <c r="G459" s="0" t="n">
        <f aca="false">-ATAN(A459*Fo/(Q*(Fo^2-A459^2)))</f>
        <v>0.0221261038249583</v>
      </c>
      <c r="H459" s="0" t="n">
        <f aca="false">IF(G459&gt;0,G459-Pi,G459)</f>
        <v>-3.11946654617504</v>
      </c>
      <c r="J459" s="0" t="n">
        <f aca="false">Vin/Vramp</f>
        <v>9</v>
      </c>
      <c r="M459" s="0" t="n">
        <f aca="false">1/(2*Pi*_Rfb1*(Cc1ea_u+Cc2ea_u)*A459)</f>
        <v>0.00481194083972053</v>
      </c>
      <c r="N459" s="0" t="n">
        <f aca="false">-Pi/2</f>
        <v>-1.570796325</v>
      </c>
      <c r="O459" s="0" t="n">
        <f aca="false">SQRT(1+(A459/Fz1_u)^2)</f>
        <v>29.9422584130914</v>
      </c>
      <c r="P459" s="0" t="n">
        <f aca="false">ATAN2(Fz1_u,A459)</f>
        <v>1.53739250068132</v>
      </c>
      <c r="Q459" s="0" t="n">
        <f aca="false">SQRT(1+(A459/Fz2_u)^2)</f>
        <v>33957.13065002</v>
      </c>
      <c r="R459" s="0" t="n">
        <f aca="false">ATAN2(Fz2_u,A459)</f>
        <v>1.57076687789916</v>
      </c>
      <c r="S459" s="0" t="n">
        <f aca="false">1/SQRT(1+(A459/Fp1_u)^2)</f>
        <v>0.0110171741489384</v>
      </c>
      <c r="T459" s="0" t="n">
        <f aca="false">-ATAN2(Fp1_u,A459)</f>
        <v>-1.55977892975979</v>
      </c>
      <c r="U459" s="0" t="n">
        <f aca="false">1/SQRT(1+(A459/Fp2_u)^2)</f>
        <v>0.288003489038052</v>
      </c>
      <c r="V459" s="0" t="n">
        <f aca="false">-ATAN2(Fp2_u,A459)</f>
        <v>-1.27865499185493</v>
      </c>
      <c r="X459" s="0" t="n">
        <f aca="false">20*LOG(C459*J459*O459*Q459*F459*M459*S459*U459)</f>
        <v>-15.210939097965</v>
      </c>
      <c r="Y459" s="0" t="n">
        <f aca="false">(180/Pi)*(D459+H459+N459+P459+R459+T459+V459)</f>
        <v>-252.837146011587</v>
      </c>
      <c r="Z459" s="0" t="n">
        <f aca="false">Y459+180</f>
        <v>-72.8371460115872</v>
      </c>
      <c r="AC459" s="0" t="n">
        <v>1</v>
      </c>
      <c r="AD459" s="0" t="n">
        <f aca="false">Rcea1_u*Cc1ea_u*A459*2*Pi</f>
        <v>29.92555494684</v>
      </c>
      <c r="AE459" s="0" t="n">
        <f aca="false">-Rcea1_u*Cc1ea_u*Cc2ea_u*(A459*2*Pi)^2</f>
        <v>-0.0345501095245502</v>
      </c>
      <c r="AF459" s="0" t="n">
        <f aca="false">(Cc2ea_u+Cc1ea_u)*A459*2*Pi</f>
        <v>0.010390817689875</v>
      </c>
      <c r="AG459" s="0" t="n">
        <f aca="false">AC459*AE459/(AE459^2+AF459^2)+AD459*AF459/(AE459^2+AF459^2)</f>
        <v>212.341784827114</v>
      </c>
      <c r="AH459" s="0" t="n">
        <f aca="false">AD459*AE459/(AE459^2+AF459^2)-AC459*AF459/(AE459^2+AF459^2)</f>
        <v>-802.288344500398</v>
      </c>
      <c r="AJ459" s="0" t="n">
        <f aca="false">_Rfb1</f>
        <v>20000</v>
      </c>
      <c r="AK459" s="0" t="n">
        <f aca="false">_Rfb1*Rcea2_u*Cc3ea_u*A459*2*Pi</f>
        <v>1815237.3659112</v>
      </c>
      <c r="AL459" s="0" t="n">
        <v>1</v>
      </c>
      <c r="AM459" s="0" t="n">
        <f aca="false">(_Rfb1+Rcea2_u)*Cc3ea_u*A459*2*Pi</f>
        <v>33957.1306352956</v>
      </c>
      <c r="AN459" s="0" t="n">
        <f aca="false">AJ459*AL459/(AL459^2+AM459^2)+AK459*AM459/(AL459^2+AM459^2)</f>
        <v>53.4567532460498</v>
      </c>
      <c r="AO459" s="0" t="n">
        <f aca="false">AK459*AL459/(AL459^2+AM459^2)-AJ459*AM459/(AL459^2+AM459^2)</f>
        <v>-0.587403672618357</v>
      </c>
      <c r="AQ459" s="0" t="n">
        <f aca="false">Eadcg/(1+(Eadcg*A459/GBP)^2)</f>
        <v>0.00758695338486132</v>
      </c>
      <c r="AR459" s="0" t="n">
        <f aca="false">-(A459*Eadcg*Eadcg/GBP)/(1+(Eadcg*A459/GBP)^2)</f>
        <v>-4.89794743143185</v>
      </c>
      <c r="AT459" s="0" t="n">
        <f aca="false">-AR459*AH459+AG459*AQ459</f>
        <v>-3927.95510899029</v>
      </c>
      <c r="AU459" s="0" t="n">
        <f aca="false">AQ459*AH459+AG459*AR459</f>
        <v>-1046.12582385056</v>
      </c>
      <c r="AV459" s="0" t="n">
        <f aca="false">ATAN2(AT459,AU459)</f>
        <v>-2.88130613930285</v>
      </c>
      <c r="AW459" s="0" t="n">
        <f aca="false">AG459-AH459*AO459/_Rfb2+AG459*AN459/_Rfb2+AN459-AO459*AR459+AQ459*AN459</f>
        <v>268.222965532505</v>
      </c>
      <c r="AX459" s="0" t="n">
        <f aca="false">AH459+AH459*AN459/_Rfb2+AG459*AO459/_Rfb2+AO459+AO459*AQ459+AN459*AR459</f>
        <v>-1084.06417921525</v>
      </c>
      <c r="AY459" s="0" t="n">
        <f aca="false">ATAN2(AW459,AX459)</f>
        <v>-1.32824406055336</v>
      </c>
      <c r="BA459" s="0" t="n">
        <f aca="false">SQRT(AT459^2+AU459^2)/SQRT(AW459^2+AX459^2)</f>
        <v>3.63990325048697</v>
      </c>
      <c r="BB459" s="0" t="n">
        <f aca="false">20*LOG(BA459)</f>
        <v>11.2217968029918</v>
      </c>
      <c r="BC459" s="0" t="n">
        <f aca="false">AV459-AY459</f>
        <v>-1.55306207874949</v>
      </c>
      <c r="BD459" s="0" t="n">
        <f aca="false">BC459*180/Pi-180</f>
        <v>-268.983902535839</v>
      </c>
      <c r="BF459" s="0" t="n">
        <f aca="false">20*LOG(BA459*J459*F459*C459)</f>
        <v>-27.8092179453176</v>
      </c>
      <c r="BG459" s="0" t="n">
        <f aca="false">(180/Pi)*(D459+H459+BC459)</f>
        <v>-267.275178876461</v>
      </c>
      <c r="BH459" s="0" t="n">
        <f aca="false">IF(BG459&gt;180,BG459-180,BG459+180)</f>
        <v>-87.2751788764606</v>
      </c>
      <c r="BI459" s="0" t="n">
        <f aca="false">IF(BH459&gt;180,BH459-360,BH459)</f>
        <v>-87.2751788764606</v>
      </c>
      <c r="BJ459" s="0" t="n">
        <f aca="false">SUM((BF460&lt;0)*(BF459&gt;0))*A459</f>
        <v>0</v>
      </c>
      <c r="BK459" s="0" t="n">
        <f aca="false">IF(BJ459&gt;0,BI459,0)</f>
        <v>0</v>
      </c>
      <c r="BM459" s="0" t="n">
        <f aca="false">20*LOG(J459*F459*C459)</f>
        <v>-39.0310147483094</v>
      </c>
      <c r="BN459" s="0" t="n">
        <f aca="false">(H459+D459)*180/Pi</f>
        <v>-178.291276340622</v>
      </c>
      <c r="BQ459" s="347" t="n">
        <f aca="false">20*LOG(BA459*7)</f>
        <v>28.1237576032769</v>
      </c>
    </row>
    <row r="460" customFormat="false" ht="12.75" hidden="false" customHeight="false" outlineLevel="0" collapsed="false">
      <c r="A460" s="0" t="n">
        <f aca="false">A459+5000</f>
        <v>1230000</v>
      </c>
      <c r="B460" s="0" t="n">
        <f aca="false">A460/1000</f>
        <v>1230</v>
      </c>
      <c r="C460" s="0" t="n">
        <f aca="false">SQRT((A460/Fesr)^2+1)</f>
        <v>1.00002986300303</v>
      </c>
      <c r="D460" s="0" t="n">
        <f aca="false">ATAN(A460/Fesr)</f>
        <v>0.0077281640616953</v>
      </c>
      <c r="F460" s="0" t="n">
        <f aca="false">(Ro/(Ro+Rdcr))/SQRT((A460/(Q*Fo))^2+(1-(A460^2/Fo^2))^2)</f>
        <v>0.00123211798385162</v>
      </c>
      <c r="G460" s="0" t="n">
        <f aca="false">-ATAN(A460*Fo/(Q*(Fo^2-A460^2)))</f>
        <v>0.022035965707861</v>
      </c>
      <c r="H460" s="0" t="n">
        <f aca="false">IF(G460&gt;0,G460-Pi,G460)</f>
        <v>-3.11955668429214</v>
      </c>
      <c r="J460" s="0" t="n">
        <f aca="false">Vin/Vramp</f>
        <v>9</v>
      </c>
      <c r="M460" s="0" t="n">
        <f aca="false">1/(2*Pi*_Rfb1*(Cc1ea_u+Cc2ea_u)*A460)</f>
        <v>0.00479238010459971</v>
      </c>
      <c r="N460" s="0" t="n">
        <f aca="false">-Pi/2</f>
        <v>-1.570796325</v>
      </c>
      <c r="O460" s="0" t="n">
        <f aca="false">SQRT(1+(A460/Fz1_u)^2)</f>
        <v>30.0643356727021</v>
      </c>
      <c r="P460" s="0" t="n">
        <f aca="false">ATAN2(Fz1_u,A460)</f>
        <v>1.53752818821978</v>
      </c>
      <c r="Q460" s="0" t="n">
        <f aca="false">SQRT(1+(A460/Fz2_u)^2)</f>
        <v>34095.7311831654</v>
      </c>
      <c r="R460" s="0" t="n">
        <f aca="false">ATAN2(Fz2_u,A460)</f>
        <v>1.57076699761011</v>
      </c>
      <c r="S460" s="0" t="n">
        <f aca="false">1/SQRT(1+(A460/Fp1_u)^2)</f>
        <v>0.0109723942910242</v>
      </c>
      <c r="T460" s="0" t="n">
        <f aca="false">-ATAN2(Fp1_u,A460)</f>
        <v>-1.55982371232457</v>
      </c>
      <c r="U460" s="0" t="n">
        <f aca="false">1/SQRT(1+(A460/Fp2_u)^2)</f>
        <v>0.286929309267306</v>
      </c>
      <c r="V460" s="0" t="n">
        <f aca="false">-ATAN2(Fp2_u,A460)</f>
        <v>-1.27977651017442</v>
      </c>
      <c r="X460" s="0" t="n">
        <f aca="false">20*LOG(C460*J460*O460*Q460*F460*M460*S460*U460)</f>
        <v>-15.3142605984355</v>
      </c>
      <c r="Y460" s="0" t="n">
        <f aca="false">(180/Pi)*(D460+H460+N460+P460+R460+T460+V460)</f>
        <v>-252.899553588502</v>
      </c>
      <c r="Z460" s="0" t="n">
        <f aca="false">Y460+180</f>
        <v>-72.8995535885017</v>
      </c>
      <c r="AC460" s="0" t="n">
        <v>1</v>
      </c>
      <c r="AD460" s="0" t="n">
        <f aca="false">Rcea1_u*Cc1ea_u*A460*2*Pi</f>
        <v>30.047700069072</v>
      </c>
      <c r="AE460" s="0" t="n">
        <f aca="false">-Rcea1_u*Cc1ea_u*Cc2ea_u*(A460*2*Pi)^2</f>
        <v>-0.034832726830282</v>
      </c>
      <c r="AF460" s="0" t="n">
        <f aca="false">(Cc2ea_u+Cc1ea_u)*A460*2*Pi</f>
        <v>0.01043322919065</v>
      </c>
      <c r="AG460" s="0" t="n">
        <f aca="false">AC460*AE460/(AE460^2+AF460^2)+AD460*AF460/(AE460^2+AF460^2)</f>
        <v>210.76077700253</v>
      </c>
      <c r="AH460" s="0" t="n">
        <f aca="false">AD460*AE460/(AE460^2+AF460^2)-AC460*AF460/(AE460^2+AF460^2)</f>
        <v>-799.500559169392</v>
      </c>
      <c r="AJ460" s="0" t="n">
        <f aca="false">_Rfb1</f>
        <v>20000</v>
      </c>
      <c r="AK460" s="0" t="n">
        <f aca="false">_Rfb1*Rcea2_u*Cc3ea_u*A460*2*Pi</f>
        <v>1822646.49801696</v>
      </c>
      <c r="AL460" s="0" t="n">
        <v>1</v>
      </c>
      <c r="AM460" s="0" t="n">
        <f aca="false">(_Rfb1+Rcea2_u)*Cc3ea_u*A460*2*Pi</f>
        <v>34095.7311685008</v>
      </c>
      <c r="AN460" s="0" t="n">
        <f aca="false">AJ460*AL460/(AL460^2+AM460^2)+AK460*AM460/(AL460^2+AM460^2)</f>
        <v>53.4567531056983</v>
      </c>
      <c r="AO460" s="0" t="n">
        <f aca="false">AK460*AL460/(AL460^2+AM460^2)-AJ460*AM460/(AL460^2+AM460^2)</f>
        <v>-0.585015852815082</v>
      </c>
      <c r="AQ460" s="0" t="n">
        <f aca="false">Eadcg/(1+(Eadcg*A460/GBP)^2)</f>
        <v>0.00752539635455202</v>
      </c>
      <c r="AR460" s="0" t="n">
        <f aca="false">-(A460*Eadcg*Eadcg/GBP)/(1+(Eadcg*A460/GBP)^2)</f>
        <v>-4.87803717098416</v>
      </c>
      <c r="AT460" s="0" t="n">
        <f aca="false">-AR460*AH460+AG460*AQ460</f>
        <v>-3898.40738746798</v>
      </c>
      <c r="AU460" s="0" t="n">
        <f aca="false">AQ460*AH460+AG460*AR460</f>
        <v>-1034.11546299728</v>
      </c>
      <c r="AV460" s="0" t="n">
        <f aca="false">ATAN2(AT460,AU460)</f>
        <v>-2.88229826684405</v>
      </c>
      <c r="AW460" s="0" t="n">
        <f aca="false">AG460-AH460*AO460/_Rfb2+AG460*AN460/_Rfb2+AN460-AO460*AR460+AQ460*AN460</f>
        <v>266.625574131142</v>
      </c>
      <c r="AX460" s="0" t="n">
        <f aca="false">AH460+AH460*AN460/_Rfb2+AG460*AO460/_Rfb2+AO460+AO460*AQ460+AN460*AR460</f>
        <v>-1080.14190726588</v>
      </c>
      <c r="AY460" s="0" t="n">
        <f aca="false">ATAN2(AW460,AX460)</f>
        <v>-1.32879106590784</v>
      </c>
      <c r="BA460" s="0" t="n">
        <f aca="false">SQRT(AT460^2+AU460^2)/SQRT(AW460^2+AX460^2)</f>
        <v>3.62517442690648</v>
      </c>
      <c r="BB460" s="0" t="n">
        <f aca="false">20*LOG(BA460)</f>
        <v>11.1865781537017</v>
      </c>
      <c r="BC460" s="0" t="n">
        <f aca="false">AV460-AY460</f>
        <v>-1.55350720093621</v>
      </c>
      <c r="BD460" s="0" t="n">
        <f aca="false">BC460*180/Pi-180</f>
        <v>-269.009406158535</v>
      </c>
      <c r="BF460" s="0" t="n">
        <f aca="false">20*LOG(BA460*J460*F460*C460)</f>
        <v>-27.9152663440039</v>
      </c>
      <c r="BG460" s="0" t="n">
        <f aca="false">(180/Pi)*(D460+H460+BC460)</f>
        <v>-267.304047139911</v>
      </c>
      <c r="BH460" s="0" t="n">
        <f aca="false">IF(BG460&gt;180,BG460-180,BG460+180)</f>
        <v>-87.3040471399107</v>
      </c>
      <c r="BI460" s="0" t="n">
        <f aca="false">IF(BH460&gt;180,BH460-360,BH460)</f>
        <v>-87.3040471399107</v>
      </c>
      <c r="BJ460" s="0" t="n">
        <f aca="false">SUM((BF461&lt;0)*(BF460&gt;0))*A460</f>
        <v>0</v>
      </c>
      <c r="BK460" s="0" t="n">
        <f aca="false">IF(BJ460&gt;0,BI460,0)</f>
        <v>0</v>
      </c>
      <c r="BM460" s="0" t="n">
        <f aca="false">20*LOG(J460*F460*C460)</f>
        <v>-39.1018444977056</v>
      </c>
      <c r="BN460" s="0" t="n">
        <f aca="false">(H460+D460)*180/Pi</f>
        <v>-178.294640981376</v>
      </c>
      <c r="BQ460" s="347" t="n">
        <f aca="false">20*LOG(BA460*7)</f>
        <v>28.0885389539868</v>
      </c>
    </row>
    <row r="461" customFormat="false" ht="12.75" hidden="false" customHeight="false" outlineLevel="0" collapsed="false">
      <c r="A461" s="0" t="n">
        <f aca="false">A460+5000</f>
        <v>1235000</v>
      </c>
      <c r="B461" s="0" t="n">
        <f aca="false">A461/1000</f>
        <v>1235</v>
      </c>
      <c r="C461" s="0" t="n">
        <f aca="false">SQRT((A461/Fesr)^2+1)</f>
        <v>1.00003010628148</v>
      </c>
      <c r="D461" s="0" t="n">
        <f aca="false">ATAN(A461/Fesr)</f>
        <v>0.00775957810429456</v>
      </c>
      <c r="F461" s="0" t="n">
        <f aca="false">(Ro/(Ro+Rdcr))/SQRT((A461/(Q*Fo))^2+(1-(A461^2/Fo^2))^2)</f>
        <v>0.00122215165443694</v>
      </c>
      <c r="G461" s="0" t="n">
        <f aca="false">-ATAN(A461*Fo/(Q*(Fo^2-A461^2)))</f>
        <v>0.0219465598061947</v>
      </c>
      <c r="H461" s="0" t="n">
        <f aca="false">IF(G461&gt;0,G461-Pi,G461)</f>
        <v>-3.11964609019381</v>
      </c>
      <c r="J461" s="0" t="n">
        <f aca="false">Vin/Vramp</f>
        <v>9</v>
      </c>
      <c r="M461" s="0" t="n">
        <f aca="false">1/(2*Pi*_Rfb1*(Cc1ea_u+Cc2ea_u)*A461)</f>
        <v>0.00477297775599809</v>
      </c>
      <c r="N461" s="0" t="n">
        <f aca="false">-Pi/2</f>
        <v>-1.570796325</v>
      </c>
      <c r="O461" s="0" t="n">
        <f aca="false">SQRT(1+(A461/Fz1_u)^2)</f>
        <v>30.1864134813536</v>
      </c>
      <c r="P461" s="0" t="n">
        <f aca="false">ATAN2(Fz1_u,A461)</f>
        <v>1.53766277828435</v>
      </c>
      <c r="Q461" s="0" t="n">
        <f aca="false">SQRT(1+(A461/Fz2_u)^2)</f>
        <v>34234.3317163114</v>
      </c>
      <c r="R461" s="0" t="n">
        <f aca="false">ATAN2(Fz2_u,A461)</f>
        <v>1.57076711635175</v>
      </c>
      <c r="S461" s="0" t="n">
        <f aca="false">1/SQRT(1+(A461/Fp1_u)^2)</f>
        <v>0.0109279769578369</v>
      </c>
      <c r="T461" s="0" t="n">
        <f aca="false">-ATAN2(Fp1_u,A461)</f>
        <v>-1.55986813232096</v>
      </c>
      <c r="U461" s="0" t="n">
        <f aca="false">1/SQRT(1+(A461/Fp2_u)^2)</f>
        <v>0.285862756995948</v>
      </c>
      <c r="V461" s="0" t="n">
        <f aca="false">-ATAN2(Fp2_u,A461)</f>
        <v>-1.28088969223658</v>
      </c>
      <c r="X461" s="0" t="n">
        <f aca="false">20*LOG(C461*J461*O461*Q461*F461*M461*S461*U461)</f>
        <v>-15.4171837159964</v>
      </c>
      <c r="Y461" s="0" t="n">
        <f aca="false">(180/Pi)*(D461+H461+N461+P461+R461+T461+V461)</f>
        <v>-252.961483743595</v>
      </c>
      <c r="Z461" s="0" t="n">
        <f aca="false">Y461+180</f>
        <v>-72.961483743595</v>
      </c>
      <c r="AC461" s="0" t="n">
        <v>1</v>
      </c>
      <c r="AD461" s="0" t="n">
        <f aca="false">Rcea1_u*Cc1ea_u*A461*2*Pi</f>
        <v>30.169845191304</v>
      </c>
      <c r="AE461" s="0" t="n">
        <f aca="false">-Rcea1_u*Cc1ea_u*Cc2ea_u*(A461*2*Pi)^2</f>
        <v>-0.0351164953266686</v>
      </c>
      <c r="AF461" s="0" t="n">
        <f aca="false">(Cc2ea_u+Cc1ea_u)*A461*2*Pi</f>
        <v>0.010475640691425</v>
      </c>
      <c r="AG461" s="0" t="n">
        <f aca="false">AC461*AE461/(AE461^2+AF461^2)+AD461*AF461/(AE461^2+AF461^2)</f>
        <v>209.19684054355</v>
      </c>
      <c r="AH461" s="0" t="n">
        <f aca="false">AD461*AE461/(AE461^2+AF461^2)-AC461*AF461/(AE461^2+AF461^2)</f>
        <v>-796.730254420941</v>
      </c>
      <c r="AJ461" s="0" t="n">
        <f aca="false">_Rfb1</f>
        <v>20000</v>
      </c>
      <c r="AK461" s="0" t="n">
        <f aca="false">_Rfb1*Rcea2_u*Cc3ea_u*A461*2*Pi</f>
        <v>1830055.63012272</v>
      </c>
      <c r="AL461" s="0" t="n">
        <v>1</v>
      </c>
      <c r="AM461" s="0" t="n">
        <f aca="false">(_Rfb1+Rcea2_u)*Cc3ea_u*A461*2*Pi</f>
        <v>34234.3317017061</v>
      </c>
      <c r="AN461" s="0" t="n">
        <f aca="false">AJ461*AL461/(AL461^2+AM461^2)+AK461*AM461/(AL461^2+AM461^2)</f>
        <v>53.4567529670481</v>
      </c>
      <c r="AO461" s="0" t="n">
        <f aca="false">AK461*AL461/(AL461^2+AM461^2)-AJ461*AM461/(AL461^2+AM461^2)</f>
        <v>-0.582647367585063</v>
      </c>
      <c r="AQ461" s="0" t="n">
        <f aca="false">Eadcg/(1+(Eadcg*A461/GBP)^2)</f>
        <v>0.00746458546362629</v>
      </c>
      <c r="AR461" s="0" t="n">
        <f aca="false">-(A461*Eadcg*Eadcg/GBP)/(1+(Eadcg*A461/GBP)^2)</f>
        <v>-4.85828812607385</v>
      </c>
      <c r="AT461" s="0" t="n">
        <f aca="false">-AR461*AH461+AG461*AQ461</f>
        <v>-3869.1835670421</v>
      </c>
      <c r="AU461" s="0" t="n">
        <f aca="false">AQ461*AH461+AG461*AR461</f>
        <v>-1022.28578750048</v>
      </c>
      <c r="AV461" s="0" t="n">
        <f aca="false">ATAN2(AT461,AU461)</f>
        <v>-2.883283104616</v>
      </c>
      <c r="AW461" s="0" t="n">
        <f aca="false">AG461-AH461*AO461/_Rfb2+AG461*AN461/_Rfb2+AN461-AO461*AR461+AQ461*AN461</f>
        <v>265.045404192556</v>
      </c>
      <c r="AX461" s="0" t="n">
        <f aca="false">AH461+AH461*AN461/_Rfb2+AG461*AO461/_Rfb2+AO461+AO461*AQ461+AN461*AR461</f>
        <v>-1076.24618437905</v>
      </c>
      <c r="AY461" s="0" t="n">
        <f aca="false">ATAN2(AW461,AX461)</f>
        <v>-1.32933284867628</v>
      </c>
      <c r="BA461" s="0" t="n">
        <f aca="false">SQRT(AT461^2+AU461^2)/SQRT(AW461^2+AX461^2)</f>
        <v>3.61056355199931</v>
      </c>
      <c r="BB461" s="0" t="n">
        <f aca="false">20*LOG(BA461)</f>
        <v>11.1514998742459</v>
      </c>
      <c r="BC461" s="0" t="n">
        <f aca="false">AV461-AY461</f>
        <v>-1.55395025593972</v>
      </c>
      <c r="BD461" s="0" t="n">
        <f aca="false">BC461*180/Pi-180</f>
        <v>-269.034791340357</v>
      </c>
      <c r="BF461" s="0" t="n">
        <f aca="false">20*LOG(BA461*J461*F461*C461)</f>
        <v>-28.020886440798</v>
      </c>
      <c r="BG461" s="0" t="n">
        <f aca="false">(180/Pi)*(D461+H461+BC461)</f>
        <v>-267.332755010508</v>
      </c>
      <c r="BH461" s="0" t="n">
        <f aca="false">IF(BG461&gt;180,BG461-180,BG461+180)</f>
        <v>-87.3327550105077</v>
      </c>
      <c r="BI461" s="0" t="n">
        <f aca="false">IF(BH461&gt;180,BH461-360,BH461)</f>
        <v>-87.3327550105077</v>
      </c>
      <c r="BJ461" s="0" t="n">
        <f aca="false">SUM((BF462&lt;0)*(BF461&gt;0))*A461</f>
        <v>0</v>
      </c>
      <c r="BK461" s="0" t="n">
        <f aca="false">IF(BJ461&gt;0,BI461,0)</f>
        <v>0</v>
      </c>
      <c r="BM461" s="0" t="n">
        <f aca="false">20*LOG(J461*F461*C461)</f>
        <v>-39.1723863150439</v>
      </c>
      <c r="BN461" s="0" t="n">
        <f aca="false">(H461+D461)*180/Pi</f>
        <v>-178.297963670151</v>
      </c>
      <c r="BQ461" s="347" t="n">
        <f aca="false">20*LOG(BA461*7)</f>
        <v>28.053460674531</v>
      </c>
    </row>
    <row r="462" customFormat="false" ht="12.75" hidden="false" customHeight="false" outlineLevel="0" collapsed="false">
      <c r="A462" s="0" t="n">
        <f aca="false">A461+5000</f>
        <v>1240000</v>
      </c>
      <c r="B462" s="0" t="n">
        <f aca="false">A462/1000</f>
        <v>1240</v>
      </c>
      <c r="C462" s="0" t="n">
        <f aca="false">SQRT((A462/Fesr)^2+1)</f>
        <v>1.00003035054681</v>
      </c>
      <c r="D462" s="0" t="n">
        <f aca="false">ATAN(A462/Fesr)</f>
        <v>0.00779099213157857</v>
      </c>
      <c r="F462" s="0" t="n">
        <f aca="false">(Ro/(Ro+Rdcr))/SQRT((A462/(Q*Fo))^2+(1-(A462^2/Fo^2))^2)</f>
        <v>0.00121230580011534</v>
      </c>
      <c r="G462" s="0" t="n">
        <f aca="false">-ATAN(A462*Fo/(Q*(Fo^2-A462^2)))</f>
        <v>0.0218578772247496</v>
      </c>
      <c r="H462" s="0" t="n">
        <f aca="false">IF(G462&gt;0,G462-Pi,G462)</f>
        <v>-3.11973477277525</v>
      </c>
      <c r="J462" s="0" t="n">
        <f aca="false">Vin/Vramp</f>
        <v>9</v>
      </c>
      <c r="M462" s="0" t="n">
        <f aca="false">1/(2*Pi*_Rfb1*(Cc1ea_u+Cc2ea_u)*A462)</f>
        <v>0.00475373187794971</v>
      </c>
      <c r="N462" s="0" t="n">
        <f aca="false">-Pi/2</f>
        <v>-1.570796325</v>
      </c>
      <c r="O462" s="0" t="n">
        <f aca="false">SQRT(1+(A462/Fz1_u)^2)</f>
        <v>30.3084918324116</v>
      </c>
      <c r="P462" s="0" t="n">
        <f aca="false">ATAN2(Fz1_u,A462)</f>
        <v>1.53779628413154</v>
      </c>
      <c r="Q462" s="0" t="n">
        <f aca="false">SQRT(1+(A462/Fz2_u)^2)</f>
        <v>34372.9322494577</v>
      </c>
      <c r="R462" s="0" t="n">
        <f aca="false">ATAN2(Fz2_u,A462)</f>
        <v>1.5707672341358</v>
      </c>
      <c r="S462" s="0" t="n">
        <f aca="false">1/SQRT(1+(A462/Fp1_u)^2)</f>
        <v>0.0108839177650419</v>
      </c>
      <c r="T462" s="0" t="n">
        <f aca="false">-ATAN2(Fp1_u,A462)</f>
        <v>-1.55991219413419</v>
      </c>
      <c r="U462" s="0" t="n">
        <f aca="false">1/SQRT(1+(A462/Fp2_u)^2)</f>
        <v>0.284803755368078</v>
      </c>
      <c r="V462" s="0" t="n">
        <f aca="false">-ATAN2(Fp2_u,A462)</f>
        <v>-1.28199462791413</v>
      </c>
      <c r="X462" s="0" t="n">
        <f aca="false">20*LOG(C462*J462*O462*Q462*F462*M462*S462*U462)</f>
        <v>-15.5197114477404</v>
      </c>
      <c r="Y462" s="0" t="n">
        <f aca="false">(180/Pi)*(D462+H462+N462+P462+R462+T462+V462)</f>
        <v>-253.022941626897</v>
      </c>
      <c r="Z462" s="0" t="n">
        <f aca="false">Y462+180</f>
        <v>-73.022941626897</v>
      </c>
      <c r="AC462" s="0" t="n">
        <v>1</v>
      </c>
      <c r="AD462" s="0" t="n">
        <f aca="false">Rcea1_u*Cc1ea_u*A462*2*Pi</f>
        <v>30.291990313536</v>
      </c>
      <c r="AE462" s="0" t="n">
        <f aca="false">-Rcea1_u*Cc1ea_u*Cc2ea_u*(A462*2*Pi)^2</f>
        <v>-0.0354014150137098</v>
      </c>
      <c r="AF462" s="0" t="n">
        <f aca="false">(Cc2ea_u+Cc1ea_u)*A462*2*Pi</f>
        <v>0.0105180521922</v>
      </c>
      <c r="AG462" s="0" t="n">
        <f aca="false">AC462*AE462/(AE462^2+AF462^2)+AD462*AF462/(AE462^2+AF462^2)</f>
        <v>207.649738423706</v>
      </c>
      <c r="AH462" s="0" t="n">
        <f aca="false">AD462*AE462/(AE462^2+AF462^2)-AC462*AF462/(AE462^2+AF462^2)</f>
        <v>-793.977289218905</v>
      </c>
      <c r="AJ462" s="0" t="n">
        <f aca="false">_Rfb1</f>
        <v>20000</v>
      </c>
      <c r="AK462" s="0" t="n">
        <f aca="false">_Rfb1*Rcea2_u*Cc3ea_u*A462*2*Pi</f>
        <v>1837464.76222848</v>
      </c>
      <c r="AL462" s="0" t="n">
        <v>1</v>
      </c>
      <c r="AM462" s="0" t="n">
        <f aca="false">(_Rfb1+Rcea2_u)*Cc3ea_u*A462*2*Pi</f>
        <v>34372.9322349114</v>
      </c>
      <c r="AN462" s="0" t="n">
        <f aca="false">AJ462*AL462/(AL462^2+AM462^2)+AK462*AM462/(AL462^2+AM462^2)</f>
        <v>53.4567528300717</v>
      </c>
      <c r="AO462" s="0" t="n">
        <f aca="false">AK462*AL462/(AL462^2+AM462^2)-AJ462*AM462/(AL462^2+AM462^2)</f>
        <v>-0.580297983042334</v>
      </c>
      <c r="AQ462" s="0" t="n">
        <f aca="false">Eadcg/(1+(Eadcg*A462/GBP)^2)</f>
        <v>0.007404508701921</v>
      </c>
      <c r="AR462" s="0" t="n">
        <f aca="false">-(A462*Eadcg*Eadcg/GBP)/(1+(Eadcg*A462/GBP)^2)</f>
        <v>-4.83869834653134</v>
      </c>
      <c r="AT462" s="0" t="n">
        <f aca="false">-AR462*AH462+AG462*AQ462</f>
        <v>-3840.27905223184</v>
      </c>
      <c r="AU462" s="0" t="n">
        <f aca="false">AQ462*AH462+AG462*AR462</f>
        <v>-1010.6334577156</v>
      </c>
      <c r="AV462" s="0" t="n">
        <f aca="false">ATAN2(AT462,AU462)</f>
        <v>-2.88426072985169</v>
      </c>
      <c r="AW462" s="0" t="n">
        <f aca="false">AG462-AH462*AO462/_Rfb2+AG462*AN462/_Rfb2+AN462-AO462*AR462+AQ462*AN462</f>
        <v>263.482217149426</v>
      </c>
      <c r="AX462" s="0" t="n">
        <f aca="false">AH462+AH462*AN462/_Rfb2+AG462*AO462/_Rfb2+AO462+AO462*AQ462+AN462*AR462</f>
        <v>-1072.3767614453</v>
      </c>
      <c r="AY462" s="0" t="n">
        <f aca="false">ATAN2(AW462,AX462)</f>
        <v>-1.32986946147135</v>
      </c>
      <c r="BA462" s="0" t="n">
        <f aca="false">SQRT(AT462^2+AU462^2)/SQRT(AW462^2+AX462^2)</f>
        <v>3.59606921780278</v>
      </c>
      <c r="BB462" s="0" t="n">
        <f aca="false">20*LOG(BA462)</f>
        <v>11.1165608504368</v>
      </c>
      <c r="BC462" s="0" t="n">
        <f aca="false">AV462-AY462</f>
        <v>-1.55439126838034</v>
      </c>
      <c r="BD462" s="0" t="n">
        <f aca="false">BC462*180/Pi-180</f>
        <v>-269.060059491946</v>
      </c>
      <c r="BF462" s="0" t="n">
        <f aca="false">20*LOG(BA462*J462*F462*C462)</f>
        <v>-28.1260816834515</v>
      </c>
      <c r="BG462" s="0" t="n">
        <f aca="false">(180/Pi)*(D462+H462+BC462)</f>
        <v>-267.361304408553</v>
      </c>
      <c r="BH462" s="0" t="n">
        <f aca="false">IF(BG462&gt;180,BG462-180,BG462+180)</f>
        <v>-87.3613044085528</v>
      </c>
      <c r="BI462" s="0" t="n">
        <f aca="false">IF(BH462&gt;180,BH462-360,BH462)</f>
        <v>-87.3613044085528</v>
      </c>
      <c r="BJ462" s="0" t="n">
        <f aca="false">SUM((BF463&lt;0)*(BF462&gt;0))*A462</f>
        <v>0</v>
      </c>
      <c r="BK462" s="0" t="n">
        <f aca="false">IF(BJ462&gt;0,BI462,0)</f>
        <v>0</v>
      </c>
      <c r="BM462" s="0" t="n">
        <f aca="false">20*LOG(J462*F462*C462)</f>
        <v>-39.2426425338883</v>
      </c>
      <c r="BN462" s="0" t="n">
        <f aca="false">(H462+D462)*180/Pi</f>
        <v>-178.301244916607</v>
      </c>
      <c r="BQ462" s="347" t="n">
        <f aca="false">20*LOG(BA462*7)</f>
        <v>28.0185216507219</v>
      </c>
    </row>
    <row r="463" customFormat="false" ht="12.75" hidden="false" customHeight="false" outlineLevel="0" collapsed="false">
      <c r="A463" s="0" t="n">
        <f aca="false">A462+5000</f>
        <v>1245000</v>
      </c>
      <c r="B463" s="0" t="n">
        <f aca="false">A463/1000</f>
        <v>1245</v>
      </c>
      <c r="C463" s="0" t="n">
        <f aca="false">SQRT((A463/Fesr)^2+1)</f>
        <v>1.000030595799</v>
      </c>
      <c r="D463" s="0" t="n">
        <f aca="false">ATAN(A463/Fesr)</f>
        <v>0.00782240614348533</v>
      </c>
      <c r="F463" s="0" t="n">
        <f aca="false">(Ro/(Ro+Rdcr))/SQRT((A463/(Q*Fo))^2+(1-(A463^2/Fo^2))^2)</f>
        <v>0.00120257848628776</v>
      </c>
      <c r="G463" s="0" t="n">
        <f aca="false">-ATAN(A463*Fo/(Q*(Fo^2-A463^2)))</f>
        <v>0.0217699092119661</v>
      </c>
      <c r="H463" s="0" t="n">
        <f aca="false">IF(G463&gt;0,G463-Pi,G463)</f>
        <v>-3.11982274078803</v>
      </c>
      <c r="J463" s="0" t="n">
        <f aca="false">Vin/Vramp</f>
        <v>9</v>
      </c>
      <c r="M463" s="0" t="n">
        <f aca="false">1/(2*Pi*_Rfb1*(Cc1ea_u+Cc2ea_u)*A463)</f>
        <v>0.00473464058526718</v>
      </c>
      <c r="N463" s="0" t="n">
        <f aca="false">-Pi/2</f>
        <v>-1.570796325</v>
      </c>
      <c r="O463" s="0" t="n">
        <f aca="false">SQRT(1+(A463/Fz1_u)^2)</f>
        <v>30.430570719348</v>
      </c>
      <c r="P463" s="0" t="n">
        <f aca="false">ATAN2(Fz1_u,A463)</f>
        <v>1.53792871880529</v>
      </c>
      <c r="Q463" s="0" t="n">
        <f aca="false">SQRT(1+(A463/Fz2_u)^2)</f>
        <v>34511.5327826046</v>
      </c>
      <c r="R463" s="0" t="n">
        <f aca="false">ATAN2(Fz2_u,A463)</f>
        <v>1.57076735097379</v>
      </c>
      <c r="S463" s="0" t="n">
        <f aca="false">1/SQRT(1+(A463/Fp1_u)^2)</f>
        <v>0.0108402123987151</v>
      </c>
      <c r="T463" s="0" t="n">
        <f aca="false">-ATAN2(Fp1_u,A463)</f>
        <v>-1.55995590207902</v>
      </c>
      <c r="U463" s="0" t="n">
        <f aca="false">1/SQRT(1+(A463/Fp2_u)^2)</f>
        <v>0.28375222849247</v>
      </c>
      <c r="V463" s="0" t="n">
        <f aca="false">-ATAN2(Fp2_u,A463)</f>
        <v>-1.28309140583373</v>
      </c>
      <c r="X463" s="0" t="n">
        <f aca="false">20*LOG(C463*J463*O463*Q463*F463*M463*S463*U463)</f>
        <v>-15.6218467576224</v>
      </c>
      <c r="Y463" s="0" t="n">
        <f aca="false">(180/Pi)*(D463+H463+N463+P463+R463+T463+V463)</f>
        <v>-253.083932316967</v>
      </c>
      <c r="Z463" s="0" t="n">
        <f aca="false">Y463+180</f>
        <v>-73.0839323169667</v>
      </c>
      <c r="AC463" s="0" t="n">
        <v>1</v>
      </c>
      <c r="AD463" s="0" t="n">
        <f aca="false">Rcea1_u*Cc1ea_u*A463*2*Pi</f>
        <v>30.414135435768</v>
      </c>
      <c r="AE463" s="0" t="n">
        <f aca="false">-Rcea1_u*Cc1ea_u*Cc2ea_u*(A463*2*Pi)^2</f>
        <v>-0.0356874858914058</v>
      </c>
      <c r="AF463" s="0" t="n">
        <f aca="false">(Cc2ea_u+Cc1ea_u)*A463*2*Pi</f>
        <v>0.010560463692975</v>
      </c>
      <c r="AG463" s="0" t="n">
        <f aca="false">AC463*AE463/(AE463^2+AF463^2)+AD463*AF463/(AE463^2+AF463^2)</f>
        <v>206.119237566575</v>
      </c>
      <c r="AH463" s="0" t="n">
        <f aca="false">AD463*AE463/(AE463^2+AF463^2)-AC463*AF463/(AE463^2+AF463^2)</f>
        <v>-791.241523623904</v>
      </c>
      <c r="AJ463" s="0" t="n">
        <f aca="false">_Rfb1</f>
        <v>20000</v>
      </c>
      <c r="AK463" s="0" t="n">
        <f aca="false">_Rfb1*Rcea2_u*Cc3ea_u*A463*2*Pi</f>
        <v>1844873.89433424</v>
      </c>
      <c r="AL463" s="0" t="n">
        <v>1</v>
      </c>
      <c r="AM463" s="0" t="n">
        <f aca="false">(_Rfb1+Rcea2_u)*Cc3ea_u*A463*2*Pi</f>
        <v>34511.5327681167</v>
      </c>
      <c r="AN463" s="0" t="n">
        <f aca="false">AJ463*AL463/(AL463^2+AM463^2)+AK463*AM463/(AL463^2+AM463^2)</f>
        <v>53.4567526947423</v>
      </c>
      <c r="AO463" s="0" t="n">
        <f aca="false">AK463*AL463/(AL463^2+AM463^2)-AJ463*AM463/(AL463^2+AM463^2)</f>
        <v>-0.577967469058134</v>
      </c>
      <c r="AQ463" s="0" t="n">
        <f aca="false">Eadcg/(1+(Eadcg*A463/GBP)^2)</f>
        <v>0.00734515429995459</v>
      </c>
      <c r="AR463" s="0" t="n">
        <f aca="false">-(A463*Eadcg*Eadcg/GBP)/(1+(Eadcg*A463/GBP)^2)</f>
        <v>-4.8192659135147</v>
      </c>
      <c r="AT463" s="0" t="n">
        <f aca="false">-AR463*AH463+AG463*AQ463</f>
        <v>-3811.689326554</v>
      </c>
      <c r="AU463" s="0" t="n">
        <f aca="false">AQ463*AH463+AG463*AR463</f>
        <v>-999.155206803781</v>
      </c>
      <c r="AV463" s="0" t="n">
        <f aca="false">ATAN2(AT463,AU463)</f>
        <v>-2.88523121874069</v>
      </c>
      <c r="AW463" s="0" t="n">
        <f aca="false">AG463-AH463*AO463/_Rfb2+AG463*AN463/_Rfb2+AN463-AO463*AR463+AQ463*AN463</f>
        <v>261.935778396813</v>
      </c>
      <c r="AX463" s="0" t="n">
        <f aca="false">AH463+AH463*AN463/_Rfb2+AG463*AO463/_Rfb2+AO463+AO463*AQ463+AN463*AR463</f>
        <v>-1068.53339216106</v>
      </c>
      <c r="AY463" s="0" t="n">
        <f aca="false">ATAN2(AW463,AX463)</f>
        <v>-1.33040095625144</v>
      </c>
      <c r="BA463" s="0" t="n">
        <f aca="false">SQRT(AT463^2+AU463^2)/SQRT(AW463^2+AX463^2)</f>
        <v>3.58169003860083</v>
      </c>
      <c r="BB463" s="0" t="n">
        <f aca="false">20*LOG(BA463)</f>
        <v>11.0817599811821</v>
      </c>
      <c r="BC463" s="0" t="n">
        <f aca="false">AV463-AY463</f>
        <v>-1.55483026248925</v>
      </c>
      <c r="BD463" s="0" t="n">
        <f aca="false">BC463*180/Pi-180</f>
        <v>-269.085212001646</v>
      </c>
      <c r="BF463" s="0" t="n">
        <f aca="false">20*LOG(BA463*J463*F463*C463)</f>
        <v>-28.2308554783384</v>
      </c>
      <c r="BG463" s="0" t="n">
        <f aca="false">(180/Pi)*(D463+H463+BC463)</f>
        <v>-267.389697223821</v>
      </c>
      <c r="BH463" s="0" t="n">
        <f aca="false">IF(BG463&gt;180,BG463-180,BG463+180)</f>
        <v>-87.3896972238215</v>
      </c>
      <c r="BI463" s="0" t="n">
        <f aca="false">IF(BH463&gt;180,BH463-360,BH463)</f>
        <v>-87.3896972238215</v>
      </c>
      <c r="BJ463" s="0" t="n">
        <f aca="false">SUM((BF464&lt;0)*(BF463&gt;0))*A463</f>
        <v>0</v>
      </c>
      <c r="BK463" s="0" t="n">
        <f aca="false">IF(BJ463&gt;0,BI463,0)</f>
        <v>0</v>
      </c>
      <c r="BM463" s="0" t="n">
        <f aca="false">20*LOG(J463*F463*C463)</f>
        <v>-39.3126154595205</v>
      </c>
      <c r="BN463" s="0" t="n">
        <f aca="false">(H463+D463)*180/Pi</f>
        <v>-178.304485222175</v>
      </c>
      <c r="BQ463" s="347" t="n">
        <f aca="false">20*LOG(BA463*7)</f>
        <v>27.9837207814672</v>
      </c>
    </row>
    <row r="464" customFormat="false" ht="12.75" hidden="false" customHeight="false" outlineLevel="0" collapsed="false">
      <c r="A464" s="0" t="n">
        <f aca="false">A463+5000</f>
        <v>1250000</v>
      </c>
      <c r="B464" s="0" t="n">
        <f aca="false">A464/1000</f>
        <v>1250</v>
      </c>
      <c r="C464" s="0" t="n">
        <f aca="false">SQRT((A464/Fesr)^2+1)</f>
        <v>1.00003084203807</v>
      </c>
      <c r="D464" s="0" t="n">
        <f aca="false">ATAN(A464/Fesr)</f>
        <v>0.00785382013995286</v>
      </c>
      <c r="F464" s="0" t="n">
        <f aca="false">(Ro/(Ro+Rdcr))/SQRT((A464/(Q*Fo))^2+(1-(A464^2/Fo^2))^2)</f>
        <v>0.00119296781704456</v>
      </c>
      <c r="G464" s="0" t="n">
        <f aca="false">-ATAN(A464*Fo/(Q*(Fo^2-A464^2)))</f>
        <v>0.0216826471570435</v>
      </c>
      <c r="H464" s="0" t="n">
        <f aca="false">IF(G464&gt;0,G464-Pi,G464)</f>
        <v>-3.11991000284296</v>
      </c>
      <c r="J464" s="0" t="n">
        <f aca="false">Vin/Vramp</f>
        <v>9</v>
      </c>
      <c r="M464" s="0" t="n">
        <f aca="false">1/(2*Pi*_Rfb1*(Cc1ea_u+Cc2ea_u)*A464)</f>
        <v>0.00471570202292611</v>
      </c>
      <c r="N464" s="0" t="n">
        <f aca="false">-Pi/2</f>
        <v>-1.570796325</v>
      </c>
      <c r="O464" s="0" t="n">
        <f aca="false">SQRT(1+(A464/Fz1_u)^2)</f>
        <v>30.5526501357393</v>
      </c>
      <c r="P464" s="0" t="n">
        <f aca="false">ATAN2(Fz1_u,A464)</f>
        <v>1.53806009514122</v>
      </c>
      <c r="Q464" s="0" t="n">
        <f aca="false">SQRT(1+(A464/Fz2_u)^2)</f>
        <v>34650.133315752</v>
      </c>
      <c r="R464" s="0" t="n">
        <f aca="false">ATAN2(Fz2_u,A464)</f>
        <v>1.57076746687707</v>
      </c>
      <c r="S464" s="0" t="n">
        <f aca="false">1/SQRT(1+(A464/Fp1_u)^2)</f>
        <v>0.0107968566139348</v>
      </c>
      <c r="T464" s="0" t="n">
        <f aca="false">-ATAN2(Fp1_u,A464)</f>
        <v>-1.55999926040123</v>
      </c>
      <c r="U464" s="0" t="n">
        <f aca="false">1/SQRT(1+(A464/Fp2_u)^2)</f>
        <v>0.282708101428786</v>
      </c>
      <c r="V464" s="0" t="n">
        <f aca="false">-ATAN2(Fp2_u,A464)</f>
        <v>-1.28418011339668</v>
      </c>
      <c r="X464" s="0" t="n">
        <f aca="false">20*LOG(C464*J464*O464*Q464*F464*M464*S464*U464)</f>
        <v>-15.7235925769407</v>
      </c>
      <c r="Y464" s="0" t="n">
        <f aca="false">(180/Pi)*(D464+H464+N464+P464+R464+T464+V464)</f>
        <v>-253.144460822084</v>
      </c>
      <c r="Z464" s="0" t="n">
        <f aca="false">Y464+180</f>
        <v>-73.144460822084</v>
      </c>
      <c r="AC464" s="0" t="n">
        <v>1</v>
      </c>
      <c r="AD464" s="0" t="n">
        <f aca="false">Rcea1_u*Cc1ea_u*A464*2*Pi</f>
        <v>30.536280558</v>
      </c>
      <c r="AE464" s="0" t="n">
        <f aca="false">-Rcea1_u*Cc1ea_u*Cc2ea_u*(A464*2*Pi)^2</f>
        <v>-0.0359747079597565</v>
      </c>
      <c r="AF464" s="0" t="n">
        <f aca="false">(Cc2ea_u+Cc1ea_u)*A464*2*Pi</f>
        <v>0.01060287519375</v>
      </c>
      <c r="AG464" s="0" t="n">
        <f aca="false">AC464*AE464/(AE464^2+AF464^2)+AD464*AF464/(AE464^2+AF464^2)</f>
        <v>204.60510877048</v>
      </c>
      <c r="AH464" s="0" t="n">
        <f aca="false">AD464*AE464/(AE464^2+AF464^2)-AC464*AF464/(AE464^2+AF464^2)</f>
        <v>-788.522818793577</v>
      </c>
      <c r="AJ464" s="0" t="n">
        <f aca="false">_Rfb1</f>
        <v>20000</v>
      </c>
      <c r="AK464" s="0" t="n">
        <f aca="false">_Rfb1*Rcea2_u*Cc3ea_u*A464*2*Pi</f>
        <v>1852283.02644</v>
      </c>
      <c r="AL464" s="0" t="n">
        <v>1</v>
      </c>
      <c r="AM464" s="0" t="n">
        <f aca="false">(_Rfb1+Rcea2_u)*Cc3ea_u*A464*2*Pi</f>
        <v>34650.133301322</v>
      </c>
      <c r="AN464" s="0" t="n">
        <f aca="false">AJ464*AL464/(AL464^2+AM464^2)+AK464*AM464/(AL464^2+AM464^2)</f>
        <v>53.4567525610336</v>
      </c>
      <c r="AO464" s="0" t="n">
        <f aca="false">AK464*AL464/(AL464^2+AM464^2)-AJ464*AM464/(AL464^2+AM464^2)</f>
        <v>-0.57565559918576</v>
      </c>
      <c r="AQ464" s="0" t="n">
        <f aca="false">Eadcg/(1+(Eadcg*A464/GBP)^2)</f>
        <v>0.00728651072316228</v>
      </c>
      <c r="AR464" s="0" t="n">
        <f aca="false">-(A464*Eadcg*Eadcg/GBP)/(1+(Eadcg*A464/GBP)^2)</f>
        <v>-4.79998893888315</v>
      </c>
      <c r="AT464" s="0" t="n">
        <f aca="false">-AR464*AH464+AG464*AQ464</f>
        <v>-3783.40995094706</v>
      </c>
      <c r="AU464" s="0" t="n">
        <f aca="false">AQ464*AH464+AG464*AR464</f>
        <v>-987.847838911888</v>
      </c>
      <c r="AV464" s="0" t="n">
        <f aca="false">ATAN2(AT464,AU464)</f>
        <v>-2.88619464644584</v>
      </c>
      <c r="AW464" s="0" t="n">
        <f aca="false">AG464-AH464*AO464/_Rfb2+AG464*AN464/_Rfb2+AN464-AO464*AR464+AQ464*AN464</f>
        <v>260.405857217022</v>
      </c>
      <c r="AX464" s="0" t="n">
        <f aca="false">AH464+AH464*AN464/_Rfb2+AG464*AO464/_Rfb2+AO464+AO464*AQ464+AN464*AR464</f>
        <v>-1064.71583299529</v>
      </c>
      <c r="AY464" s="0" t="n">
        <f aca="false">ATAN2(AW464,AX464)</f>
        <v>-1.33092738432972</v>
      </c>
      <c r="BA464" s="0" t="n">
        <f aca="false">SQRT(AT464^2+AU464^2)/SQRT(AW464^2+AX464^2)</f>
        <v>3.56742465048778</v>
      </c>
      <c r="BB464" s="0" t="n">
        <f aca="false">20*LOG(BA464)</f>
        <v>11.0470961782819</v>
      </c>
      <c r="BC464" s="0" t="n">
        <f aca="false">AV464-AY464</f>
        <v>-1.55526726211612</v>
      </c>
      <c r="BD464" s="0" t="n">
        <f aca="false">BC464*180/Pi-180</f>
        <v>-269.110250235944</v>
      </c>
      <c r="BF464" s="0" t="n">
        <f aca="false">20*LOG(BA464*J464*F464*C464)</f>
        <v>-28.3352111911133</v>
      </c>
      <c r="BG464" s="0" t="n">
        <f aca="false">(180/Pi)*(D464+H464+BC464)</f>
        <v>-267.417935316166</v>
      </c>
      <c r="BH464" s="0" t="n">
        <f aca="false">IF(BG464&gt;180,BG464-180,BG464+180)</f>
        <v>-87.4179353161659</v>
      </c>
      <c r="BI464" s="0" t="n">
        <f aca="false">IF(BH464&gt;180,BH464-360,BH464)</f>
        <v>-87.4179353161659</v>
      </c>
      <c r="BJ464" s="0" t="n">
        <f aca="false">SUM((BF465&lt;0)*(BF464&gt;0))*A464</f>
        <v>0</v>
      </c>
      <c r="BK464" s="0" t="n">
        <f aca="false">IF(BJ464&gt;0,BI464,0)</f>
        <v>0</v>
      </c>
      <c r="BM464" s="0" t="n">
        <f aca="false">20*LOG(J464*F464*C464)</f>
        <v>-39.3823073693953</v>
      </c>
      <c r="BN464" s="0" t="n">
        <f aca="false">(H464+D464)*180/Pi</f>
        <v>-178.307685080222</v>
      </c>
      <c r="BQ464" s="347" t="n">
        <f aca="false">20*LOG(BA464*7)</f>
        <v>27.9490569785671</v>
      </c>
    </row>
    <row r="465" customFormat="false" ht="12.75" hidden="false" customHeight="false" outlineLevel="0" collapsed="false">
      <c r="A465" s="0" t="n">
        <f aca="false">A464+5000</f>
        <v>1255000</v>
      </c>
      <c r="B465" s="0" t="n">
        <f aca="false">A465/1000</f>
        <v>1255</v>
      </c>
      <c r="C465" s="0" t="n">
        <f aca="false">SQRT((A465/Fesr)^2+1)</f>
        <v>1.000031089264</v>
      </c>
      <c r="D465" s="0" t="n">
        <f aca="false">ATAN(A465/Fesr)</f>
        <v>0.00788523412091916</v>
      </c>
      <c r="F465" s="0" t="n">
        <f aca="false">(Ro/(Ro+Rdcr))/SQRT((A465/(Q*Fo))^2+(1-(A465^2/Fo^2))^2)</f>
        <v>0.00118347193424052</v>
      </c>
      <c r="G465" s="0" t="n">
        <f aca="false">-ATAN(A465*Fo/(Q*(Fo^2-A465^2)))</f>
        <v>0.0215960825871184</v>
      </c>
      <c r="H465" s="0" t="n">
        <f aca="false">IF(G465&gt;0,G465-Pi,G465)</f>
        <v>-3.11999656741288</v>
      </c>
      <c r="J465" s="0" t="n">
        <f aca="false">Vin/Vramp</f>
        <v>9</v>
      </c>
      <c r="M465" s="0" t="n">
        <f aca="false">1/(2*Pi*_Rfb1*(Cc1ea_u+Cc2ea_u)*A465)</f>
        <v>0.00469691436546426</v>
      </c>
      <c r="N465" s="0" t="n">
        <f aca="false">-Pi/2</f>
        <v>-1.570796325</v>
      </c>
      <c r="O465" s="0" t="n">
        <f aca="false">SQRT(1+(A465/Fz1_u)^2)</f>
        <v>30.6747300752641</v>
      </c>
      <c r="P465" s="0" t="n">
        <f aca="false">ATAN2(Fz1_u,A465)</f>
        <v>1.53819042577073</v>
      </c>
      <c r="Q465" s="0" t="n">
        <f aca="false">SQRT(1+(A465/Fz2_u)^2)</f>
        <v>34788.7338488998</v>
      </c>
      <c r="R465" s="0" t="n">
        <f aca="false">ATAN2(Fz2_u,A465)</f>
        <v>1.57076758185682</v>
      </c>
      <c r="S465" s="0" t="n">
        <f aca="false">1/SQRT(1+(A465/Fp1_u)^2)</f>
        <v>0.0107538462334078</v>
      </c>
      <c r="T465" s="0" t="n">
        <f aca="false">-ATAN2(Fp1_u,A465)</f>
        <v>-1.5600422732789</v>
      </c>
      <c r="U465" s="0" t="n">
        <f aca="false">1/SQRT(1+(A465/Fp2_u)^2)</f>
        <v>0.281671300173997</v>
      </c>
      <c r="V465" s="0" t="n">
        <f aca="false">-ATAN2(Fp2_u,A465)</f>
        <v>-1.28526083679931</v>
      </c>
      <c r="X465" s="0" t="n">
        <f aca="false">20*LOG(C465*J465*O465*Q465*F465*M465*S465*U465)</f>
        <v>-15.8249518048101</v>
      </c>
      <c r="Y465" s="0" t="n">
        <f aca="false">(180/Pi)*(D465+H465+N465+P465+R465+T465+V465)</f>
        <v>-253.204532081418</v>
      </c>
      <c r="Z465" s="0" t="n">
        <f aca="false">Y465+180</f>
        <v>-73.2045320814178</v>
      </c>
      <c r="AC465" s="0" t="n">
        <v>1</v>
      </c>
      <c r="AD465" s="0" t="n">
        <f aca="false">Rcea1_u*Cc1ea_u*A465*2*Pi</f>
        <v>30.658425680232</v>
      </c>
      <c r="AE465" s="0" t="n">
        <f aca="false">-Rcea1_u*Cc1ea_u*Cc2ea_u*(A465*2*Pi)^2</f>
        <v>-0.0362630812187619</v>
      </c>
      <c r="AF465" s="0" t="n">
        <f aca="false">(Cc2ea_u+Cc1ea_u)*A465*2*Pi</f>
        <v>0.010645286694525</v>
      </c>
      <c r="AG465" s="0" t="n">
        <f aca="false">AC465*AE465/(AE465^2+AF465^2)+AD465*AF465/(AE465^2+AF465^2)</f>
        <v>203.107126634778</v>
      </c>
      <c r="AH465" s="0" t="n">
        <f aca="false">AD465*AE465/(AE465^2+AF465^2)-AC465*AF465/(AE465^2+AF465^2)</f>
        <v>-785.821036982375</v>
      </c>
      <c r="AJ465" s="0" t="n">
        <f aca="false">_Rfb1</f>
        <v>20000</v>
      </c>
      <c r="AK465" s="0" t="n">
        <f aca="false">_Rfb1*Rcea2_u*Cc3ea_u*A465*2*Pi</f>
        <v>1859692.15854576</v>
      </c>
      <c r="AL465" s="0" t="n">
        <v>1</v>
      </c>
      <c r="AM465" s="0" t="n">
        <f aca="false">(_Rfb1+Rcea2_u)*Cc3ea_u*A465*2*Pi</f>
        <v>34788.7338345273</v>
      </c>
      <c r="AN465" s="0" t="n">
        <f aca="false">AJ465*AL465/(AL465^2+AM465^2)+AK465*AM465/(AL465^2+AM465^2)</f>
        <v>53.4567524289198</v>
      </c>
      <c r="AO465" s="0" t="n">
        <f aca="false">AK465*AL465/(AL465^2+AM465^2)-AJ465*AM465/(AL465^2+AM465^2)</f>
        <v>-0.573362150587224</v>
      </c>
      <c r="AQ465" s="0" t="n">
        <f aca="false">Eadcg/(1+(Eadcg*A465/GBP)^2)</f>
        <v>0.00722856666629184</v>
      </c>
      <c r="AR465" s="0" t="n">
        <f aca="false">-(A465*Eadcg*Eadcg/GBP)/(1+(Eadcg*A465/GBP)^2)</f>
        <v>-4.78086556458543</v>
      </c>
      <c r="AT465" s="0" t="n">
        <f aca="false">-AR465*AH465+AG465*AQ465</f>
        <v>-3755.43656223057</v>
      </c>
      <c r="AU465" s="0" t="n">
        <f aca="false">AQ465*AH465+AG465*AR465</f>
        <v>-976.708227403704</v>
      </c>
      <c r="AV465" s="0" t="n">
        <f aca="false">ATAN2(AT465,AU465)</f>
        <v>-2.88715108711967</v>
      </c>
      <c r="AW465" s="0" t="n">
        <f aca="false">AG465-AH465*AO465/_Rfb2+AG465*AN465/_Rfb2+AN465-AO465*AR465+AQ465*AN465</f>
        <v>258.89222670601</v>
      </c>
      <c r="AX465" s="0" t="n">
        <f aca="false">AH465+AH465*AN465/_Rfb2+AG465*AO465/_Rfb2+AO465+AO465*AQ465+AN465*AR465</f>
        <v>-1060.92384315633</v>
      </c>
      <c r="AY465" s="0" t="n">
        <f aca="false">ATAN2(AW465,AX465)</f>
        <v>-1.33144879638308</v>
      </c>
      <c r="BA465" s="0" t="n">
        <f aca="false">SQRT(AT465^2+AU465^2)/SQRT(AW465^2+AX465^2)</f>
        <v>3.5532717109424</v>
      </c>
      <c r="BB465" s="0" t="n">
        <f aca="false">20*LOG(BA465)</f>
        <v>11.0125683662298</v>
      </c>
      <c r="BC465" s="0" t="n">
        <f aca="false">AV465-AY465</f>
        <v>-1.5557022907366</v>
      </c>
      <c r="BD465" s="0" t="n">
        <f aca="false">BC465*180/Pi-180</f>
        <v>-269.135175539893</v>
      </c>
      <c r="BF465" s="0" t="n">
        <f aca="false">20*LOG(BA465*J465*F465*C465)</f>
        <v>-28.4391521473573</v>
      </c>
      <c r="BG465" s="0" t="n">
        <f aca="false">(180/Pi)*(D465+H465+BC465)</f>
        <v>-267.446020516104</v>
      </c>
      <c r="BH465" s="0" t="n">
        <f aca="false">IF(BG465&gt;180,BG465-180,BG465+180)</f>
        <v>-87.4460205161037</v>
      </c>
      <c r="BI465" s="0" t="n">
        <f aca="false">IF(BH465&gt;180,BH465-360,BH465)</f>
        <v>-87.4460205161037</v>
      </c>
      <c r="BJ465" s="0" t="n">
        <f aca="false">SUM((BF466&lt;0)*(BF465&gt;0))*A465</f>
        <v>0</v>
      </c>
      <c r="BK465" s="0" t="n">
        <f aca="false">IF(BJ465&gt;0,BI465,0)</f>
        <v>0</v>
      </c>
      <c r="BM465" s="0" t="n">
        <f aca="false">20*LOG(J465*F465*C465)</f>
        <v>-39.4517205135871</v>
      </c>
      <c r="BN465" s="0" t="n">
        <f aca="false">(H465+D465)*180/Pi</f>
        <v>-178.310844976211</v>
      </c>
      <c r="BQ465" s="347" t="n">
        <f aca="false">20*LOG(BA465*7)</f>
        <v>27.9145291665149</v>
      </c>
    </row>
    <row r="466" customFormat="false" ht="12.75" hidden="false" customHeight="false" outlineLevel="0" collapsed="false">
      <c r="A466" s="0" t="n">
        <f aca="false">A465+5000</f>
        <v>1260000</v>
      </c>
      <c r="B466" s="0" t="n">
        <f aca="false">A466/1000</f>
        <v>1260</v>
      </c>
      <c r="C466" s="0" t="n">
        <f aca="false">SQRT((A466/Fesr)^2+1)</f>
        <v>1.0000313374768</v>
      </c>
      <c r="D466" s="0" t="n">
        <f aca="false">ATAN(A466/Fesr)</f>
        <v>0.00791664808632225</v>
      </c>
      <c r="F466" s="0" t="n">
        <f aca="false">(Ro/(Ro+Rdcr))/SQRT((A466/(Q*Fo))^2+(1-(A466^2/Fo^2))^2)</f>
        <v>0.00117408901659539</v>
      </c>
      <c r="G466" s="0" t="n">
        <f aca="false">-ATAN(A466*Fo/(Q*(Fo^2-A466^2)))</f>
        <v>0.0215102071645117</v>
      </c>
      <c r="H466" s="0" t="n">
        <f aca="false">IF(G466&gt;0,G466-Pi,G466)</f>
        <v>-3.12008244283549</v>
      </c>
      <c r="J466" s="0" t="n">
        <f aca="false">Vin/Vramp</f>
        <v>9</v>
      </c>
      <c r="M466" s="0" t="n">
        <f aca="false">1/(2*Pi*_Rfb1*(Cc1ea_u+Cc2ea_u)*A466)</f>
        <v>0.00467827581639496</v>
      </c>
      <c r="N466" s="0" t="n">
        <f aca="false">-Pi/2</f>
        <v>-1.570796325</v>
      </c>
      <c r="O466" s="0" t="n">
        <f aca="false">SQRT(1+(A466/Fz1_u)^2)</f>
        <v>30.7968105317012</v>
      </c>
      <c r="P466" s="0" t="n">
        <f aca="false">ATAN2(Fz1_u,A466)</f>
        <v>1.53831972312512</v>
      </c>
      <c r="Q466" s="0" t="n">
        <f aca="false">SQRT(1+(A466/Fz2_u)^2)</f>
        <v>34927.334382048</v>
      </c>
      <c r="R466" s="0" t="n">
        <f aca="false">ATAN2(Fz2_u,A466)</f>
        <v>1.57076769592404</v>
      </c>
      <c r="S466" s="0" t="n">
        <f aca="false">1/SQRT(1+(A466/Fp1_u)^2)</f>
        <v>0.0107111771461279</v>
      </c>
      <c r="T466" s="0" t="n">
        <f aca="false">-ATAN2(Fp1_u,A466)</f>
        <v>-1.56008494482386</v>
      </c>
      <c r="U466" s="0" t="n">
        <f aca="false">1/SQRT(1+(A466/Fp2_u)^2)</f>
        <v>0.280641751649004</v>
      </c>
      <c r="V466" s="0" t="n">
        <f aca="false">-ATAN2(Fp2_u,A466)</f>
        <v>-1.28633366105291</v>
      </c>
      <c r="X466" s="0" t="n">
        <f aca="false">20*LOG(C466*J466*O466*Q466*F466*M466*S466*U466)</f>
        <v>-15.9259273086255</v>
      </c>
      <c r="Y466" s="0" t="n">
        <f aca="false">(180/Pi)*(D466+H466+N466+P466+R466+T466+V466)</f>
        <v>-253.264150966173</v>
      </c>
      <c r="Z466" s="0" t="n">
        <f aca="false">Y466+180</f>
        <v>-73.2641509661728</v>
      </c>
      <c r="AC466" s="0" t="n">
        <v>1</v>
      </c>
      <c r="AD466" s="0" t="n">
        <f aca="false">Rcea1_u*Cc1ea_u*A466*2*Pi</f>
        <v>30.780570802464</v>
      </c>
      <c r="AE466" s="0" t="n">
        <f aca="false">-Rcea1_u*Cc1ea_u*Cc2ea_u*(A466*2*Pi)^2</f>
        <v>-0.036552605668422</v>
      </c>
      <c r="AF466" s="0" t="n">
        <f aca="false">(Cc2ea_u+Cc1ea_u)*A466*2*Pi</f>
        <v>0.0106876981953</v>
      </c>
      <c r="AG466" s="0" t="n">
        <f aca="false">AC466*AE466/(AE466^2+AF466^2)+AD466*AF466/(AE466^2+AF466^2)</f>
        <v>201.625069487671</v>
      </c>
      <c r="AH466" s="0" t="n">
        <f aca="false">AD466*AE466/(AE466^2+AF466^2)-AC466*AF466/(AE466^2+AF466^2)</f>
        <v>-783.136041540897</v>
      </c>
      <c r="AJ466" s="0" t="n">
        <f aca="false">_Rfb1</f>
        <v>20000</v>
      </c>
      <c r="AK466" s="0" t="n">
        <f aca="false">_Rfb1*Rcea2_u*Cc3ea_u*A466*2*Pi</f>
        <v>1867101.29065152</v>
      </c>
      <c r="AL466" s="0" t="n">
        <v>1</v>
      </c>
      <c r="AM466" s="0" t="n">
        <f aca="false">(_Rfb1+Rcea2_u)*Cc3ea_u*A466*2*Pi</f>
        <v>34927.3343677326</v>
      </c>
      <c r="AN466" s="0" t="n">
        <f aca="false">AJ466*AL466/(AL466^2+AM466^2)+AK466*AM466/(AL466^2+AM466^2)</f>
        <v>53.4567522983757</v>
      </c>
      <c r="AO466" s="0" t="n">
        <f aca="false">AK466*AL466/(AL466^2+AM466^2)-AJ466*AM466/(AL466^2+AM466^2)</f>
        <v>-0.571086903961647</v>
      </c>
      <c r="AQ466" s="0" t="n">
        <f aca="false">Eadcg/(1+(Eadcg*A466/GBP)^2)</f>
        <v>0.00717131104795461</v>
      </c>
      <c r="AR466" s="0" t="n">
        <f aca="false">-(A466*Eadcg*Eadcg/GBP)/(1+(Eadcg*A466/GBP)^2)</f>
        <v>-4.76189396206282</v>
      </c>
      <c r="AT466" s="0" t="n">
        <f aca="false">-AR466*AH466+AG466*AQ466</f>
        <v>-3727.76487159901</v>
      </c>
      <c r="AU466" s="0" t="n">
        <f aca="false">AQ466*AH466+AG466*AR466</f>
        <v>-965.73331314059</v>
      </c>
      <c r="AV466" s="0" t="n">
        <f aca="false">ATAN2(AT466,AU466)</f>
        <v>-2.8881006139205</v>
      </c>
      <c r="AW466" s="0" t="n">
        <f aca="false">AG466-AH466*AO466/_Rfb2+AG466*AN466/_Rfb2+AN466-AO466*AR466+AQ466*AN466</f>
        <v>257.394663701334</v>
      </c>
      <c r="AX466" s="0" t="n">
        <f aca="false">AH466+AH466*AN466/_Rfb2+AG466*AO466/_Rfb2+AO466+AO466*AQ466+AN466*AR466</f>
        <v>-1057.15718455918</v>
      </c>
      <c r="AY466" s="0" t="n">
        <f aca="false">ATAN2(AW466,AX466)</f>
        <v>-1.33196524246097</v>
      </c>
      <c r="BA466" s="0" t="n">
        <f aca="false">SQRT(AT466^2+AU466^2)/SQRT(AW466^2+AX466^2)</f>
        <v>3.53922989841174</v>
      </c>
      <c r="BB466" s="0" t="n">
        <f aca="false">20*LOG(BA466)</f>
        <v>10.9781754820171</v>
      </c>
      <c r="BC466" s="0" t="n">
        <f aca="false">AV466-AY466</f>
        <v>-1.55613537145954</v>
      </c>
      <c r="BD466" s="0" t="n">
        <f aca="false">BC466*180/Pi-180</f>
        <v>-269.159989237534</v>
      </c>
      <c r="BF466" s="0" t="n">
        <f aca="false">20*LOG(BA466*J466*F466*C466)</f>
        <v>-28.5426816332108</v>
      </c>
      <c r="BG466" s="0" t="n">
        <f aca="false">(180/Pi)*(D466+H466+BC466)</f>
        <v>-267.473954625392</v>
      </c>
      <c r="BH466" s="0" t="n">
        <f aca="false">IF(BG466&gt;180,BG466-180,BG466+180)</f>
        <v>-87.4739546253924</v>
      </c>
      <c r="BI466" s="0" t="n">
        <f aca="false">IF(BH466&gt;180,BH466-360,BH466)</f>
        <v>-87.4739546253924</v>
      </c>
      <c r="BJ466" s="0" t="n">
        <f aca="false">SUM((BF467&lt;0)*(BF466&gt;0))*A466</f>
        <v>0</v>
      </c>
      <c r="BK466" s="0" t="n">
        <f aca="false">IF(BJ466&gt;0,BI466,0)</f>
        <v>0</v>
      </c>
      <c r="BM466" s="0" t="n">
        <f aca="false">20*LOG(J466*F466*C466)</f>
        <v>-39.5208571152279</v>
      </c>
      <c r="BN466" s="0" t="n">
        <f aca="false">(H466+D466)*180/Pi</f>
        <v>-178.313965387858</v>
      </c>
      <c r="BQ466" s="347" t="n">
        <f aca="false">20*LOG(BA466*7)</f>
        <v>27.8801362823023</v>
      </c>
    </row>
    <row r="467" customFormat="false" ht="12.75" hidden="false" customHeight="false" outlineLevel="0" collapsed="false">
      <c r="A467" s="0" t="n">
        <f aca="false">A466+5000</f>
        <v>1265000</v>
      </c>
      <c r="B467" s="0" t="n">
        <f aca="false">A467/1000</f>
        <v>1265</v>
      </c>
      <c r="C467" s="0" t="n">
        <f aca="false">SQRT((A467/Fesr)^2+1)</f>
        <v>1.00003158667647</v>
      </c>
      <c r="D467" s="0" t="n">
        <f aca="false">ATAN(A467/Fesr)</f>
        <v>0.00794806203610013</v>
      </c>
      <c r="F467" s="0" t="n">
        <f aca="false">(Ro/(Ro+Rdcr))/SQRT((A467/(Q*Fo))^2+(1-(A467^2/Fo^2))^2)</f>
        <v>0.00116481727881951</v>
      </c>
      <c r="G467" s="0" t="n">
        <f aca="false">-ATAN(A467*Fo/(Q*(Fo^2-A467^2)))</f>
        <v>0.0214250126840396</v>
      </c>
      <c r="H467" s="0" t="n">
        <f aca="false">IF(G467&gt;0,G467-Pi,G467)</f>
        <v>-3.12016763731596</v>
      </c>
      <c r="J467" s="0" t="n">
        <f aca="false">Vin/Vramp</f>
        <v>9</v>
      </c>
      <c r="M467" s="0" t="n">
        <f aca="false">1/(2*Pi*_Rfb1*(Cc1ea_u+Cc2ea_u)*A467)</f>
        <v>0.0046597846076345</v>
      </c>
      <c r="N467" s="0" t="n">
        <f aca="false">-Pi/2</f>
        <v>-1.570796325</v>
      </c>
      <c r="O467" s="0" t="n">
        <f aca="false">SQRT(1+(A467/Fz1_u)^2)</f>
        <v>30.9188914989276</v>
      </c>
      <c r="P467" s="0" t="n">
        <f aca="false">ATAN2(Fz1_u,A467)</f>
        <v>1.53844799943947</v>
      </c>
      <c r="Q467" s="0" t="n">
        <f aca="false">SQRT(1+(A467/Fz2_u)^2)</f>
        <v>35065.9349151967</v>
      </c>
      <c r="R467" s="0" t="n">
        <f aca="false">ATAN2(Fz2_u,A467)</f>
        <v>1.57076780908954</v>
      </c>
      <c r="S467" s="0" t="n">
        <f aca="false">1/SQRT(1+(A467/Fp1_u)^2)</f>
        <v>0.0106688453060664</v>
      </c>
      <c r="T467" s="0" t="n">
        <f aca="false">-ATAN2(Fp1_u,A467)</f>
        <v>-1.56012727908289</v>
      </c>
      <c r="U467" s="0" t="n">
        <f aca="false">1/SQRT(1+(A467/Fp2_u)^2)</f>
        <v>0.279619383685453</v>
      </c>
      <c r="V467" s="0" t="n">
        <f aca="false">-ATAN2(Fp2_u,A467)</f>
        <v>-1.28739867000332</v>
      </c>
      <c r="X467" s="0" t="n">
        <f aca="false">20*LOG(C467*J467*O467*Q467*F467*M467*S467*U467)</f>
        <v>-16.0265219245182</v>
      </c>
      <c r="Y467" s="0" t="n">
        <f aca="false">(180/Pi)*(D467+H467+N467+P467+R467+T467+V467)</f>
        <v>-253.323322280714</v>
      </c>
      <c r="Z467" s="0" t="n">
        <f aca="false">Y467+180</f>
        <v>-73.3233222807139</v>
      </c>
      <c r="AC467" s="0" t="n">
        <v>1</v>
      </c>
      <c r="AD467" s="0" t="n">
        <f aca="false">Rcea1_u*Cc1ea_u*A467*2*Pi</f>
        <v>30.902715924696</v>
      </c>
      <c r="AE467" s="0" t="n">
        <f aca="false">-Rcea1_u*Cc1ea_u*Cc2ea_u*(A467*2*Pi)^2</f>
        <v>-0.0368432813087369</v>
      </c>
      <c r="AF467" s="0" t="n">
        <f aca="false">(Cc2ea_u+Cc1ea_u)*A467*2*Pi</f>
        <v>0.010730109696075</v>
      </c>
      <c r="AG467" s="0" t="n">
        <f aca="false">AC467*AE467/(AE467^2+AF467^2)+AD467*AF467/(AE467^2+AF467^2)</f>
        <v>200.15871931554</v>
      </c>
      <c r="AH467" s="0" t="n">
        <f aca="false">AD467*AE467/(AE467^2+AF467^2)-AC467*AF467/(AE467^2+AF467^2)</f>
        <v>-780.467696914811</v>
      </c>
      <c r="AJ467" s="0" t="n">
        <f aca="false">_Rfb1</f>
        <v>20000</v>
      </c>
      <c r="AK467" s="0" t="n">
        <f aca="false">_Rfb1*Rcea2_u*Cc3ea_u*A467*2*Pi</f>
        <v>1874510.42275728</v>
      </c>
      <c r="AL467" s="0" t="n">
        <v>1</v>
      </c>
      <c r="AM467" s="0" t="n">
        <f aca="false">(_Rfb1+Rcea2_u)*Cc3ea_u*A467*2*Pi</f>
        <v>35065.9349009379</v>
      </c>
      <c r="AN467" s="0" t="n">
        <f aca="false">AJ467*AL467/(AL467^2+AM467^2)+AK467*AM467/(AL467^2+AM467^2)</f>
        <v>53.4567521693765</v>
      </c>
      <c r="AO467" s="0" t="n">
        <f aca="false">AK467*AL467/(AL467^2+AM467^2)-AJ467*AM467/(AL467^2+AM467^2)</f>
        <v>-0.568829643475359</v>
      </c>
      <c r="AQ467" s="0" t="n">
        <f aca="false">Eadcg/(1+(Eadcg*A467/GBP)^2)</f>
        <v>0.00711473300532704</v>
      </c>
      <c r="AR467" s="0" t="n">
        <f aca="false">-(A467*Eadcg*Eadcg/GBP)/(1+(Eadcg*A467/GBP)^2)</f>
        <v>-4.7430723316663</v>
      </c>
      <c r="AT467" s="0" t="n">
        <f aca="false">-AR467*AH467+AG467*AQ467</f>
        <v>-3700.39066314934</v>
      </c>
      <c r="AU467" s="0" t="n">
        <f aca="false">AQ467*AH467+AG467*AR467</f>
        <v>-954.920102810129</v>
      </c>
      <c r="AV467" s="0" t="n">
        <f aca="false">ATAN2(AT467,AU467)</f>
        <v>-2.88904329902824</v>
      </c>
      <c r="AW467" s="0" t="n">
        <f aca="false">AG467-AH467*AO467/_Rfb2+AG467*AN467/_Rfb2+AN467-AO467*AR467+AQ467*AN467</f>
        <v>255.912948711578</v>
      </c>
      <c r="AX467" s="0" t="n">
        <f aca="false">AH467+AH467*AN467/_Rfb2+AG467*AO467/_Rfb2+AO467+AO467*AQ467+AN467*AR467</f>
        <v>-1053.41562179304</v>
      </c>
      <c r="AY467" s="0" t="n">
        <f aca="false">ATAN2(AW467,AX467)</f>
        <v>-1.33247677199411</v>
      </c>
      <c r="BA467" s="0" t="n">
        <f aca="false">SQRT(AT467^2+AU467^2)/SQRT(AW467^2+AX467^2)</f>
        <v>3.52529791190471</v>
      </c>
      <c r="BB467" s="0" t="n">
        <f aca="false">20*LOG(BA467)</f>
        <v>10.9439164749418</v>
      </c>
      <c r="BC467" s="0" t="n">
        <f aca="false">AV467-AY467</f>
        <v>-1.55656652703413</v>
      </c>
      <c r="BD467" s="0" t="n">
        <f aca="false">BC467*180/Pi-180</f>
        <v>-269.1846926323</v>
      </c>
      <c r="BF467" s="0" t="n">
        <f aca="false">20*LOG(BA467*J467*F467*C467)</f>
        <v>-28.6458028959936</v>
      </c>
      <c r="BG467" s="0" t="n">
        <f aca="false">(180/Pi)*(D467+H467+BC467)</f>
        <v>-267.501739417591</v>
      </c>
      <c r="BH467" s="0" t="n">
        <f aca="false">IF(BG467&gt;180,BG467-180,BG467+180)</f>
        <v>-87.5017394175908</v>
      </c>
      <c r="BI467" s="0" t="n">
        <f aca="false">IF(BH467&gt;180,BH467-360,BH467)</f>
        <v>-87.5017394175908</v>
      </c>
      <c r="BJ467" s="0" t="n">
        <f aca="false">SUM((BF468&lt;0)*(BF467&gt;0))*A467</f>
        <v>0</v>
      </c>
      <c r="BK467" s="0" t="n">
        <f aca="false">IF(BJ467&gt;0,BI467,0)</f>
        <v>0</v>
      </c>
      <c r="BM467" s="0" t="n">
        <f aca="false">20*LOG(J467*F467*C467)</f>
        <v>-39.5897193709354</v>
      </c>
      <c r="BN467" s="0" t="n">
        <f aca="false">(H467+D467)*180/Pi</f>
        <v>-178.317046785291</v>
      </c>
      <c r="BQ467" s="347" t="n">
        <f aca="false">20*LOG(BA467*7)</f>
        <v>27.8458772752269</v>
      </c>
    </row>
    <row r="468" customFormat="false" ht="12.75" hidden="false" customHeight="false" outlineLevel="0" collapsed="false">
      <c r="A468" s="0" t="n">
        <f aca="false">A467+5000</f>
        <v>1270000</v>
      </c>
      <c r="B468" s="0" t="n">
        <f aca="false">A468/1000</f>
        <v>1270</v>
      </c>
      <c r="C468" s="0" t="n">
        <f aca="false">SQRT((A468/Fesr)^2+1)</f>
        <v>1.00003183686301</v>
      </c>
      <c r="D468" s="0" t="n">
        <f aca="false">ATAN(A468/Fesr)</f>
        <v>0.00797947597019082</v>
      </c>
      <c r="F468" s="0" t="n">
        <f aca="false">(Ro/(Ro+Rdcr))/SQRT((A468/(Q*Fo))^2+(1-(A468^2/Fo^2))^2)</f>
        <v>0.00115565497076336</v>
      </c>
      <c r="G468" s="0" t="n">
        <f aca="false">-ATAN(A468*Fo/(Q*(Fo^2-A468^2)))</f>
        <v>0.0213404910703902</v>
      </c>
      <c r="H468" s="0" t="n">
        <f aca="false">IF(G468&gt;0,G468-Pi,G468)</f>
        <v>-3.12025215892961</v>
      </c>
      <c r="J468" s="0" t="n">
        <f aca="false">Vin/Vramp</f>
        <v>9</v>
      </c>
      <c r="M468" s="0" t="n">
        <f aca="false">1/(2*Pi*_Rfb1*(Cc1ea_u+Cc2ea_u)*A468)</f>
        <v>0.00464143899894303</v>
      </c>
      <c r="N468" s="0" t="n">
        <f aca="false">-Pi/2</f>
        <v>-1.570796325</v>
      </c>
      <c r="O468" s="0" t="n">
        <f aca="false">SQRT(1+(A468/Fz1_u)^2)</f>
        <v>31.0409729709168</v>
      </c>
      <c r="P468" s="0" t="n">
        <f aca="false">ATAN2(Fz1_u,A468)</f>
        <v>1.53857526675652</v>
      </c>
      <c r="Q468" s="0" t="n">
        <f aca="false">SQRT(1+(A468/Fz2_u)^2)</f>
        <v>35204.5354483459</v>
      </c>
      <c r="R468" s="0" t="n">
        <f aca="false">ATAN2(Fz2_u,A468)</f>
        <v>1.57076792136397</v>
      </c>
      <c r="S468" s="0" t="n">
        <f aca="false">1/SQRT(1+(A468/Fp1_u)^2)</f>
        <v>0.0106268467308935</v>
      </c>
      <c r="T468" s="0" t="n">
        <f aca="false">-ATAN2(Fp1_u,A468)</f>
        <v>-1.5601692800391</v>
      </c>
      <c r="U468" s="0" t="n">
        <f aca="false">1/SQRT(1+(A468/Fp2_u)^2)</f>
        <v>0.278604125012748</v>
      </c>
      <c r="V468" s="0" t="n">
        <f aca="false">-ATAN2(Fp2_u,A468)</f>
        <v>-1.28845594635014</v>
      </c>
      <c r="X468" s="0" t="n">
        <f aca="false">20*LOG(C468*J468*O468*Q468*F468*M468*S468*U468)</f>
        <v>-16.1267384578035</v>
      </c>
      <c r="Y468" s="0" t="n">
        <f aca="false">(180/Pi)*(D468+H468+N468+P468+R468+T468+V468)</f>
        <v>-253.38205076367</v>
      </c>
      <c r="Z468" s="0" t="n">
        <f aca="false">Y468+180</f>
        <v>-73.3820507636697</v>
      </c>
      <c r="AC468" s="0" t="n">
        <v>1</v>
      </c>
      <c r="AD468" s="0" t="n">
        <f aca="false">Rcea1_u*Cc1ea_u*A468*2*Pi</f>
        <v>31.024861046928</v>
      </c>
      <c r="AE468" s="0" t="n">
        <f aca="false">-Rcea1_u*Cc1ea_u*Cc2ea_u*(A468*2*Pi)^2</f>
        <v>-0.0371351081397064</v>
      </c>
      <c r="AF468" s="0" t="n">
        <f aca="false">(Cc2ea_u+Cc1ea_u)*A468*2*Pi</f>
        <v>0.01077252119685</v>
      </c>
      <c r="AG468" s="0" t="n">
        <f aca="false">AC468*AE468/(AE468^2+AF468^2)+AD468*AF468/(AE468^2+AF468^2)</f>
        <v>198.707861693745</v>
      </c>
      <c r="AH468" s="0" t="n">
        <f aca="false">AD468*AE468/(AE468^2+AF468^2)-AC468*AF468/(AE468^2+AF468^2)</f>
        <v>-777.815868643375</v>
      </c>
      <c r="AJ468" s="0" t="n">
        <f aca="false">_Rfb1</f>
        <v>20000</v>
      </c>
      <c r="AK468" s="0" t="n">
        <f aca="false">_Rfb1*Rcea2_u*Cc3ea_u*A468*2*Pi</f>
        <v>1881919.55486304</v>
      </c>
      <c r="AL468" s="0" t="n">
        <v>1</v>
      </c>
      <c r="AM468" s="0" t="n">
        <f aca="false">(_Rfb1+Rcea2_u)*Cc3ea_u*A468*2*Pi</f>
        <v>35204.5354341432</v>
      </c>
      <c r="AN468" s="0" t="n">
        <f aca="false">AJ468*AL468/(AL468^2+AM468^2)+AK468*AM468/(AL468^2+AM468^2)</f>
        <v>53.4567520418978</v>
      </c>
      <c r="AO468" s="0" t="n">
        <f aca="false">AK468*AL468/(AL468^2+AM468^2)-AJ468*AM468/(AL468^2+AM468^2)</f>
        <v>-0.566590156693644</v>
      </c>
      <c r="AQ468" s="0" t="n">
        <f aca="false">Eadcg/(1+(Eadcg*A468/GBP)^2)</f>
        <v>0.00705882188899797</v>
      </c>
      <c r="AR468" s="0" t="n">
        <f aca="false">-(A468*Eadcg*Eadcg/GBP)/(1+(Eadcg*A468/GBP)^2)</f>
        <v>-4.72439890208745</v>
      </c>
      <c r="AT468" s="0" t="n">
        <f aca="false">-AR468*AH468+AG468*AQ468</f>
        <v>-3673.30979244132</v>
      </c>
      <c r="AU468" s="0" t="n">
        <f aca="false">AQ468*AH468+AG468*AR468</f>
        <v>-944.265667301264</v>
      </c>
      <c r="AV468" s="0" t="n">
        <f aca="false">ATAN2(AT468,AU468)</f>
        <v>-2.88997921365994</v>
      </c>
      <c r="AW468" s="0" t="n">
        <f aca="false">AG468-AH468*AO468/_Rfb2+AG468*AN468/_Rfb2+AN468-AO468*AR468+AQ468*AN468</f>
        <v>254.446865847254</v>
      </c>
      <c r="AX468" s="0" t="n">
        <f aca="false">AH468+AH468*AN468/_Rfb2+AG468*AO468/_Rfb2+AO468+AO468*AQ468+AN468*AR468</f>
        <v>-1049.69892208924</v>
      </c>
      <c r="AY468" s="0" t="n">
        <f aca="false">ATAN2(AW468,AX468)</f>
        <v>-1.33298343380308</v>
      </c>
      <c r="BA468" s="0" t="n">
        <f aca="false">SQRT(AT468^2+AU468^2)/SQRT(AW468^2+AX468^2)</f>
        <v>3.51147447059504</v>
      </c>
      <c r="BB468" s="0" t="n">
        <f aca="false">20*LOG(BA468)</f>
        <v>10.9097903064202</v>
      </c>
      <c r="BC468" s="0" t="n">
        <f aca="false">AV468-AY468</f>
        <v>-1.55699577985686</v>
      </c>
      <c r="BD468" s="0" t="n">
        <f aca="false">BC468*180/Pi-180</f>
        <v>-269.209287007415</v>
      </c>
      <c r="BF468" s="0" t="n">
        <f aca="false">20*LOG(BA468*J468*F468*C468)</f>
        <v>-28.7485191448136</v>
      </c>
      <c r="BG468" s="0" t="n">
        <f aca="false">(180/Pi)*(D468+H468+BC468)</f>
        <v>-267.529376638607</v>
      </c>
      <c r="BH468" s="0" t="n">
        <f aca="false">IF(BG468&gt;180,BG468-180,BG468+180)</f>
        <v>-87.5293766386071</v>
      </c>
      <c r="BI468" s="0" t="n">
        <f aca="false">IF(BH468&gt;180,BH468-360,BH468)</f>
        <v>-87.5293766386071</v>
      </c>
      <c r="BJ468" s="0" t="n">
        <f aca="false">SUM((BF469&lt;0)*(BF468&gt;0))*A468</f>
        <v>0</v>
      </c>
      <c r="BK468" s="0" t="n">
        <f aca="false">IF(BJ468&gt;0,BI468,0)</f>
        <v>0</v>
      </c>
      <c r="BM468" s="0" t="n">
        <f aca="false">20*LOG(J468*F468*C468)</f>
        <v>-39.6583094512338</v>
      </c>
      <c r="BN468" s="0" t="n">
        <f aca="false">(H468+D468)*180/Pi</f>
        <v>-178.320089631192</v>
      </c>
      <c r="BQ468" s="347" t="n">
        <f aca="false">20*LOG(BA468*7)</f>
        <v>27.8117511067053</v>
      </c>
    </row>
    <row r="469" customFormat="false" ht="12.75" hidden="false" customHeight="false" outlineLevel="0" collapsed="false">
      <c r="A469" s="0" t="n">
        <f aca="false">A468+5000</f>
        <v>1275000</v>
      </c>
      <c r="B469" s="0" t="n">
        <f aca="false">A469/1000</f>
        <v>1275</v>
      </c>
      <c r="C469" s="0" t="n">
        <f aca="false">SQRT((A469/Fesr)^2+1)</f>
        <v>1.00003208803641</v>
      </c>
      <c r="D469" s="0" t="n">
        <f aca="false">ATAN(A469/Fesr)</f>
        <v>0.00801088988853232</v>
      </c>
      <c r="F469" s="0" t="n">
        <f aca="false">(Ro/(Ro+Rdcr))/SQRT((A469/(Q*Fo))^2+(1-(A469^2/Fo^2))^2)</f>
        <v>0.00114660037659062</v>
      </c>
      <c r="G469" s="0" t="n">
        <f aca="false">-ATAN(A469*Fo/(Q*(Fo^2-A469^2)))</f>
        <v>0.0212566343755616</v>
      </c>
      <c r="H469" s="0" t="n">
        <f aca="false">IF(G469&gt;0,G469-Pi,G469)</f>
        <v>-3.12033601562444</v>
      </c>
      <c r="J469" s="0" t="n">
        <f aca="false">Vin/Vramp</f>
        <v>9</v>
      </c>
      <c r="M469" s="0" t="n">
        <f aca="false">1/(2*Pi*_Rfb1*(Cc1ea_u+Cc2ea_u)*A469)</f>
        <v>0.00462323727737854</v>
      </c>
      <c r="N469" s="0" t="n">
        <f aca="false">-Pi/2</f>
        <v>-1.570796325</v>
      </c>
      <c r="O469" s="0" t="n">
        <f aca="false">SQRT(1+(A469/Fz1_u)^2)</f>
        <v>31.1630549417366</v>
      </c>
      <c r="P469" s="0" t="n">
        <f aca="false">ATAN2(Fz1_u,A469)</f>
        <v>1.53870153693043</v>
      </c>
      <c r="Q469" s="0" t="n">
        <f aca="false">SQRT(1+(A469/Fz2_u)^2)</f>
        <v>35343.1359814955</v>
      </c>
      <c r="R469" s="0" t="n">
        <f aca="false">ATAN2(Fz2_u,A469)</f>
        <v>1.57076803275781</v>
      </c>
      <c r="S469" s="0" t="n">
        <f aca="false">1/SQRT(1+(A469/Fp1_u)^2)</f>
        <v>0.0105851775007297</v>
      </c>
      <c r="T469" s="0" t="n">
        <f aca="false">-ATAN2(Fp1_u,A469)</f>
        <v>-1.5602109516131</v>
      </c>
      <c r="U469" s="0" t="n">
        <f aca="false">1/SQRT(1+(A469/Fp2_u)^2)</f>
        <v>0.277595905245257</v>
      </c>
      <c r="V469" s="0" t="n">
        <f aca="false">-ATAN2(Fp2_u,A469)</f>
        <v>-1.28950557166557</v>
      </c>
      <c r="X469" s="0" t="n">
        <f aca="false">20*LOG(C469*J469*O469*Q469*F469*M469*S469*U469)</f>
        <v>-16.2265796834206</v>
      </c>
      <c r="Y469" s="0" t="n">
        <f aca="false">(180/Pi)*(D469+H469+N469+P469+R469+T469+V469)</f>
        <v>-253.440341089014</v>
      </c>
      <c r="Z469" s="0" t="n">
        <f aca="false">Y469+180</f>
        <v>-73.4403410890145</v>
      </c>
      <c r="AC469" s="0" t="n">
        <v>1</v>
      </c>
      <c r="AD469" s="0" t="n">
        <f aca="false">Rcea1_u*Cc1ea_u*A469*2*Pi</f>
        <v>31.14700616916</v>
      </c>
      <c r="AE469" s="0" t="n">
        <f aca="false">-Rcea1_u*Cc1ea_u*Cc2ea_u*(A469*2*Pi)^2</f>
        <v>-0.0374280861613307</v>
      </c>
      <c r="AF469" s="0" t="n">
        <f aca="false">(Cc2ea_u+Cc1ea_u)*A469*2*Pi</f>
        <v>0.010814932697625</v>
      </c>
      <c r="AG469" s="0" t="n">
        <f aca="false">AC469*AE469/(AE469^2+AF469^2)+AD469*AF469/(AE469^2+AF469^2)</f>
        <v>197.272285718871</v>
      </c>
      <c r="AH469" s="0" t="n">
        <f aca="false">AD469*AE469/(AE469^2+AF469^2)-AC469*AF469/(AE469^2+AF469^2)</f>
        <v>-775.180423357566</v>
      </c>
      <c r="AJ469" s="0" t="n">
        <f aca="false">_Rfb1</f>
        <v>20000</v>
      </c>
      <c r="AK469" s="0" t="n">
        <f aca="false">_Rfb1*Rcea2_u*Cc3ea_u*A469*2*Pi</f>
        <v>1889328.6869688</v>
      </c>
      <c r="AL469" s="0" t="n">
        <v>1</v>
      </c>
      <c r="AM469" s="0" t="n">
        <f aca="false">(_Rfb1+Rcea2_u)*Cc3ea_u*A469*2*Pi</f>
        <v>35343.1359673484</v>
      </c>
      <c r="AN469" s="0" t="n">
        <f aca="false">AJ469*AL469/(AL469^2+AM469^2)+AK469*AM469/(AL469^2+AM469^2)</f>
        <v>53.456751915916</v>
      </c>
      <c r="AO469" s="0" t="n">
        <f aca="false">AK469*AL469/(AL469^2+AM469^2)-AJ469*AM469/(AL469^2+AM469^2)</f>
        <v>-0.564368234514096</v>
      </c>
      <c r="AQ469" s="0" t="n">
        <f aca="false">Eadcg/(1+(Eadcg*A469/GBP)^2)</f>
        <v>0.00700356725795705</v>
      </c>
      <c r="AR469" s="0" t="n">
        <f aca="false">-(A469*Eadcg*Eadcg/GBP)/(1+(Eadcg*A469/GBP)^2)</f>
        <v>-4.70587192980279</v>
      </c>
      <c r="AT469" s="0" t="n">
        <f aca="false">-AR469*AH469+AG469*AQ469</f>
        <v>-3646.51818508985</v>
      </c>
      <c r="AU469" s="0" t="n">
        <f aca="false">AQ469*AH469+AG469*AR469</f>
        <v>-933.767140124506</v>
      </c>
      <c r="AV469" s="0" t="n">
        <f aca="false">ATAN2(AT469,AU469)</f>
        <v>-2.89090842808504</v>
      </c>
      <c r="AW469" s="0" t="n">
        <f aca="false">AG469-AH469*AO469/_Rfb2+AG469*AN469/_Rfb2+AN469-AO469*AR469+AQ469*AN469</f>
        <v>252.996202753119</v>
      </c>
      <c r="AX469" s="0" t="n">
        <f aca="false">AH469+AH469*AN469/_Rfb2+AG469*AO469/_Rfb2+AO469+AO469*AQ469+AN469*AR469</f>
        <v>-1046.00685528941</v>
      </c>
      <c r="AY469" s="0" t="n">
        <f aca="false">ATAN2(AW469,AX469)</f>
        <v>-1.3334852761068</v>
      </c>
      <c r="BA469" s="0" t="n">
        <f aca="false">SQRT(AT469^2+AU469^2)/SQRT(AW469^2+AX469^2)</f>
        <v>3.49775831343332</v>
      </c>
      <c r="BB469" s="0" t="n">
        <f aca="false">20*LOG(BA469)</f>
        <v>10.8757959498027</v>
      </c>
      <c r="BC469" s="0" t="n">
        <f aca="false">AV469-AY469</f>
        <v>-1.55742315197824</v>
      </c>
      <c r="BD469" s="0" t="n">
        <f aca="false">BC469*180/Pi-180</f>
        <v>-269.23377362628</v>
      </c>
      <c r="BF469" s="0" t="n">
        <f aca="false">20*LOG(BA469*J469*F469*C469)</f>
        <v>-28.8508335511631</v>
      </c>
      <c r="BG469" s="0" t="n">
        <f aca="false">(180/Pi)*(D469+H469+BC469)</f>
        <v>-267.556868007234</v>
      </c>
      <c r="BH469" s="0" t="n">
        <f aca="false">IF(BG469&gt;180,BG469-180,BG469+180)</f>
        <v>-87.5568680072342</v>
      </c>
      <c r="BI469" s="0" t="n">
        <f aca="false">IF(BH469&gt;180,BH469-360,BH469)</f>
        <v>-87.5568680072342</v>
      </c>
      <c r="BJ469" s="0" t="n">
        <f aca="false">SUM((BF470&lt;0)*(BF469&gt;0))*A469</f>
        <v>0</v>
      </c>
      <c r="BK469" s="0" t="n">
        <f aca="false">IF(BJ469&gt;0,BI469,0)</f>
        <v>0</v>
      </c>
      <c r="BM469" s="0" t="n">
        <f aca="false">20*LOG(J469*F469*C469)</f>
        <v>-39.7266295009658</v>
      </c>
      <c r="BN469" s="0" t="n">
        <f aca="false">(H469+D469)*180/Pi</f>
        <v>-178.323094380955</v>
      </c>
      <c r="BQ469" s="347" t="n">
        <f aca="false">20*LOG(BA469*7)</f>
        <v>27.7777567500878</v>
      </c>
    </row>
    <row r="470" customFormat="false" ht="12.75" hidden="false" customHeight="false" outlineLevel="0" collapsed="false">
      <c r="A470" s="0" t="n">
        <f aca="false">A469+5000</f>
        <v>1280000</v>
      </c>
      <c r="B470" s="0" t="n">
        <f aca="false">A470/1000</f>
        <v>1280</v>
      </c>
      <c r="C470" s="0" t="n">
        <f aca="false">SQRT((A470/Fesr)^2+1)</f>
        <v>1.00003234019668</v>
      </c>
      <c r="D470" s="0" t="n">
        <f aca="false">ATAN(A470/Fesr)</f>
        <v>0.00804230379106265</v>
      </c>
      <c r="F470" s="0" t="n">
        <f aca="false">(Ro/(Ro+Rdcr))/SQRT((A470/(Q*Fo))^2+(1-(A470^2/Fo^2))^2)</f>
        <v>0.00113765181397379</v>
      </c>
      <c r="G470" s="0" t="n">
        <f aca="false">-ATAN(A470*Fo/(Q*(Fo^2-A470^2)))</f>
        <v>0.02117343477636</v>
      </c>
      <c r="H470" s="0" t="n">
        <f aca="false">IF(G470&gt;0,G470-Pi,G470)</f>
        <v>-3.12041921522364</v>
      </c>
      <c r="J470" s="0" t="n">
        <f aca="false">Vin/Vramp</f>
        <v>9</v>
      </c>
      <c r="M470" s="0" t="n">
        <f aca="false">1/(2*Pi*_Rfb1*(Cc1ea_u+Cc2ea_u)*A470)</f>
        <v>0.00460517775676378</v>
      </c>
      <c r="N470" s="0" t="n">
        <f aca="false">-Pi/2</f>
        <v>-1.570796325</v>
      </c>
      <c r="O470" s="0" t="n">
        <f aca="false">SQRT(1+(A470/Fz1_u)^2)</f>
        <v>31.2851374055471</v>
      </c>
      <c r="P470" s="0" t="n">
        <f aca="false">ATAN2(Fz1_u,A470)</f>
        <v>1.53882682163045</v>
      </c>
      <c r="Q470" s="0" t="n">
        <f aca="false">SQRT(1+(A470/Fz2_u)^2)</f>
        <v>35481.7365146455</v>
      </c>
      <c r="R470" s="0" t="n">
        <f aca="false">ATAN2(Fz2_u,A470)</f>
        <v>1.57076814328139</v>
      </c>
      <c r="S470" s="0" t="n">
        <f aca="false">1/SQRT(1+(A470/Fp1_u)^2)</f>
        <v>0.0105438337569263</v>
      </c>
      <c r="T470" s="0" t="n">
        <f aca="false">-ATAN2(Fp1_u,A470)</f>
        <v>-1.56025229766426</v>
      </c>
      <c r="U470" s="0" t="n">
        <f aca="false">1/SQRT(1+(A470/Fp2_u)^2)</f>
        <v>0.276594654869706</v>
      </c>
      <c r="V470" s="0" t="n">
        <f aca="false">-ATAN2(Fp2_u,A470)</f>
        <v>-1.29054762641291</v>
      </c>
      <c r="X470" s="0" t="n">
        <f aca="false">20*LOG(C470*J470*O470*Q470*F470*M470*S470*U470)</f>
        <v>-16.3260483463643</v>
      </c>
      <c r="Y470" s="0" t="n">
        <f aca="false">(180/Pi)*(D470+H470+N470+P470+R470+T470+V470)</f>
        <v>-253.49819786713</v>
      </c>
      <c r="Z470" s="0" t="n">
        <f aca="false">Y470+180</f>
        <v>-73.4981978671304</v>
      </c>
      <c r="AC470" s="0" t="n">
        <v>1</v>
      </c>
      <c r="AD470" s="0" t="n">
        <f aca="false">Rcea1_u*Cc1ea_u*A470*2*Pi</f>
        <v>31.269151291392</v>
      </c>
      <c r="AE470" s="0" t="n">
        <f aca="false">-Rcea1_u*Cc1ea_u*Cc2ea_u*(A470*2*Pi)^2</f>
        <v>-0.0377222153736096</v>
      </c>
      <c r="AF470" s="0" t="n">
        <f aca="false">(Cc2ea_u+Cc1ea_u)*A470*2*Pi</f>
        <v>0.0108573441984</v>
      </c>
      <c r="AG470" s="0" t="n">
        <f aca="false">AC470*AE470/(AE470^2+AF470^2)+AD470*AF470/(AE470^2+AF470^2)</f>
        <v>195.851783942379</v>
      </c>
      <c r="AH470" s="0" t="n">
        <f aca="false">AD470*AE470/(AE470^2+AF470^2)-AC470*AF470/(AE470^2+AF470^2)</f>
        <v>-772.561228777859</v>
      </c>
      <c r="AJ470" s="0" t="n">
        <f aca="false">_Rfb1</f>
        <v>20000</v>
      </c>
      <c r="AK470" s="0" t="n">
        <f aca="false">_Rfb1*Rcea2_u*Cc3ea_u*A470*2*Pi</f>
        <v>1896737.81907456</v>
      </c>
      <c r="AL470" s="0" t="n">
        <v>1</v>
      </c>
      <c r="AM470" s="0" t="n">
        <f aca="false">(_Rfb1+Rcea2_u)*Cc3ea_u*A470*2*Pi</f>
        <v>35481.7365005537</v>
      </c>
      <c r="AN470" s="0" t="n">
        <f aca="false">AJ470*AL470/(AL470^2+AM470^2)+AK470*AM470/(AL470^2+AM470^2)</f>
        <v>53.4567517914077</v>
      </c>
      <c r="AO470" s="0" t="n">
        <f aca="false">AK470*AL470/(AL470^2+AM470^2)-AJ470*AM470/(AL470^2+AM470^2)</f>
        <v>-0.562163671101534</v>
      </c>
      <c r="AQ470" s="0" t="n">
        <f aca="false">Eadcg/(1+(Eadcg*A470/GBP)^2)</f>
        <v>0.00694895887471994</v>
      </c>
      <c r="AR470" s="0" t="n">
        <f aca="false">-(A470*Eadcg*Eadcg/GBP)/(1+(Eadcg*A470/GBP)^2)</f>
        <v>-4.68748969853108</v>
      </c>
      <c r="AT470" s="0" t="n">
        <f aca="false">-AR470*AH470+AG470*AQ470</f>
        <v>-3620.01183538857</v>
      </c>
      <c r="AU470" s="0" t="n">
        <f aca="false">AQ470*AH470+AG470*AR470</f>
        <v>-923.421715875815</v>
      </c>
      <c r="AV470" s="0" t="n">
        <f aca="false">ATAN2(AT470,AU470)</f>
        <v>-2.89183101164038</v>
      </c>
      <c r="AW470" s="0" t="n">
        <f aca="false">AG470-AH470*AO470/_Rfb2+AG470*AN470/_Rfb2+AN470-AO470*AR470+AQ470*AN470</f>
        <v>251.5607505419</v>
      </c>
      <c r="AX470" s="0" t="n">
        <f aca="false">AH470+AH470*AN470/_Rfb2+AG470*AO470/_Rfb2+AO470+AO470*AQ470+AN470*AR470</f>
        <v>-1042.33919381408</v>
      </c>
      <c r="AY470" s="0" t="n">
        <f aca="false">ATAN2(AW470,AX470)</f>
        <v>-1.33398234653087</v>
      </c>
      <c r="BA470" s="0" t="n">
        <f aca="false">SQRT(AT470^2+AU470^2)/SQRT(AW470^2+AX470^2)</f>
        <v>3.48414819876798</v>
      </c>
      <c r="BB470" s="0" t="n">
        <f aca="false">20*LOG(BA470)</f>
        <v>10.8419323901931</v>
      </c>
      <c r="BC470" s="0" t="n">
        <f aca="false">AV470-AY470</f>
        <v>-1.55784866510951</v>
      </c>
      <c r="BD470" s="0" t="n">
        <f aca="false">BC470*180/Pi-180</f>
        <v>-269.258153732856</v>
      </c>
      <c r="BF470" s="0" t="n">
        <f aca="false">20*LOG(BA470*J470*F470*C470)</f>
        <v>-28.9527492495036</v>
      </c>
      <c r="BG470" s="0" t="n">
        <f aca="false">(180/Pi)*(D470+H470+BC470)</f>
        <v>-267.584215215673</v>
      </c>
      <c r="BH470" s="0" t="n">
        <f aca="false">IF(BG470&gt;180,BG470-180,BG470+180)</f>
        <v>-87.5842152156728</v>
      </c>
      <c r="BI470" s="0" t="n">
        <f aca="false">IF(BH470&gt;180,BH470-360,BH470)</f>
        <v>-87.5842152156728</v>
      </c>
      <c r="BJ470" s="0" t="n">
        <f aca="false">SUM((BF471&lt;0)*(BF470&gt;0))*A470</f>
        <v>0</v>
      </c>
      <c r="BK470" s="0" t="n">
        <f aca="false">IF(BJ470&gt;0,BI470,0)</f>
        <v>0</v>
      </c>
      <c r="BM470" s="0" t="n">
        <f aca="false">20*LOG(J470*F470*C470)</f>
        <v>-39.7946816396967</v>
      </c>
      <c r="BN470" s="0" t="n">
        <f aca="false">(H470+D470)*180/Pi</f>
        <v>-178.326061482816</v>
      </c>
      <c r="BQ470" s="347" t="n">
        <f aca="false">20*LOG(BA470*7)</f>
        <v>27.7438931904782</v>
      </c>
    </row>
    <row r="471" customFormat="false" ht="12.75" hidden="false" customHeight="false" outlineLevel="0" collapsed="false">
      <c r="A471" s="0" t="n">
        <f aca="false">A470+5000</f>
        <v>1285000</v>
      </c>
      <c r="B471" s="0" t="n">
        <f aca="false">A471/1000</f>
        <v>1285</v>
      </c>
      <c r="C471" s="0" t="n">
        <f aca="false">SQRT((A471/Fesr)^2+1)</f>
        <v>1.00003259334382</v>
      </c>
      <c r="D471" s="0" t="n">
        <f aca="false">ATAN(A471/Fesr)</f>
        <v>0.00807371767771983</v>
      </c>
      <c r="F471" s="0" t="n">
        <f aca="false">(Ro/(Ro+Rdcr))/SQRT((A471/(Q*Fo))^2+(1-(A471^2/Fo^2))^2)</f>
        <v>0.00112880763331169</v>
      </c>
      <c r="G471" s="0" t="n">
        <f aca="false">-ATAN(A471*Fo/(Q*(Fo^2-A471^2)))</f>
        <v>0.0210908845719575</v>
      </c>
      <c r="H471" s="0" t="n">
        <f aca="false">IF(G471&gt;0,G471-Pi,G471)</f>
        <v>-3.12050176542804</v>
      </c>
      <c r="J471" s="0" t="n">
        <f aca="false">Vin/Vramp</f>
        <v>9</v>
      </c>
      <c r="M471" s="0" t="n">
        <f aca="false">1/(2*Pi*_Rfb1*(Cc1ea_u+Cc2ea_u)*A471)</f>
        <v>0.00458725877716548</v>
      </c>
      <c r="N471" s="0" t="n">
        <f aca="false">-Pi/2</f>
        <v>-1.570796325</v>
      </c>
      <c r="O471" s="0" t="n">
        <f aca="false">SQRT(1+(A471/Fz1_u)^2)</f>
        <v>31.4072203565996</v>
      </c>
      <c r="P471" s="0" t="n">
        <f aca="false">ATAN2(Fz1_u,A471)</f>
        <v>1.53895113234454</v>
      </c>
      <c r="Q471" s="0" t="n">
        <f aca="false">SQRT(1+(A471/Fz2_u)^2)</f>
        <v>35620.3370477959</v>
      </c>
      <c r="R471" s="0" t="n">
        <f aca="false">ATAN2(Fz2_u,A471)</f>
        <v>1.57076825294487</v>
      </c>
      <c r="S471" s="0" t="n">
        <f aca="false">1/SQRT(1+(A471/Fp1_u)^2)</f>
        <v>0.0105028117008749</v>
      </c>
      <c r="T471" s="0" t="n">
        <f aca="false">-ATAN2(Fp1_u,A471)</f>
        <v>-1.5602933219919</v>
      </c>
      <c r="U471" s="0" t="n">
        <f aca="false">1/SQRT(1+(A471/Fp2_u)^2)</f>
        <v>0.275600305232762</v>
      </c>
      <c r="V471" s="0" t="n">
        <f aca="false">-ATAN2(Fp2_u,A471)</f>
        <v>-1.2915821899647</v>
      </c>
      <c r="X471" s="0" t="n">
        <f aca="false">20*LOG(C471*J471*O471*Q471*F471*M471*S471*U471)</f>
        <v>-16.4251471621097</v>
      </c>
      <c r="Y471" s="0" t="n">
        <f aca="false">(180/Pi)*(D471+H471+N471+P471+R471+T471+V471)</f>
        <v>-253.555625645849</v>
      </c>
      <c r="Z471" s="0" t="n">
        <f aca="false">Y471+180</f>
        <v>-73.5556256458492</v>
      </c>
      <c r="AC471" s="0" t="n">
        <v>1</v>
      </c>
      <c r="AD471" s="0" t="n">
        <f aca="false">Rcea1_u*Cc1ea_u*A471*2*Pi</f>
        <v>31.391296413624</v>
      </c>
      <c r="AE471" s="0" t="n">
        <f aca="false">-Rcea1_u*Cc1ea_u*Cc2ea_u*(A471*2*Pi)^2</f>
        <v>-0.0380174957765433</v>
      </c>
      <c r="AF471" s="0" t="n">
        <f aca="false">(Cc2ea_u+Cc1ea_u)*A471*2*Pi</f>
        <v>0.010899755699175</v>
      </c>
      <c r="AG471" s="0" t="n">
        <f aca="false">AC471*AE471/(AE471^2+AF471^2)+AD471*AF471/(AE471^2+AF471^2)</f>
        <v>194.446152305643</v>
      </c>
      <c r="AH471" s="0" t="n">
        <f aca="false">AD471*AE471/(AE471^2+AF471^2)-AC471*AF471/(AE471^2+AF471^2)</f>
        <v>-769.958153711655</v>
      </c>
      <c r="AJ471" s="0" t="n">
        <f aca="false">_Rfb1</f>
        <v>20000</v>
      </c>
      <c r="AK471" s="0" t="n">
        <f aca="false">_Rfb1*Rcea2_u*Cc3ea_u*A471*2*Pi</f>
        <v>1904146.95118032</v>
      </c>
      <c r="AL471" s="0" t="n">
        <v>1</v>
      </c>
      <c r="AM471" s="0" t="n">
        <f aca="false">(_Rfb1+Rcea2_u)*Cc3ea_u*A471*2*Pi</f>
        <v>35620.337033759</v>
      </c>
      <c r="AN471" s="0" t="n">
        <f aca="false">AJ471*AL471/(AL471^2+AM471^2)+AK471*AM471/(AL471^2+AM471^2)</f>
        <v>53.4567516683499</v>
      </c>
      <c r="AO471" s="0" t="n">
        <f aca="false">AK471*AL471/(AL471^2+AM471^2)-AJ471*AM471/(AL471^2+AM471^2)</f>
        <v>-0.559976263824438</v>
      </c>
      <c r="AQ471" s="0" t="n">
        <f aca="false">Eadcg/(1+(Eadcg*A471/GBP)^2)</f>
        <v>0.00689498670058599</v>
      </c>
      <c r="AR471" s="0" t="n">
        <f aca="false">-(A471*Eadcg*Eadcg/GBP)/(1+(Eadcg*A471/GBP)^2)</f>
        <v>-4.66925051870333</v>
      </c>
      <c r="AT471" s="0" t="n">
        <f aca="false">-AR471*AH471+AG471*AQ471</f>
        <v>-3593.78680496387</v>
      </c>
      <c r="AU471" s="0" t="n">
        <f aca="false">AQ471*AH471+AG471*AR471</f>
        <v>-913.226648742837</v>
      </c>
      <c r="AV471" s="0" t="n">
        <f aca="false">ATAN2(AT471,AU471)</f>
        <v>-2.8927470327449</v>
      </c>
      <c r="AW471" s="0" t="n">
        <f aca="false">AG471-AH471*AO471/_Rfb2+AG471*AN471/_Rfb2+AN471-AO471*AR471+AQ471*AN471</f>
        <v>250.140303729382</v>
      </c>
      <c r="AX471" s="0" t="n">
        <f aca="false">AH471+AH471*AN471/_Rfb2+AG471*AO471/_Rfb2+AO471+AO471*AQ471+AN471*AR471</f>
        <v>-1038.69571263155</v>
      </c>
      <c r="AY471" s="0" t="n">
        <f aca="false">ATAN2(AW471,AX471)</f>
        <v>-1.33447469211586</v>
      </c>
      <c r="BA471" s="0" t="n">
        <f aca="false">SQRT(AT471^2+AU471^2)/SQRT(AW471^2+AX471^2)</f>
        <v>3.4706429039749</v>
      </c>
      <c r="BB471" s="0" t="n">
        <f aca="false">20*LOG(BA471)</f>
        <v>10.8081986242706</v>
      </c>
      <c r="BC471" s="0" t="n">
        <f aca="false">AV471-AY471</f>
        <v>-1.55827234062904</v>
      </c>
      <c r="BD471" s="0" t="n">
        <f aca="false">BC471*180/Pi-180</f>
        <v>-269.282428552036</v>
      </c>
      <c r="BF471" s="0" t="n">
        <f aca="false">20*LOG(BA471*J471*F471*C471)</f>
        <v>-29.0542693378392</v>
      </c>
      <c r="BG471" s="0" t="n">
        <f aca="false">(180/Pi)*(D471+H471+BC471)</f>
        <v>-267.611419930043</v>
      </c>
      <c r="BH471" s="0" t="n">
        <f aca="false">IF(BG471&gt;180,BG471-180,BG471+180)</f>
        <v>-87.6114199300428</v>
      </c>
      <c r="BI471" s="0" t="n">
        <f aca="false">IF(BH471&gt;180,BH471-360,BH471)</f>
        <v>-87.6114199300428</v>
      </c>
      <c r="BJ471" s="0" t="n">
        <f aca="false">SUM((BF472&lt;0)*(BF471&gt;0))*A471</f>
        <v>0</v>
      </c>
      <c r="BK471" s="0" t="n">
        <f aca="false">IF(BJ471&gt;0,BI471,0)</f>
        <v>0</v>
      </c>
      <c r="BM471" s="0" t="n">
        <f aca="false">20*LOG(J471*F471*C471)</f>
        <v>-39.8624679621097</v>
      </c>
      <c r="BN471" s="0" t="n">
        <f aca="false">(H471+D471)*180/Pi</f>
        <v>-178.328991378006</v>
      </c>
      <c r="BQ471" s="347" t="n">
        <f aca="false">20*LOG(BA471*7)</f>
        <v>27.7101594245557</v>
      </c>
    </row>
    <row r="472" customFormat="false" ht="12.75" hidden="false" customHeight="false" outlineLevel="0" collapsed="false">
      <c r="A472" s="0" t="n">
        <f aca="false">A471+5000</f>
        <v>1290000</v>
      </c>
      <c r="B472" s="0" t="n">
        <f aca="false">A472/1000</f>
        <v>1290</v>
      </c>
      <c r="C472" s="0" t="n">
        <f aca="false">SQRT((A472/Fesr)^2+1)</f>
        <v>1.00003284747781</v>
      </c>
      <c r="D472" s="0" t="n">
        <f aca="false">ATAN(A472/Fesr)</f>
        <v>0.00810513154844185</v>
      </c>
      <c r="F472" s="0" t="n">
        <f aca="false">(Ro/(Ro+Rdcr))/SQRT((A472/(Q*Fo))^2+(1-(A472^2/Fo^2))^2)</f>
        <v>0.00112006621696829</v>
      </c>
      <c r="G472" s="0" t="n">
        <f aca="false">-ATAN(A472*Fo/(Q*(Fo^2-A472^2)))</f>
        <v>0.0210089761815066</v>
      </c>
      <c r="H472" s="0" t="n">
        <f aca="false">IF(G472&gt;0,G472-Pi,G472)</f>
        <v>-3.12058367381849</v>
      </c>
      <c r="J472" s="0" t="n">
        <f aca="false">Vin/Vramp</f>
        <v>9</v>
      </c>
      <c r="M472" s="0" t="n">
        <f aca="false">1/(2*Pi*_Rfb1*(Cc1ea_u+Cc2ea_u)*A472)</f>
        <v>0.00456947870438577</v>
      </c>
      <c r="N472" s="0" t="n">
        <f aca="false">-Pi/2</f>
        <v>-1.570796325</v>
      </c>
      <c r="O472" s="0" t="n">
        <f aca="false">SQRT(1+(A472/Fz1_u)^2)</f>
        <v>31.5293037892341</v>
      </c>
      <c r="P472" s="0" t="n">
        <f aca="false">ATAN2(Fz1_u,A472)</f>
        <v>1.53907448038284</v>
      </c>
      <c r="Q472" s="0" t="n">
        <f aca="false">SQRT(1+(A472/Fz2_u)^2)</f>
        <v>35758.9375809468</v>
      </c>
      <c r="R472" s="0" t="n">
        <f aca="false">ATAN2(Fz2_u,A472)</f>
        <v>1.57076836175824</v>
      </c>
      <c r="S472" s="0" t="n">
        <f aca="false">1/SQRT(1+(A472/Fp1_u)^2)</f>
        <v>0.0104621075928438</v>
      </c>
      <c r="T472" s="0" t="n">
        <f aca="false">-ATAN2(Fp1_u,A472)</f>
        <v>-1.56033402833644</v>
      </c>
      <c r="U472" s="0" t="n">
        <f aca="false">1/SQRT(1+(A472/Fp2_u)^2)</f>
        <v>0.274612788528805</v>
      </c>
      <c r="V472" s="0" t="n">
        <f aca="false">-ATAN2(Fp2_u,A472)</f>
        <v>-1.29260934062051</v>
      </c>
      <c r="X472" s="0" t="n">
        <f aca="false">20*LOG(C472*J472*O472*Q472*F472*M472*S472*U472)</f>
        <v>-16.5238788170293</v>
      </c>
      <c r="Y472" s="0" t="n">
        <f aca="false">(180/Pi)*(D472+H472+N472+P472+R472+T472+V472)</f>
        <v>-253.612628911474</v>
      </c>
      <c r="Z472" s="0" t="n">
        <f aca="false">Y472+180</f>
        <v>-73.6126289114745</v>
      </c>
      <c r="AC472" s="0" t="n">
        <v>1</v>
      </c>
      <c r="AD472" s="0" t="n">
        <f aca="false">Rcea1_u*Cc1ea_u*A472*2*Pi</f>
        <v>31.513441535856</v>
      </c>
      <c r="AE472" s="0" t="n">
        <f aca="false">-Rcea1_u*Cc1ea_u*Cc2ea_u*(A472*2*Pi)^2</f>
        <v>-0.0383139273701317</v>
      </c>
      <c r="AF472" s="0" t="n">
        <f aca="false">(Cc2ea_u+Cc1ea_u)*A472*2*Pi</f>
        <v>0.01094216719995</v>
      </c>
      <c r="AG472" s="0" t="n">
        <f aca="false">AC472*AE472/(AE472^2+AF472^2)+AD472*AF472/(AE472^2+AF472^2)</f>
        <v>193.05519007633</v>
      </c>
      <c r="AH472" s="0" t="n">
        <f aca="false">AD472*AE472/(AE472^2+AF472^2)-AC472*AF472/(AE472^2+AF472^2)</f>
        <v>-767.37106805038</v>
      </c>
      <c r="AJ472" s="0" t="n">
        <f aca="false">_Rfb1</f>
        <v>20000</v>
      </c>
      <c r="AK472" s="0" t="n">
        <f aca="false">_Rfb1*Rcea2_u*Cc3ea_u*A472*2*Pi</f>
        <v>1911556.08328608</v>
      </c>
      <c r="AL472" s="0" t="n">
        <v>1</v>
      </c>
      <c r="AM472" s="0" t="n">
        <f aca="false">(_Rfb1+Rcea2_u)*Cc3ea_u*A472*2*Pi</f>
        <v>35758.9375669643</v>
      </c>
      <c r="AN472" s="0" t="n">
        <f aca="false">AJ472*AL472/(AL472^2+AM472^2)+AK472*AM472/(AL472^2+AM472^2)</f>
        <v>53.4567515467203</v>
      </c>
      <c r="AO472" s="0" t="n">
        <f aca="false">AK472*AL472/(AL472^2+AM472^2)-AJ472*AM472/(AL472^2+AM472^2)</f>
        <v>-0.557805813192861</v>
      </c>
      <c r="AQ472" s="0" t="n">
        <f aca="false">Eadcg/(1+(Eadcg*A472/GBP)^2)</f>
        <v>0.00684164089102442</v>
      </c>
      <c r="AR472" s="0" t="n">
        <f aca="false">-(A472*Eadcg*Eadcg/GBP)/(1+(Eadcg*A472/GBP)^2)</f>
        <v>-4.65115272694513</v>
      </c>
      <c r="AT472" s="0" t="n">
        <f aca="false">-AR472*AH472+AG472*AQ472</f>
        <v>-3567.83922145867</v>
      </c>
      <c r="AU472" s="0" t="n">
        <f aca="false">AQ472*AH472+AG472*AR472</f>
        <v>-903.179251052194</v>
      </c>
      <c r="AV472" s="0" t="n">
        <f aca="false">ATAN2(AT472,AU472)</f>
        <v>-2.89365655891408</v>
      </c>
      <c r="AW472" s="0" t="n">
        <f aca="false">AG472-AH472*AO472/_Rfb2+AG472*AN472/_Rfb2+AN472-AO472*AR472+AQ472*AN472</f>
        <v>248.734660170832</v>
      </c>
      <c r="AX472" s="0" t="n">
        <f aca="false">AH472+AH472*AN472/_Rfb2+AG472*AO472/_Rfb2+AO472+AO472*AQ472+AN472*AR472</f>
        <v>-1035.07618922708</v>
      </c>
      <c r="AY472" s="0" t="n">
        <f aca="false">ATAN2(AW472,AX472)</f>
        <v>-1.33496235932536</v>
      </c>
      <c r="BA472" s="0" t="n">
        <f aca="false">SQRT(AT472^2+AU472^2)/SQRT(AW472^2+AX472^2)</f>
        <v>3.45724122509549</v>
      </c>
      <c r="BB472" s="0" t="n">
        <f aca="false">20*LOG(BA472)</f>
        <v>10.7745936601159</v>
      </c>
      <c r="BC472" s="0" t="n">
        <f aca="false">AV472-AY472</f>
        <v>-1.55869419958872</v>
      </c>
      <c r="BD472" s="0" t="n">
        <f aca="false">BC472*180/Pi-180</f>
        <v>-269.306599290003</v>
      </c>
      <c r="BF472" s="0" t="n">
        <f aca="false">20*LOG(BA472*J472*F472*C472)</f>
        <v>-29.1553968782793</v>
      </c>
      <c r="BG472" s="0" t="n">
        <f aca="false">(180/Pi)*(D472+H472+BC472)</f>
        <v>-267.638483790882</v>
      </c>
      <c r="BH472" s="0" t="n">
        <f aca="false">IF(BG472&gt;180,BG472-180,BG472+180)</f>
        <v>-87.638483790882</v>
      </c>
      <c r="BI472" s="0" t="n">
        <f aca="false">IF(BH472&gt;180,BH472-360,BH472)</f>
        <v>-87.638483790882</v>
      </c>
      <c r="BJ472" s="0" t="n">
        <f aca="false">SUM((BF473&lt;0)*(BF472&gt;0))*A472</f>
        <v>0</v>
      </c>
      <c r="BK472" s="0" t="n">
        <f aca="false">IF(BJ472&gt;0,BI472,0)</f>
        <v>0</v>
      </c>
      <c r="BM472" s="0" t="n">
        <f aca="false">20*LOG(J472*F472*C472)</f>
        <v>-39.9299905383952</v>
      </c>
      <c r="BN472" s="0" t="n">
        <f aca="false">(H472+D472)*180/Pi</f>
        <v>-178.331884500879</v>
      </c>
      <c r="BQ472" s="347" t="n">
        <f aca="false">20*LOG(BA472*7)</f>
        <v>27.676554460401</v>
      </c>
    </row>
    <row r="473" customFormat="false" ht="12.75" hidden="false" customHeight="false" outlineLevel="0" collapsed="false">
      <c r="A473" s="0" t="n">
        <f aca="false">A472+5000</f>
        <v>1295000</v>
      </c>
      <c r="B473" s="0" t="n">
        <f aca="false">A473/1000</f>
        <v>1295</v>
      </c>
      <c r="C473" s="0" t="n">
        <f aca="false">SQRT((A473/Fesr)^2+1)</f>
        <v>1.00003310259867</v>
      </c>
      <c r="D473" s="0" t="n">
        <f aca="false">ATAN(A473/Fesr)</f>
        <v>0.00813654540316674</v>
      </c>
      <c r="F473" s="0" t="n">
        <f aca="false">(Ro/(Ro+Rdcr))/SQRT((A473/(Q*Fo))^2+(1-(A473^2/Fo^2))^2)</f>
        <v>0.00111142597853206</v>
      </c>
      <c r="G473" s="0" t="n">
        <f aca="false">-ATAN(A473*Fo/(Q*(Fo^2-A473^2)))</f>
        <v>0.0209277021418104</v>
      </c>
      <c r="H473" s="0" t="n">
        <f aca="false">IF(G473&gt;0,G473-Pi,G473)</f>
        <v>-3.12066494785819</v>
      </c>
      <c r="J473" s="0" t="n">
        <f aca="false">Vin/Vramp</f>
        <v>9</v>
      </c>
      <c r="M473" s="0" t="n">
        <f aca="false">1/(2*Pi*_Rfb1*(Cc1ea_u+Cc2ea_u)*A473)</f>
        <v>0.00455183592946536</v>
      </c>
      <c r="N473" s="0" t="n">
        <f aca="false">-Pi/2</f>
        <v>-1.570796325</v>
      </c>
      <c r="O473" s="0" t="n">
        <f aca="false">SQRT(1+(A473/Fz1_u)^2)</f>
        <v>31.6513876978782</v>
      </c>
      <c r="P473" s="0" t="n">
        <f aca="false">ATAN2(Fz1_u,A473)</f>
        <v>1.53919687688109</v>
      </c>
      <c r="Q473" s="0" t="n">
        <f aca="false">SQRT(1+(A473/Fz2_u)^2)</f>
        <v>35897.5381140981</v>
      </c>
      <c r="R473" s="0" t="n">
        <f aca="false">ATAN2(Fz2_u,A473)</f>
        <v>1.57076846973136</v>
      </c>
      <c r="S473" s="0" t="n">
        <f aca="false">1/SQRT(1+(A473/Fp1_u)^2)</f>
        <v>0.0104217177508423</v>
      </c>
      <c r="T473" s="0" t="n">
        <f aca="false">-ATAN2(Fp1_u,A473)</f>
        <v>-1.56037442038055</v>
      </c>
      <c r="U473" s="0" t="n">
        <f aca="false">1/SQRT(1+(A473/Fp2_u)^2)</f>
        <v>0.273632037787877</v>
      </c>
      <c r="V473" s="0" t="n">
        <f aca="false">-ATAN2(Fp2_u,A473)</f>
        <v>-1.29362915562442</v>
      </c>
      <c r="X473" s="0" t="n">
        <f aca="false">20*LOG(C473*J473*O473*Q473*F473*M473*S473*U473)</f>
        <v>-16.6222459688021</v>
      </c>
      <c r="Y473" s="0" t="n">
        <f aca="false">(180/Pi)*(D473+H473+N473+P473+R473+T473+V473)</f>
        <v>-253.669212089785</v>
      </c>
      <c r="Z473" s="0" t="n">
        <f aca="false">Y473+180</f>
        <v>-73.6692120897848</v>
      </c>
      <c r="AC473" s="0" t="n">
        <v>1</v>
      </c>
      <c r="AD473" s="0" t="n">
        <f aca="false">Rcea1_u*Cc1ea_u*A473*2*Pi</f>
        <v>31.635586658088</v>
      </c>
      <c r="AE473" s="0" t="n">
        <f aca="false">-Rcea1_u*Cc1ea_u*Cc2ea_u*(A473*2*Pi)^2</f>
        <v>-0.0386115101543748</v>
      </c>
      <c r="AF473" s="0" t="n">
        <f aca="false">(Cc2ea_u+Cc1ea_u)*A473*2*Pi</f>
        <v>0.010984578700725</v>
      </c>
      <c r="AG473" s="0" t="n">
        <f aca="false">AC473*AE473/(AE473^2+AF473^2)+AD473*AF473/(AE473^2+AF473^2)</f>
        <v>191.678699786102</v>
      </c>
      <c r="AH473" s="0" t="n">
        <f aca="false">AD473*AE473/(AE473^2+AF473^2)-AC473*AF473/(AE473^2+AF473^2)</f>
        <v>-764.799842766291</v>
      </c>
      <c r="AJ473" s="0" t="n">
        <f aca="false">_Rfb1</f>
        <v>20000</v>
      </c>
      <c r="AK473" s="0" t="n">
        <f aca="false">_Rfb1*Rcea2_u*Cc3ea_u*A473*2*Pi</f>
        <v>1918965.21539184</v>
      </c>
      <c r="AL473" s="0" t="n">
        <v>1</v>
      </c>
      <c r="AM473" s="0" t="n">
        <f aca="false">(_Rfb1+Rcea2_u)*Cc3ea_u*A473*2*Pi</f>
        <v>35897.5381001696</v>
      </c>
      <c r="AN473" s="0" t="n">
        <f aca="false">AJ473*AL473/(AL473^2+AM473^2)+AK473*AM473/(AL473^2+AM473^2)</f>
        <v>53.4567514264968</v>
      </c>
      <c r="AO473" s="0" t="n">
        <f aca="false">AK473*AL473/(AL473^2+AM473^2)-AJ473*AM473/(AL473^2+AM473^2)</f>
        <v>-0.555652122797782</v>
      </c>
      <c r="AQ473" s="0" t="n">
        <f aca="false">Eadcg/(1+(Eadcg*A473/GBP)^2)</f>
        <v>0.00678891179118489</v>
      </c>
      <c r="AR473" s="0" t="n">
        <f aca="false">-(A473*Eadcg*Eadcg/GBP)/(1+(Eadcg*A473/GBP)^2)</f>
        <v>-4.63319468557099</v>
      </c>
      <c r="AT473" s="0" t="n">
        <f aca="false">-AR473*AH473+AG473*AQ473</f>
        <v>-3542.16527724522</v>
      </c>
      <c r="AU473" s="0" t="n">
        <f aca="false">AQ473*AH473+AG473*AR473</f>
        <v>-893.276891856577</v>
      </c>
      <c r="AV473" s="0" t="n">
        <f aca="false">ATAN2(AT473,AU473)</f>
        <v>-2.8945596567742</v>
      </c>
      <c r="AW473" s="0" t="n">
        <f aca="false">AG473-AH473*AO473/_Rfb2+AG473*AN473/_Rfb2+AN473-AO473*AR473+AQ473*AN473</f>
        <v>247.343620998735</v>
      </c>
      <c r="AX473" s="0" t="n">
        <f aca="false">AH473+AH473*AN473/_Rfb2+AG473*AO473/_Rfb2+AO473+AO473*AQ473+AN473*AR473</f>
        <v>-1031.48040357247</v>
      </c>
      <c r="AY473" s="0" t="n">
        <f aca="false">ATAN2(AW473,AX473)</f>
        <v>-1.3354453940541</v>
      </c>
      <c r="BA473" s="0" t="n">
        <f aca="false">SQRT(AT473^2+AU473^2)/SQRT(AW473^2+AX473^2)</f>
        <v>3.44394197648293</v>
      </c>
      <c r="BB473" s="0" t="n">
        <f aca="false">20*LOG(BA473)</f>
        <v>10.7411165170402</v>
      </c>
      <c r="BC473" s="0" t="n">
        <f aca="false">AV473-AY473</f>
        <v>-1.5591142627201</v>
      </c>
      <c r="BD473" s="0" t="n">
        <f aca="false">BC473*180/Pi-180</f>
        <v>-269.330667134588</v>
      </c>
      <c r="BF473" s="0" t="n">
        <f aca="false">20*LOG(BA473*J473*F473*C473)</f>
        <v>-29.2561348975903</v>
      </c>
      <c r="BG473" s="0" t="n">
        <f aca="false">(180/Pi)*(D473+H473+BC473)</f>
        <v>-267.665408413635</v>
      </c>
      <c r="BH473" s="0" t="n">
        <f aca="false">IF(BG473&gt;180,BG473-180,BG473+180)</f>
        <v>-87.6654084136346</v>
      </c>
      <c r="BI473" s="0" t="n">
        <f aca="false">IF(BH473&gt;180,BH473-360,BH473)</f>
        <v>-87.6654084136346</v>
      </c>
      <c r="BJ473" s="0" t="n">
        <f aca="false">SUM((BF474&lt;0)*(BF473&gt;0))*A473</f>
        <v>0</v>
      </c>
      <c r="BK473" s="0" t="n">
        <f aca="false">IF(BJ473&gt;0,BI473,0)</f>
        <v>0</v>
      </c>
      <c r="BM473" s="0" t="n">
        <f aca="false">20*LOG(J473*F473*C473)</f>
        <v>-39.9972514146305</v>
      </c>
      <c r="BN473" s="0" t="n">
        <f aca="false">(H473+D473)*180/Pi</f>
        <v>-178.334741279047</v>
      </c>
      <c r="BQ473" s="347" t="n">
        <f aca="false">20*LOG(BA473*7)</f>
        <v>27.6430773173254</v>
      </c>
    </row>
    <row r="474" customFormat="false" ht="12.75" hidden="false" customHeight="false" outlineLevel="0" collapsed="false">
      <c r="A474" s="0" t="n">
        <f aca="false">A473+5000</f>
        <v>1300000</v>
      </c>
      <c r="B474" s="0" t="n">
        <f aca="false">A474/1000</f>
        <v>1300</v>
      </c>
      <c r="C474" s="0" t="n">
        <f aca="false">SQRT((A474/Fesr)^2+1)</f>
        <v>1.0000333587064</v>
      </c>
      <c r="D474" s="0" t="n">
        <f aca="false">ATAN(A474/Fesr)</f>
        <v>0.0081679592418325</v>
      </c>
      <c r="F474" s="0" t="n">
        <f aca="false">(Ro/(Ro+Rdcr))/SQRT((A474/(Q*Fo))^2+(1-(A474^2/Fo^2))^2)</f>
        <v>0.00110288536209526</v>
      </c>
      <c r="G474" s="0" t="n">
        <f aca="false">-ATAN(A474*Fo/(Q*(Fo^2-A474^2)))</f>
        <v>0.0208470551050468</v>
      </c>
      <c r="H474" s="0" t="n">
        <f aca="false">IF(G474&gt;0,G474-Pi,G474)</f>
        <v>-3.12074559489495</v>
      </c>
      <c r="J474" s="0" t="n">
        <f aca="false">Vin/Vramp</f>
        <v>9</v>
      </c>
      <c r="M474" s="0" t="n">
        <f aca="false">1/(2*Pi*_Rfb1*(Cc1ea_u+Cc2ea_u)*A474)</f>
        <v>0.00453432886819819</v>
      </c>
      <c r="N474" s="0" t="n">
        <f aca="false">-Pi/2</f>
        <v>-1.570796325</v>
      </c>
      <c r="O474" s="0" t="n">
        <f aca="false">SQRT(1+(A474/Fz1_u)^2)</f>
        <v>31.7734720770448</v>
      </c>
      <c r="P474" s="0" t="n">
        <f aca="false">ATAN2(Fz1_u,A474)</f>
        <v>1.53931833280402</v>
      </c>
      <c r="Q474" s="0" t="n">
        <f aca="false">SQRT(1+(A474/Fz2_u)^2)</f>
        <v>36036.1386472498</v>
      </c>
      <c r="R474" s="0" t="n">
        <f aca="false">ATAN2(Fz2_u,A474)</f>
        <v>1.57076857687391</v>
      </c>
      <c r="S474" s="0" t="n">
        <f aca="false">1/SQRT(1+(A474/Fp1_u)^2)</f>
        <v>0.01038163854951</v>
      </c>
      <c r="T474" s="0" t="n">
        <f aca="false">-ATAN2(Fp1_u,A474)</f>
        <v>-1.56041450175024</v>
      </c>
      <c r="U474" s="0" t="n">
        <f aca="false">1/SQRT(1+(A474/Fp2_u)^2)</f>
        <v>0.272657986863814</v>
      </c>
      <c r="V474" s="0" t="n">
        <f aca="false">-ATAN2(Fp2_u,A474)</f>
        <v>-1.29464171118219</v>
      </c>
      <c r="X474" s="0" t="n">
        <f aca="false">20*LOG(C474*J474*O474*Q474*F474*M474*S474*U474)</f>
        <v>-16.7202512468166</v>
      </c>
      <c r="Y474" s="0" t="n">
        <f aca="false">(180/Pi)*(D474+H474+N474+P474+R474+T474+V474)</f>
        <v>-253.725379547018</v>
      </c>
      <c r="Z474" s="0" t="n">
        <f aca="false">Y474+180</f>
        <v>-73.7253795470176</v>
      </c>
      <c r="AC474" s="0" t="n">
        <v>1</v>
      </c>
      <c r="AD474" s="0" t="n">
        <f aca="false">Rcea1_u*Cc1ea_u*A474*2*Pi</f>
        <v>31.75773178032</v>
      </c>
      <c r="AE474" s="0" t="n">
        <f aca="false">-Rcea1_u*Cc1ea_u*Cc2ea_u*(A474*2*Pi)^2</f>
        <v>-0.0389102441292726</v>
      </c>
      <c r="AF474" s="0" t="n">
        <f aca="false">(Cc2ea_u+Cc1ea_u)*A474*2*Pi</f>
        <v>0.0110269902015</v>
      </c>
      <c r="AG474" s="0" t="n">
        <f aca="false">AC474*AE474/(AE474^2+AF474^2)+AD474*AF474/(AE474^2+AF474^2)</f>
        <v>190.316487169607</v>
      </c>
      <c r="AH474" s="0" t="n">
        <f aca="false">AD474*AE474/(AE474^2+AF474^2)-AC474*AF474/(AE474^2+AF474^2)</f>
        <v>-762.244349908973</v>
      </c>
      <c r="AJ474" s="0" t="n">
        <f aca="false">_Rfb1</f>
        <v>20000</v>
      </c>
      <c r="AK474" s="0" t="n">
        <f aca="false">_Rfb1*Rcea2_u*Cc3ea_u*A474*2*Pi</f>
        <v>1926374.3474976</v>
      </c>
      <c r="AL474" s="0" t="n">
        <v>1</v>
      </c>
      <c r="AM474" s="0" t="n">
        <f aca="false">(_Rfb1+Rcea2_u)*Cc3ea_u*A474*2*Pi</f>
        <v>36036.1386333749</v>
      </c>
      <c r="AN474" s="0" t="n">
        <f aca="false">AJ474*AL474/(AL474^2+AM474^2)+AK474*AM474/(AL474^2+AM474^2)</f>
        <v>53.4567513076578</v>
      </c>
      <c r="AO474" s="0" t="n">
        <f aca="false">AK474*AL474/(AL474^2+AM474^2)-AJ474*AM474/(AL474^2+AM474^2)</f>
        <v>-0.553514999251858</v>
      </c>
      <c r="AQ474" s="0" t="n">
        <f aca="false">Eadcg/(1+(Eadcg*A474/GBP)^2)</f>
        <v>0.00673678993152869</v>
      </c>
      <c r="AR474" s="0" t="n">
        <f aca="false">-(A474*Eadcg*Eadcg/GBP)/(1+(Eadcg*A474/GBP)^2)</f>
        <v>-4.61537478209031</v>
      </c>
      <c r="AT474" s="0" t="n">
        <f aca="false">-AR474*AH474+AG474*AQ474</f>
        <v>-3516.76122816612</v>
      </c>
      <c r="AU474" s="0" t="n">
        <f aca="false">AQ474*AH474+AG474*AR474</f>
        <v>-883.516995560447</v>
      </c>
      <c r="AV474" s="0" t="n">
        <f aca="false">ATAN2(AT474,AU474)</f>
        <v>-2.89545639207624</v>
      </c>
      <c r="AW474" s="0" t="n">
        <f aca="false">AG474-AH474*AO474/_Rfb2+AG474*AN474/_Rfb2+AN474-AO474*AR474+AQ474*AN474</f>
        <v>245.966990561812</v>
      </c>
      <c r="AX474" s="0" t="n">
        <f aca="false">AH474+AH474*AN474/_Rfb2+AG474*AO474/_Rfb2+AO474+AO474*AQ474+AN474*AR474</f>
        <v>-1027.90813809589</v>
      </c>
      <c r="AY474" s="0" t="n">
        <f aca="false">ATAN2(AW474,AX474)</f>
        <v>-1.33592384163576</v>
      </c>
      <c r="BA474" s="0" t="n">
        <f aca="false">SQRT(AT474^2+AU474^2)/SQRT(AW474^2+AX474^2)</f>
        <v>3.43074399045638</v>
      </c>
      <c r="BB474" s="0" t="n">
        <f aca="false">20*LOG(BA474)</f>
        <v>10.7077662254174</v>
      </c>
      <c r="BC474" s="0" t="n">
        <f aca="false">AV474-AY474</f>
        <v>-1.55953255044048</v>
      </c>
      <c r="BD474" s="0" t="n">
        <f aca="false">BC474*180/Pi-180</f>
        <v>-269.354633255615</v>
      </c>
      <c r="BF474" s="0" t="n">
        <f aca="false">20*LOG(BA474*J474*F474*C474)</f>
        <v>-29.3564863877367</v>
      </c>
      <c r="BG474" s="0" t="n">
        <f aca="false">(180/Pi)*(D474+H474+BC474)</f>
        <v>-267.692195389128</v>
      </c>
      <c r="BH474" s="0" t="n">
        <f aca="false">IF(BG474&gt;180,BG474-180,BG474+180)</f>
        <v>-87.6921953891276</v>
      </c>
      <c r="BI474" s="0" t="n">
        <f aca="false">IF(BH474&gt;180,BH474-360,BH474)</f>
        <v>-87.6921953891276</v>
      </c>
      <c r="BJ474" s="0" t="n">
        <f aca="false">SUM((BF475&lt;0)*(BF474&gt;0))*A474</f>
        <v>0</v>
      </c>
      <c r="BK474" s="0" t="n">
        <f aca="false">IF(BJ474&gt;0,BI474,0)</f>
        <v>0</v>
      </c>
      <c r="BM474" s="0" t="n">
        <f aca="false">20*LOG(J474*F474*C474)</f>
        <v>-40.064252613154</v>
      </c>
      <c r="BN474" s="0" t="n">
        <f aca="false">(H474+D474)*180/Pi</f>
        <v>-178.337562133513</v>
      </c>
      <c r="BQ474" s="347" t="n">
        <f aca="false">20*LOG(BA474*7)</f>
        <v>27.6097270257025</v>
      </c>
    </row>
    <row r="475" customFormat="false" ht="12.75" hidden="false" customHeight="false" outlineLevel="0" collapsed="false">
      <c r="A475" s="0" t="n">
        <f aca="false">A474+5000</f>
        <v>1305000</v>
      </c>
      <c r="B475" s="0" t="n">
        <f aca="false">A475/1000</f>
        <v>1305</v>
      </c>
      <c r="C475" s="0" t="n">
        <f aca="false">SQRT((A475/Fesr)^2+1)</f>
        <v>1.00003361580098</v>
      </c>
      <c r="D475" s="0" t="n">
        <f aca="false">ATAN(A475/Fesr)</f>
        <v>0.00819937306437715</v>
      </c>
      <c r="F475" s="0" t="n">
        <f aca="false">(Ro/(Ro+Rdcr))/SQRT((A475/(Q*Fo))^2+(1-(A475^2/Fo^2))^2)</f>
        <v>0.00109444284155265</v>
      </c>
      <c r="G475" s="0" t="n">
        <f aca="false">-ATAN(A475*Fo/(Q*(Fo^2-A475^2)))</f>
        <v>0.0207670278365458</v>
      </c>
      <c r="H475" s="0" t="n">
        <f aca="false">IF(G475&gt;0,G475-Pi,G475)</f>
        <v>-3.12082562216345</v>
      </c>
      <c r="J475" s="0" t="n">
        <f aca="false">Vin/Vramp</f>
        <v>9</v>
      </c>
      <c r="M475" s="0" t="n">
        <f aca="false">1/(2*Pi*_Rfb1*(Cc1ea_u+Cc2ea_u)*A475)</f>
        <v>0.0045169559606572</v>
      </c>
      <c r="N475" s="0" t="n">
        <f aca="false">-Pi/2</f>
        <v>-1.570796325</v>
      </c>
      <c r="O475" s="0" t="n">
        <f aca="false">SQRT(1+(A475/Fz1_u)^2)</f>
        <v>31.895556921331</v>
      </c>
      <c r="P475" s="0" t="n">
        <f aca="false">ATAN2(Fz1_u,A475)</f>
        <v>1.5394388589486</v>
      </c>
      <c r="Q475" s="0" t="n">
        <f aca="false">SQRT(1+(A475/Fz2_u)^2)</f>
        <v>36174.739180402</v>
      </c>
      <c r="R475" s="0" t="n">
        <f aca="false">ATAN2(Fz2_u,A475)</f>
        <v>1.57076868319545</v>
      </c>
      <c r="S475" s="0" t="n">
        <f aca="false">1/SQRT(1+(A475/Fp1_u)^2)</f>
        <v>0.0103418664190327</v>
      </c>
      <c r="T475" s="0" t="n">
        <f aca="false">-ATAN2(Fp1_u,A475)</f>
        <v>-1.56045427601598</v>
      </c>
      <c r="U475" s="0" t="n">
        <f aca="false">1/SQRT(1+(A475/Fp2_u)^2)</f>
        <v>0.271690570422559</v>
      </c>
      <c r="V475" s="0" t="n">
        <f aca="false">-ATAN2(Fp2_u,A475)</f>
        <v>-1.295647082478</v>
      </c>
      <c r="X475" s="0" t="n">
        <f aca="false">20*LOG(C475*J475*O475*Q475*F475*M475*S475*U475)</f>
        <v>-16.8178972525659</v>
      </c>
      <c r="Y475" s="0" t="n">
        <f aca="false">(180/Pi)*(D475+H475+N475+P475+R475+T475+V475)</f>
        <v>-253.781135590836</v>
      </c>
      <c r="Z475" s="0" t="n">
        <f aca="false">Y475+180</f>
        <v>-73.7811355908356</v>
      </c>
      <c r="AC475" s="0" t="n">
        <v>1</v>
      </c>
      <c r="AD475" s="0" t="n">
        <f aca="false">Rcea1_u*Cc1ea_u*A475*2*Pi</f>
        <v>31.879876902552</v>
      </c>
      <c r="AE475" s="0" t="n">
        <f aca="false">-Rcea1_u*Cc1ea_u*Cc2ea_u*(A475*2*Pi)^2</f>
        <v>-0.0392101292948252</v>
      </c>
      <c r="AF475" s="0" t="n">
        <f aca="false">(Cc2ea_u+Cc1ea_u)*A475*2*Pi</f>
        <v>0.011069401702275</v>
      </c>
      <c r="AG475" s="0" t="n">
        <f aca="false">AC475*AE475/(AE475^2+AF475^2)+AD475*AF475/(AE475^2+AF475^2)</f>
        <v>188.968361104731</v>
      </c>
      <c r="AH475" s="0" t="n">
        <f aca="false">AD475*AE475/(AE475^2+AF475^2)-AC475*AF475/(AE475^2+AF475^2)</f>
        <v>-759.704462601568</v>
      </c>
      <c r="AJ475" s="0" t="n">
        <f aca="false">_Rfb1</f>
        <v>20000</v>
      </c>
      <c r="AK475" s="0" t="n">
        <f aca="false">_Rfb1*Rcea2_u*Cc3ea_u*A475*2*Pi</f>
        <v>1933783.47960336</v>
      </c>
      <c r="AL475" s="0" t="n">
        <v>1</v>
      </c>
      <c r="AM475" s="0" t="n">
        <f aca="false">(_Rfb1+Rcea2_u)*Cc3ea_u*A475*2*Pi</f>
        <v>36174.7391665802</v>
      </c>
      <c r="AN475" s="0" t="n">
        <f aca="false">AJ475*AL475/(AL475^2+AM475^2)+AK475*AM475/(AL475^2+AM475^2)</f>
        <v>53.4567511901821</v>
      </c>
      <c r="AO475" s="0" t="n">
        <f aca="false">AK475*AL475/(AL475^2+AM475^2)-AJ475*AM475/(AL475^2+AM475^2)</f>
        <v>-0.551394252131535</v>
      </c>
      <c r="AQ475" s="0" t="n">
        <f aca="false">Eadcg/(1+(Eadcg*A475/GBP)^2)</f>
        <v>0.00668526602357695</v>
      </c>
      <c r="AR475" s="0" t="n">
        <f aca="false">-(A475*Eadcg*Eadcg/GBP)/(1+(Eadcg*A475/GBP)^2)</f>
        <v>-4.59769142872469</v>
      </c>
      <c r="AT475" s="0" t="n">
        <f aca="false">-AR475*AH475+AG475*AQ475</f>
        <v>-3491.6233923031</v>
      </c>
      <c r="AU475" s="0" t="n">
        <f aca="false">AQ475*AH475+AG475*AR475</f>
        <v>-873.897040583164</v>
      </c>
      <c r="AV475" s="0" t="n">
        <f aca="false">ATAN2(AT475,AU475)</f>
        <v>-2.89634682970959</v>
      </c>
      <c r="AW475" s="0" t="n">
        <f aca="false">AG475-AH475*AO475/_Rfb2+AG475*AN475/_Rfb2+AN475-AO475*AR475+AQ475*AN475</f>
        <v>244.60457636528</v>
      </c>
      <c r="AX475" s="0" t="n">
        <f aca="false">AH475+AH475*AN475/_Rfb2+AG475*AO475/_Rfb2+AO475+AO475*AQ475+AN475*AR475</f>
        <v>-1024.35917765211</v>
      </c>
      <c r="AY475" s="0" t="n">
        <f aca="false">ATAN2(AW475,AX475)</f>
        <v>-1.33639774685082</v>
      </c>
      <c r="BA475" s="0" t="n">
        <f aca="false">SQRT(AT475^2+AU475^2)/SQRT(AW475^2+AX475^2)</f>
        <v>3.41764611696306</v>
      </c>
      <c r="BB475" s="0" t="n">
        <f aca="false">20*LOG(BA475)</f>
        <v>10.6745418265191</v>
      </c>
      <c r="BC475" s="0" t="n">
        <f aca="false">AV475-AY475</f>
        <v>-1.55994908285876</v>
      </c>
      <c r="BD475" s="0" t="n">
        <f aca="false">BC475*180/Pi-180</f>
        <v>-269.378498805241</v>
      </c>
      <c r="BF475" s="0" t="n">
        <f aca="false">20*LOG(BA475*J475*F475*C475)</f>
        <v>-29.4564543064118</v>
      </c>
      <c r="BG475" s="0" t="n">
        <f aca="false">(180/Pi)*(D475+H475+BC475)</f>
        <v>-267.718846284037</v>
      </c>
      <c r="BH475" s="0" t="n">
        <f aca="false">IF(BG475&gt;180,BG475-180,BG475+180)</f>
        <v>-87.7188462840373</v>
      </c>
      <c r="BI475" s="0" t="n">
        <f aca="false">IF(BH475&gt;180,BH475-360,BH475)</f>
        <v>-87.7188462840373</v>
      </c>
      <c r="BJ475" s="0" t="n">
        <f aca="false">SUM((BF476&lt;0)*(BF475&gt;0))*A475</f>
        <v>0</v>
      </c>
      <c r="BK475" s="0" t="n">
        <f aca="false">IF(BJ475&gt;0,BI475,0)</f>
        <v>0</v>
      </c>
      <c r="BM475" s="0" t="n">
        <f aca="false">20*LOG(J475*F475*C475)</f>
        <v>-40.1309961329308</v>
      </c>
      <c r="BN475" s="0" t="n">
        <f aca="false">(H475+D475)*180/Pi</f>
        <v>-178.340347478797</v>
      </c>
      <c r="BQ475" s="347" t="n">
        <f aca="false">20*LOG(BA475*7)</f>
        <v>27.5765026268042</v>
      </c>
    </row>
    <row r="476" customFormat="false" ht="12.75" hidden="false" customHeight="false" outlineLevel="0" collapsed="false">
      <c r="A476" s="0" t="n">
        <f aca="false">A475+5000</f>
        <v>1310000</v>
      </c>
      <c r="B476" s="0" t="n">
        <f aca="false">A476/1000</f>
        <v>1310</v>
      </c>
      <c r="C476" s="0" t="n">
        <f aca="false">SQRT((A476/Fesr)^2+1)</f>
        <v>1.00003387388243</v>
      </c>
      <c r="D476" s="0" t="n">
        <f aca="false">ATAN(A476/Fesr)</f>
        <v>0.0082307868707387</v>
      </c>
      <c r="F476" s="0" t="n">
        <f aca="false">(Ro/(Ro+Rdcr))/SQRT((A476/(Q*Fo))^2+(1-(A476^2/Fo^2))^2)</f>
        <v>0.00108609691991882</v>
      </c>
      <c r="G476" s="0" t="n">
        <f aca="false">-ATAN(A476*Fo/(Q*(Fo^2-A476^2)))</f>
        <v>0.0206876132126175</v>
      </c>
      <c r="H476" s="0" t="n">
        <f aca="false">IF(G476&gt;0,G476-Pi,G476)</f>
        <v>-3.12090503678738</v>
      </c>
      <c r="J476" s="0" t="n">
        <f aca="false">Vin/Vramp</f>
        <v>9</v>
      </c>
      <c r="M476" s="0" t="n">
        <f aca="false">1/(2*Pi*_Rfb1*(Cc1ea_u+Cc2ea_u)*A476)</f>
        <v>0.00449971567073103</v>
      </c>
      <c r="N476" s="0" t="n">
        <f aca="false">-Pi/2</f>
        <v>-1.570796325</v>
      </c>
      <c r="O476" s="0" t="n">
        <f aca="false">SQRT(1+(A476/Fz1_u)^2)</f>
        <v>32.0176422254163</v>
      </c>
      <c r="P476" s="0" t="n">
        <f aca="false">ATAN2(Fz1_u,A476)</f>
        <v>1.53955846594721</v>
      </c>
      <c r="Q476" s="0" t="n">
        <f aca="false">SQRT(1+(A476/Fz2_u)^2)</f>
        <v>36313.3397135545</v>
      </c>
      <c r="R476" s="0" t="n">
        <f aca="false">ATAN2(Fz2_u,A476)</f>
        <v>1.57076878870537</v>
      </c>
      <c r="S476" s="0" t="n">
        <f aca="false">1/SQRT(1+(A476/Fp1_u)^2)</f>
        <v>0.0103023978440826</v>
      </c>
      <c r="T476" s="0" t="n">
        <f aca="false">-ATAN2(Fp1_u,A476)</f>
        <v>-1.56049374669372</v>
      </c>
      <c r="U476" s="0" t="n">
        <f aca="false">1/SQRT(1+(A476/Fp2_u)^2)</f>
        <v>0.270729723930649</v>
      </c>
      <c r="V476" s="0" t="n">
        <f aca="false">-ATAN2(Fp2_u,A476)</f>
        <v>-1.29664534369107</v>
      </c>
      <c r="X476" s="0" t="n">
        <f aca="false">20*LOG(C476*J476*O476*Q476*F476*M476*S476*U476)</f>
        <v>-16.9151865600369</v>
      </c>
      <c r="Y476" s="0" t="n">
        <f aca="false">(180/Pi)*(D476+H476+N476+P476+R476+T476+V476)</f>
        <v>-253.836484471274</v>
      </c>
      <c r="Z476" s="0" t="n">
        <f aca="false">Y476+180</f>
        <v>-73.836484471274</v>
      </c>
      <c r="AC476" s="0" t="n">
        <v>1</v>
      </c>
      <c r="AD476" s="0" t="n">
        <f aca="false">Rcea1_u*Cc1ea_u*A476*2*Pi</f>
        <v>32.002022024784</v>
      </c>
      <c r="AE476" s="0" t="n">
        <f aca="false">-Rcea1_u*Cc1ea_u*Cc2ea_u*(A476*2*Pi)^2</f>
        <v>-0.0395111656510324</v>
      </c>
      <c r="AF476" s="0" t="n">
        <f aca="false">(Cc2ea_u+Cc1ea_u)*A476*2*Pi</f>
        <v>0.01111181320305</v>
      </c>
      <c r="AG476" s="0" t="n">
        <f aca="false">AC476*AE476/(AE476^2+AF476^2)+AD476*AF476/(AE476^2+AF476^2)</f>
        <v>187.634133554087</v>
      </c>
      <c r="AH476" s="0" t="n">
        <f aca="false">AD476*AE476/(AE476^2+AF476^2)-AC476*AF476/(AE476^2+AF476^2)</f>
        <v>-757.180055036749</v>
      </c>
      <c r="AJ476" s="0" t="n">
        <f aca="false">_Rfb1</f>
        <v>20000</v>
      </c>
      <c r="AK476" s="0" t="n">
        <f aca="false">_Rfb1*Rcea2_u*Cc3ea_u*A476*2*Pi</f>
        <v>1941192.61170912</v>
      </c>
      <c r="AL476" s="0" t="n">
        <v>1</v>
      </c>
      <c r="AM476" s="0" t="n">
        <f aca="false">(_Rfb1+Rcea2_u)*Cc3ea_u*A476*2*Pi</f>
        <v>36313.3396997855</v>
      </c>
      <c r="AN476" s="0" t="n">
        <f aca="false">AJ476*AL476/(AL476^2+AM476^2)+AK476*AM476/(AL476^2+AM476^2)</f>
        <v>53.456751074049</v>
      </c>
      <c r="AO476" s="0" t="n">
        <f aca="false">AK476*AL476/(AL476^2+AM476^2)-AJ476*AM476/(AL476^2+AM476^2)</f>
        <v>-0.549289693920491</v>
      </c>
      <c r="AQ476" s="0" t="n">
        <f aca="false">Eadcg/(1+(Eadcg*A476/GBP)^2)</f>
        <v>0.00663433095577215</v>
      </c>
      <c r="AR476" s="0" t="n">
        <f aca="false">-(A476*Eadcg*Eadcg/GBP)/(1+(Eadcg*A476/GBP)^2)</f>
        <v>-4.58014306193642</v>
      </c>
      <c r="AT476" s="0" t="n">
        <f aca="false">-AR476*AH476+AG476*AQ476</f>
        <v>-3466.7481487726</v>
      </c>
      <c r="AU476" s="0" t="n">
        <f aca="false">AQ476*AH476+AG476*AR476</f>
        <v>-864.414558058427</v>
      </c>
      <c r="AV476" s="0" t="n">
        <f aca="false">ATAN2(AT476,AU476)</f>
        <v>-2.89723103371554</v>
      </c>
      <c r="AW476" s="0" t="n">
        <f aca="false">AG476-AH476*AO476/_Rfb2+AG476*AN476/_Rfb2+AN476-AO476*AR476+AQ476*AN476</f>
        <v>243.256189012353</v>
      </c>
      <c r="AX476" s="0" t="n">
        <f aca="false">AH476+AH476*AN476/_Rfb2+AG476*AO476/_Rfb2+AO476+AO476*AQ476+AN476*AR476</f>
        <v>-1020.83330949301</v>
      </c>
      <c r="AY476" s="0" t="n">
        <f aca="false">ATAN2(AW476,AX476)</f>
        <v>-1.33686715393423</v>
      </c>
      <c r="BA476" s="0" t="n">
        <f aca="false">SQRT(AT476^2+AU476^2)/SQRT(AW476^2+AX476^2)</f>
        <v>3.4046472232478</v>
      </c>
      <c r="BB476" s="0" t="n">
        <f aca="false">20*LOG(BA476)</f>
        <v>10.6414423723534</v>
      </c>
      <c r="BC476" s="0" t="n">
        <f aca="false">AV476-AY476</f>
        <v>-1.5603638797813</v>
      </c>
      <c r="BD476" s="0" t="n">
        <f aca="false">BC476*180/Pi-180</f>
        <v>-269.402264918284</v>
      </c>
      <c r="BF476" s="0" t="n">
        <f aca="false">20*LOG(BA476*J476*F476*C476)</f>
        <v>-29.5560415775587</v>
      </c>
      <c r="BG476" s="0" t="n">
        <f aca="false">(180/Pi)*(D476+H476+BC476)</f>
        <v>-267.745362641344</v>
      </c>
      <c r="BH476" s="0" t="n">
        <f aca="false">IF(BG476&gt;180,BG476-180,BG476+180)</f>
        <v>-87.7453626413438</v>
      </c>
      <c r="BI476" s="0" t="n">
        <f aca="false">IF(BH476&gt;180,BH476-360,BH476)</f>
        <v>-87.7453626413438</v>
      </c>
      <c r="BJ476" s="0" t="n">
        <f aca="false">SUM((BF477&lt;0)*(BF476&gt;0))*A476</f>
        <v>0</v>
      </c>
      <c r="BK476" s="0" t="n">
        <f aca="false">IF(BJ476&gt;0,BI476,0)</f>
        <v>0</v>
      </c>
      <c r="BM476" s="0" t="n">
        <f aca="false">20*LOG(J476*F476*C476)</f>
        <v>-40.1974839499121</v>
      </c>
      <c r="BN476" s="0" t="n">
        <f aca="false">(H476+D476)*180/Pi</f>
        <v>-178.34309772306</v>
      </c>
      <c r="BQ476" s="347" t="n">
        <f aca="false">20*LOG(BA476*7)</f>
        <v>27.5434031726385</v>
      </c>
    </row>
    <row r="477" customFormat="false" ht="12.75" hidden="false" customHeight="false" outlineLevel="0" collapsed="false">
      <c r="A477" s="0" t="n">
        <f aca="false">A476+5000</f>
        <v>1315000</v>
      </c>
      <c r="B477" s="0" t="n">
        <f aca="false">A477/1000</f>
        <v>1315</v>
      </c>
      <c r="C477" s="0" t="n">
        <f aca="false">SQRT((A477/Fesr)^2+1)</f>
        <v>1.00003413295073</v>
      </c>
      <c r="D477" s="0" t="n">
        <f aca="false">ATAN(A477/Fesr)</f>
        <v>0.00826220066085516</v>
      </c>
      <c r="F477" s="0" t="n">
        <f aca="false">(Ro/(Ro+Rdcr))/SQRT((A477/(Q*Fo))^2+(1-(A477^2/Fo^2))^2)</f>
        <v>0.00107784612866382</v>
      </c>
      <c r="G477" s="0" t="n">
        <f aca="false">-ATAN(A477*Fo/(Q*(Fo^2-A477^2)))</f>
        <v>0.0206088042184303</v>
      </c>
      <c r="H477" s="0" t="n">
        <f aca="false">IF(G477&gt;0,G477-Pi,G477)</f>
        <v>-3.12098384578157</v>
      </c>
      <c r="J477" s="0" t="n">
        <f aca="false">Vin/Vramp</f>
        <v>9</v>
      </c>
      <c r="M477" s="0" t="n">
        <f aca="false">1/(2*Pi*_Rfb1*(Cc1ea_u+Cc2ea_u)*A477)</f>
        <v>0.00448260648567121</v>
      </c>
      <c r="N477" s="0" t="n">
        <f aca="false">-Pi/2</f>
        <v>-1.570796325</v>
      </c>
      <c r="O477" s="0" t="n">
        <f aca="false">SQRT(1+(A477/Fz1_u)^2)</f>
        <v>32.1397279840608</v>
      </c>
      <c r="P477" s="0" t="n">
        <f aca="false">ATAN2(Fz1_u,A477)</f>
        <v>1.5396771642708</v>
      </c>
      <c r="Q477" s="0" t="n">
        <f aca="false">SQRT(1+(A477/Fz2_u)^2)</f>
        <v>36451.9402467074</v>
      </c>
      <c r="R477" s="0" t="n">
        <f aca="false">ATAN2(Fz2_u,A477)</f>
        <v>1.57076889341293</v>
      </c>
      <c r="S477" s="0" t="n">
        <f aca="false">1/SQRT(1+(A477/Fp1_u)^2)</f>
        <v>0.010263229362783</v>
      </c>
      <c r="T477" s="0" t="n">
        <f aca="false">-ATAN2(Fp1_u,A477)</f>
        <v>-1.56053291724595</v>
      </c>
      <c r="U477" s="0" t="n">
        <f aca="false">1/SQRT(1+(A477/Fp2_u)^2)</f>
        <v>0.269775383643871</v>
      </c>
      <c r="V477" s="0" t="n">
        <f aca="false">-ATAN2(Fp2_u,A477)</f>
        <v>-1.29763656801175</v>
      </c>
      <c r="X477" s="0" t="n">
        <f aca="false">20*LOG(C477*J477*O477*Q477*F477*M477*S477*U477)</f>
        <v>-17.0121217160914</v>
      </c>
      <c r="Y477" s="0" t="n">
        <f aca="false">(180/Pi)*(D477+H477+N477+P477+R477+T477+V477)</f>
        <v>-253.891430381671</v>
      </c>
      <c r="Z477" s="0" t="n">
        <f aca="false">Y477+180</f>
        <v>-73.8914303816707</v>
      </c>
      <c r="AC477" s="0" t="n">
        <v>1</v>
      </c>
      <c r="AD477" s="0" t="n">
        <f aca="false">Rcea1_u*Cc1ea_u*A477*2*Pi</f>
        <v>32.124167147016</v>
      </c>
      <c r="AE477" s="0" t="n">
        <f aca="false">-Rcea1_u*Cc1ea_u*Cc2ea_u*(A477*2*Pi)^2</f>
        <v>-0.0398133531978944</v>
      </c>
      <c r="AF477" s="0" t="n">
        <f aca="false">(Cc2ea_u+Cc1ea_u)*A477*2*Pi</f>
        <v>0.011154224703825</v>
      </c>
      <c r="AG477" s="0" t="n">
        <f aca="false">AC477*AE477/(AE477^2+AF477^2)+AD477*AF477/(AE477^2+AF477^2)</f>
        <v>186.313619507706</v>
      </c>
      <c r="AH477" s="0" t="n">
        <f aca="false">AD477*AE477/(AE477^2+AF477^2)-AC477*AF477/(AE477^2+AF477^2)</f>
        <v>-754.671002472435</v>
      </c>
      <c r="AJ477" s="0" t="n">
        <f aca="false">_Rfb1</f>
        <v>20000</v>
      </c>
      <c r="AK477" s="0" t="n">
        <f aca="false">_Rfb1*Rcea2_u*Cc3ea_u*A477*2*Pi</f>
        <v>1948601.74381488</v>
      </c>
      <c r="AL477" s="0" t="n">
        <v>1</v>
      </c>
      <c r="AM477" s="0" t="n">
        <f aca="false">(_Rfb1+Rcea2_u)*Cc3ea_u*A477*2*Pi</f>
        <v>36451.9402329907</v>
      </c>
      <c r="AN477" s="0" t="n">
        <f aca="false">AJ477*AL477/(AL477^2+AM477^2)+AK477*AM477/(AL477^2+AM477^2)</f>
        <v>53.4567509592382</v>
      </c>
      <c r="AO477" s="0" t="n">
        <f aca="false">AK477*AL477/(AL477^2+AM477^2)-AJ477*AM477/(AL477^2+AM477^2)</f>
        <v>-0.547201139954361</v>
      </c>
      <c r="AQ477" s="0" t="n">
        <f aca="false">Eadcg/(1+(Eadcg*A477/GBP)^2)</f>
        <v>0.00658397578944962</v>
      </c>
      <c r="AR477" s="0" t="n">
        <f aca="false">-(A477*Eadcg*Eadcg/GBP)/(1+(Eadcg*A477/GBP)^2)</f>
        <v>-4.56272814196753</v>
      </c>
      <c r="AT477" s="0" t="n">
        <f aca="false">-AR477*AH477+AG477*AQ477</f>
        <v>-3442.13193654775</v>
      </c>
      <c r="AU477" s="0" t="n">
        <f aca="false">AQ477*AH477+AG477*AR477</f>
        <v>-855.067130568921</v>
      </c>
      <c r="AV477" s="0" t="n">
        <f aca="false">ATAN2(AT477,AU477)</f>
        <v>-2.89810906730048</v>
      </c>
      <c r="AW477" s="0" t="n">
        <f aca="false">AG477-AH477*AO477/_Rfb2+AG477*AN477/_Rfb2+AN477-AO477*AR477+AQ477*AN477</f>
        <v>241.921642146929</v>
      </c>
      <c r="AX477" s="0" t="n">
        <f aca="false">AH477+AH477*AN477/_Rfb2+AG477*AO477/_Rfb2+AO477+AO477*AQ477+AN477*AR477</f>
        <v>-1017.33032323845</v>
      </c>
      <c r="AY477" s="0" t="n">
        <f aca="false">ATAN2(AW477,AX477)</f>
        <v>-1.33733210658298</v>
      </c>
      <c r="BA477" s="0" t="n">
        <f aca="false">SQRT(AT477^2+AU477^2)/SQRT(AW477^2+AX477^2)</f>
        <v>3.39174619353008</v>
      </c>
      <c r="BB477" s="0" t="n">
        <f aca="false">20*LOG(BA477)</f>
        <v>10.6084669255059</v>
      </c>
      <c r="BC477" s="0" t="n">
        <f aca="false">AV477-AY477</f>
        <v>-1.5607769607175</v>
      </c>
      <c r="BD477" s="0" t="n">
        <f aca="false">BC477*180/Pi-180</f>
        <v>-269.425932712552</v>
      </c>
      <c r="BF477" s="0" t="n">
        <f aca="false">20*LOG(BA477*J477*F477*C477)</f>
        <v>-29.6552510918812</v>
      </c>
      <c r="BG477" s="0" t="n">
        <f aca="false">(180/Pi)*(D477+H477+BC477)</f>
        <v>-267.771745980778</v>
      </c>
      <c r="BH477" s="0" t="n">
        <f aca="false">IF(BG477&gt;180,BG477-180,BG477+180)</f>
        <v>-87.7717459807776</v>
      </c>
      <c r="BI477" s="0" t="n">
        <f aca="false">IF(BH477&gt;180,BH477-360,BH477)</f>
        <v>-87.7717459807776</v>
      </c>
      <c r="BJ477" s="0" t="n">
        <f aca="false">SUM((BF478&lt;0)*(BF477&gt;0))*A477</f>
        <v>0</v>
      </c>
      <c r="BK477" s="0" t="n">
        <f aca="false">IF(BJ477&gt;0,BI477,0)</f>
        <v>0</v>
      </c>
      <c r="BM477" s="0" t="n">
        <f aca="false">20*LOG(J477*F477*C477)</f>
        <v>-40.2637180173871</v>
      </c>
      <c r="BN477" s="0" t="n">
        <f aca="false">(H477+D477)*180/Pi</f>
        <v>-178.345813268225</v>
      </c>
      <c r="BQ477" s="347" t="n">
        <f aca="false">20*LOG(BA477*7)</f>
        <v>27.510427725791</v>
      </c>
    </row>
    <row r="478" customFormat="false" ht="12.75" hidden="false" customHeight="false" outlineLevel="0" collapsed="false">
      <c r="A478" s="0" t="n">
        <f aca="false">A477+5000</f>
        <v>1320000</v>
      </c>
      <c r="B478" s="0" t="n">
        <f aca="false">A478/1000</f>
        <v>1320</v>
      </c>
      <c r="C478" s="0" t="n">
        <f aca="false">SQRT((A478/Fesr)^2+1)</f>
        <v>1.0000343930059</v>
      </c>
      <c r="D478" s="0" t="n">
        <f aca="false">ATAN(A478/Fesr)</f>
        <v>0.00829361443466455</v>
      </c>
      <c r="F478" s="0" t="n">
        <f aca="false">(Ro/(Ro+Rdcr))/SQRT((A478/(Q*Fo))^2+(1-(A478^2/Fo^2))^2)</f>
        <v>0.00106968902706634</v>
      </c>
      <c r="G478" s="0" t="n">
        <f aca="false">-ATAN(A478*Fo/(Q*(Fo^2-A478^2)))</f>
        <v>0.0205305939459375</v>
      </c>
      <c r="H478" s="0" t="n">
        <f aca="false">IF(G478&gt;0,G478-Pi,G478)</f>
        <v>-3.12106205605406</v>
      </c>
      <c r="J478" s="0" t="n">
        <f aca="false">Vin/Vramp</f>
        <v>9</v>
      </c>
      <c r="M478" s="0" t="n">
        <f aca="false">1/(2*Pi*_Rfb1*(Cc1ea_u+Cc2ea_u)*A478)</f>
        <v>0.00446562691564973</v>
      </c>
      <c r="N478" s="0" t="n">
        <f aca="false">-Pi/2</f>
        <v>-1.570796325</v>
      </c>
      <c r="O478" s="0" t="n">
        <f aca="false">SQRT(1+(A478/Fz1_u)^2)</f>
        <v>32.2618141921042</v>
      </c>
      <c r="P478" s="0" t="n">
        <f aca="false">ATAN2(Fz1_u,A478)</f>
        <v>1.53979496423191</v>
      </c>
      <c r="Q478" s="0" t="n">
        <f aca="false">SQRT(1+(A478/Fz2_u)^2)</f>
        <v>36590.5407798608</v>
      </c>
      <c r="R478" s="0" t="n">
        <f aca="false">ATAN2(Fz2_u,A478)</f>
        <v>1.57076899732726</v>
      </c>
      <c r="S478" s="0" t="n">
        <f aca="false">1/SQRT(1+(A478/Fp1_u)^2)</f>
        <v>0.0102243575656956</v>
      </c>
      <c r="T478" s="0" t="n">
        <f aca="false">-ATAN2(Fp1_u,A478)</f>
        <v>-1.56057179108271</v>
      </c>
      <c r="U478" s="0" t="n">
        <f aca="false">1/SQRT(1+(A478/Fp2_u)^2)</f>
        <v>0.268827486596098</v>
      </c>
      <c r="V478" s="0" t="n">
        <f aca="false">-ATAN2(Fp2_u,A478)</f>
        <v>-1.29862082765751</v>
      </c>
      <c r="X478" s="0" t="n">
        <f aca="false">20*LOG(C478*J478*O478*Q478*F478*M478*S478*U478)</f>
        <v>-17.1087052408425</v>
      </c>
      <c r="Y478" s="0" t="n">
        <f aca="false">(180/Pi)*(D478+H478+N478+P478+R478+T478+V478)</f>
        <v>-253.94597745958</v>
      </c>
      <c r="Z478" s="0" t="n">
        <f aca="false">Y478+180</f>
        <v>-73.9459774595795</v>
      </c>
      <c r="AC478" s="0" t="n">
        <v>1</v>
      </c>
      <c r="AD478" s="0" t="n">
        <f aca="false">Rcea1_u*Cc1ea_u*A478*2*Pi</f>
        <v>32.246312269248</v>
      </c>
      <c r="AE478" s="0" t="n">
        <f aca="false">-Rcea1_u*Cc1ea_u*Cc2ea_u*(A478*2*Pi)^2</f>
        <v>-0.040116691935411</v>
      </c>
      <c r="AF478" s="0" t="n">
        <f aca="false">(Cc2ea_u+Cc1ea_u)*A478*2*Pi</f>
        <v>0.0111966362046</v>
      </c>
      <c r="AG478" s="0" t="n">
        <f aca="false">AC478*AE478/(AE478^2+AF478^2)+AD478*AF478/(AE478^2+AF478^2)</f>
        <v>185.006636926913</v>
      </c>
      <c r="AH478" s="0" t="n">
        <f aca="false">AD478*AE478/(AE478^2+AF478^2)-AC478*AF478/(AE478^2+AF478^2)</f>
        <v>-752.177181227285</v>
      </c>
      <c r="AJ478" s="0" t="n">
        <f aca="false">_Rfb1</f>
        <v>20000</v>
      </c>
      <c r="AK478" s="0" t="n">
        <f aca="false">_Rfb1*Rcea2_u*Cc3ea_u*A478*2*Pi</f>
        <v>1956010.87592064</v>
      </c>
      <c r="AL478" s="0" t="n">
        <v>1</v>
      </c>
      <c r="AM478" s="0" t="n">
        <f aca="false">(_Rfb1+Rcea2_u)*Cc3ea_u*A478*2*Pi</f>
        <v>36590.540766196</v>
      </c>
      <c r="AN478" s="0" t="n">
        <f aca="false">AJ478*AL478/(AL478^2+AM478^2)+AK478*AM478/(AL478^2+AM478^2)</f>
        <v>53.4567508457295</v>
      </c>
      <c r="AO478" s="0" t="n">
        <f aca="false">AK478*AL478/(AL478^2+AM478^2)-AJ478*AM478/(AL478^2+AM478^2)</f>
        <v>-0.545128408366727</v>
      </c>
      <c r="AQ478" s="0" t="n">
        <f aca="false">Eadcg/(1+(Eadcg*A478/GBP)^2)</f>
        <v>0.00653419175491564</v>
      </c>
      <c r="AR478" s="0" t="n">
        <f aca="false">-(A478*Eadcg*Eadcg/GBP)/(1+(Eadcg*A478/GBP)^2)</f>
        <v>-4.54544515238952</v>
      </c>
      <c r="AT478" s="0" t="n">
        <f aca="false">-AR478*AH478+AG478*AQ478</f>
        <v>-3417.77125330596</v>
      </c>
      <c r="AU478" s="0" t="n">
        <f aca="false">AQ478*AH478+AG478*AR478</f>
        <v>-845.852390915134</v>
      </c>
      <c r="AV478" s="0" t="n">
        <f aca="false">ATAN2(AT478,AU478)</f>
        <v>-2.8989809928489</v>
      </c>
      <c r="AW478" s="0" t="n">
        <f aca="false">AG478-AH478*AO478/_Rfb2+AG478*AN478/_Rfb2+AN478-AO478*AR478+AQ478*AN478</f>
        <v>240.600752397451</v>
      </c>
      <c r="AX478" s="0" t="n">
        <f aca="false">AH478+AH478*AN478/_Rfb2+AG478*AO478/_Rfb2+AO478+AO478*AQ478+AN478*AR478</f>
        <v>-1013.85001084742</v>
      </c>
      <c r="AY478" s="0" t="n">
        <f aca="false">ATAN2(AW478,AX478)</f>
        <v>-1.33779264796357</v>
      </c>
      <c r="BA478" s="0" t="n">
        <f aca="false">SQRT(AT478^2+AU478^2)/SQRT(AW478^2+AX478^2)</f>
        <v>3.37894192868814</v>
      </c>
      <c r="BB478" s="0" t="n">
        <f aca="false">20*LOG(BA478)</f>
        <v>10.5756145589841</v>
      </c>
      <c r="BC478" s="0" t="n">
        <f aca="false">AV478-AY478</f>
        <v>-1.56118834488533</v>
      </c>
      <c r="BD478" s="0" t="n">
        <f aca="false">BC478*180/Pi-180</f>
        <v>-269.449503289155</v>
      </c>
      <c r="BF478" s="0" t="n">
        <f aca="false">20*LOG(BA478*J478*F478*C478)</f>
        <v>-29.7540857073449</v>
      </c>
      <c r="BG478" s="0" t="n">
        <f aca="false">(180/Pi)*(D478+H478+BC478)</f>
        <v>-267.797997799254</v>
      </c>
      <c r="BH478" s="0" t="n">
        <f aca="false">IF(BG478&gt;180,BG478-180,BG478+180)</f>
        <v>-87.7979977992536</v>
      </c>
      <c r="BI478" s="0" t="n">
        <f aca="false">IF(BH478&gt;180,BH478-360,BH478)</f>
        <v>-87.7979977992536</v>
      </c>
      <c r="BJ478" s="0" t="n">
        <f aca="false">SUM((BF479&lt;0)*(BF478&gt;0))*A478</f>
        <v>0</v>
      </c>
      <c r="BK478" s="0" t="n">
        <f aca="false">IF(BJ478&gt;0,BI478,0)</f>
        <v>0</v>
      </c>
      <c r="BM478" s="0" t="n">
        <f aca="false">20*LOG(J478*F478*C478)</f>
        <v>-40.329700266329</v>
      </c>
      <c r="BN478" s="0" t="n">
        <f aca="false">(H478+D478)*180/Pi</f>
        <v>-178.348494510099</v>
      </c>
      <c r="BQ478" s="347" t="n">
        <f aca="false">20*LOG(BA478*7)</f>
        <v>27.4775753592692</v>
      </c>
    </row>
    <row r="479" customFormat="false" ht="12.75" hidden="false" customHeight="false" outlineLevel="0" collapsed="false">
      <c r="A479" s="0" t="n">
        <f aca="false">A478+5000</f>
        <v>1325000</v>
      </c>
      <c r="B479" s="0" t="n">
        <f aca="false">A479/1000</f>
        <v>1325</v>
      </c>
      <c r="C479" s="0" t="n">
        <f aca="false">SQRT((A479/Fesr)^2+1)</f>
        <v>1.00003465404792</v>
      </c>
      <c r="D479" s="0" t="n">
        <f aca="false">ATAN(A479/Fesr)</f>
        <v>0.00832502819210488</v>
      </c>
      <c r="F479" s="0" t="n">
        <f aca="false">(Ro/(Ro+Rdcr))/SQRT((A479/(Q*Fo))^2+(1-(A479^2/Fo^2))^2)</f>
        <v>0.00106162420158399</v>
      </c>
      <c r="G479" s="0" t="n">
        <f aca="false">-ATAN(A479*Fo/(Q*(Fo^2-A479^2)))</f>
        <v>0.0204529755918515</v>
      </c>
      <c r="H479" s="0" t="n">
        <f aca="false">IF(G479&gt;0,G479-Pi,G479)</f>
        <v>-3.12113967440815</v>
      </c>
      <c r="J479" s="0" t="n">
        <f aca="false">Vin/Vramp</f>
        <v>9</v>
      </c>
      <c r="M479" s="0" t="n">
        <f aca="false">1/(2*Pi*_Rfb1*(Cc1ea_u+Cc2ea_u)*A479)</f>
        <v>0.00444877549332652</v>
      </c>
      <c r="N479" s="0" t="n">
        <f aca="false">-Pi/2</f>
        <v>-1.570796325</v>
      </c>
      <c r="O479" s="0" t="n">
        <f aca="false">SQRT(1+(A479/Fz1_u)^2)</f>
        <v>32.3839008444637</v>
      </c>
      <c r="P479" s="0" t="n">
        <f aca="false">ATAN2(Fz1_u,A479)</f>
        <v>1.53991187598768</v>
      </c>
      <c r="Q479" s="0" t="n">
        <f aca="false">SQRT(1+(A479/Fz2_u)^2)</f>
        <v>36729.1413130145</v>
      </c>
      <c r="R479" s="0" t="n">
        <f aca="false">ATAN2(Fz2_u,A479)</f>
        <v>1.57076910045732</v>
      </c>
      <c r="S479" s="0" t="n">
        <f aca="false">1/SQRT(1+(A479/Fp1_u)^2)</f>
        <v>0.0101857790948323</v>
      </c>
      <c r="T479" s="0" t="n">
        <f aca="false">-ATAN2(Fp1_u,A479)</f>
        <v>-1.56061037156258</v>
      </c>
      <c r="U479" s="0" t="n">
        <f aca="false">1/SQRT(1+(A479/Fp2_u)^2)</f>
        <v>0.267885970588285</v>
      </c>
      <c r="V479" s="0" t="n">
        <f aca="false">-ATAN2(Fp2_u,A479)</f>
        <v>-1.29959819388847</v>
      </c>
      <c r="X479" s="0" t="n">
        <f aca="false">20*LOG(C479*J479*O479*Q479*F479*M479*S479*U479)</f>
        <v>-17.2049396280227</v>
      </c>
      <c r="Y479" s="0" t="n">
        <f aca="false">(180/Pi)*(D479+H479+N479+P479+R479+T479+V479)</f>
        <v>-254.000129787666</v>
      </c>
      <c r="Z479" s="0" t="n">
        <f aca="false">Y479+180</f>
        <v>-74.0001297876657</v>
      </c>
      <c r="AC479" s="0" t="n">
        <v>1</v>
      </c>
      <c r="AD479" s="0" t="n">
        <f aca="false">Rcea1_u*Cc1ea_u*A479*2*Pi</f>
        <v>32.36845739148</v>
      </c>
      <c r="AE479" s="0" t="n">
        <f aca="false">-Rcea1_u*Cc1ea_u*Cc2ea_u*(A479*2*Pi)^2</f>
        <v>-0.0404211818635824</v>
      </c>
      <c r="AF479" s="0" t="n">
        <f aca="false">(Cc2ea_u+Cc1ea_u)*A479*2*Pi</f>
        <v>0.011239047705375</v>
      </c>
      <c r="AG479" s="0" t="n">
        <f aca="false">AC479*AE479/(AE479^2+AF479^2)+AD479*AF479/(AE479^2+AF479^2)</f>
        <v>183.713006689351</v>
      </c>
      <c r="AH479" s="0" t="n">
        <f aca="false">AD479*AE479/(AE479^2+AF479^2)-AC479*AF479/(AE479^2+AF479^2)</f>
        <v>-749.698468675967</v>
      </c>
      <c r="AJ479" s="0" t="n">
        <f aca="false">_Rfb1</f>
        <v>20000</v>
      </c>
      <c r="AK479" s="0" t="n">
        <f aca="false">_Rfb1*Rcea2_u*Cc3ea_u*A479*2*Pi</f>
        <v>1963420.0080264</v>
      </c>
      <c r="AL479" s="0" t="n">
        <v>1</v>
      </c>
      <c r="AM479" s="0" t="n">
        <f aca="false">(_Rfb1+Rcea2_u)*Cc3ea_u*A479*2*Pi</f>
        <v>36729.1412994013</v>
      </c>
      <c r="AN479" s="0" t="n">
        <f aca="false">AJ479*AL479/(AL479^2+AM479^2)+AK479*AM479/(AL479^2+AM479^2)</f>
        <v>53.4567507335033</v>
      </c>
      <c r="AO479" s="0" t="n">
        <f aca="false">AK479*AL479/(AL479^2+AM479^2)-AJ479*AM479/(AL479^2+AM479^2)</f>
        <v>-0.543071320036323</v>
      </c>
      <c r="AQ479" s="0" t="n">
        <f aca="false">Eadcg/(1+(Eadcg*A479/GBP)^2)</f>
        <v>0.00648497024762895</v>
      </c>
      <c r="AR479" s="0" t="n">
        <f aca="false">-(A479*Eadcg*Eadcg/GBP)/(1+(Eadcg*A479/GBP)^2)</f>
        <v>-4.5282925996631</v>
      </c>
      <c r="AT479" s="0" t="n">
        <f aca="false">-AR479*AH479+AG479*AQ479</f>
        <v>-3393.66265430166</v>
      </c>
      <c r="AU479" s="0" t="n">
        <f aca="false">AQ479*AH479+AG479*AR479</f>
        <v>-836.768020917302</v>
      </c>
      <c r="AV479" s="0" t="n">
        <f aca="false">ATAN2(AT479,AU479)</f>
        <v>-2.89984687193616</v>
      </c>
      <c r="AW479" s="0" t="n">
        <f aca="false">AG479-AH479*AO479/_Rfb2+AG479*AN479/_Rfb2+AN479-AO479*AR479+AQ479*AN479</f>
        <v>239.293339321923</v>
      </c>
      <c r="AX479" s="0" t="n">
        <f aca="false">AH479+AH479*AN479/_Rfb2+AG479*AO479/_Rfb2+AO479+AO479*AQ479+AN479*AR479</f>
        <v>-1010.39216658957</v>
      </c>
      <c r="AY479" s="0" t="n">
        <f aca="false">ATAN2(AW479,AX479)</f>
        <v>-1.33824882071938</v>
      </c>
      <c r="BA479" s="0" t="n">
        <f aca="false">SQRT(AT479^2+AU479^2)/SQRT(AW479^2+AX479^2)</f>
        <v>3.3662333459502</v>
      </c>
      <c r="BB479" s="0" t="n">
        <f aca="false">20*LOG(BA479)</f>
        <v>10.5428843560641</v>
      </c>
      <c r="BC479" s="0" t="n">
        <f aca="false">AV479-AY479</f>
        <v>-1.56159805121679</v>
      </c>
      <c r="BD479" s="0" t="n">
        <f aca="false">BC479*180/Pi-180</f>
        <v>-269.472977732814</v>
      </c>
      <c r="BF479" s="0" t="n">
        <f aca="false">20*LOG(BA479*J479*F479*C479)</f>
        <v>-29.8525482496694</v>
      </c>
      <c r="BG479" s="0" t="n">
        <f aca="false">(180/Pi)*(D479+H479+BC479)</f>
        <v>-267.824119571297</v>
      </c>
      <c r="BH479" s="0" t="n">
        <f aca="false">IF(BG479&gt;180,BG479-180,BG479+180)</f>
        <v>-87.8241195712974</v>
      </c>
      <c r="BI479" s="0" t="n">
        <f aca="false">IF(BH479&gt;180,BH479-360,BH479)</f>
        <v>-87.8241195712974</v>
      </c>
      <c r="BJ479" s="0" t="n">
        <f aca="false">SUM((BF480&lt;0)*(BF479&gt;0))*A479</f>
        <v>0</v>
      </c>
      <c r="BK479" s="0" t="n">
        <f aca="false">IF(BJ479&gt;0,BI479,0)</f>
        <v>0</v>
      </c>
      <c r="BM479" s="0" t="n">
        <f aca="false">20*LOG(J479*F479*C479)</f>
        <v>-40.3954326057336</v>
      </c>
      <c r="BN479" s="0" t="n">
        <f aca="false">(H479+D479)*180/Pi</f>
        <v>-178.351141838484</v>
      </c>
      <c r="BQ479" s="347" t="n">
        <f aca="false">20*LOG(BA479*7)</f>
        <v>27.4448451563493</v>
      </c>
    </row>
    <row r="480" customFormat="false" ht="12.75" hidden="false" customHeight="false" outlineLevel="0" collapsed="false">
      <c r="A480" s="0" t="n">
        <f aca="false">A479+5000</f>
        <v>1330000</v>
      </c>
      <c r="B480" s="0" t="n">
        <f aca="false">A480/1000</f>
        <v>1330</v>
      </c>
      <c r="C480" s="0" t="n">
        <f aca="false">SQRT((A480/Fesr)^2+1)</f>
        <v>1.0000349160768</v>
      </c>
      <c r="D480" s="0" t="n">
        <f aca="false">ATAN(A480/Fesr)</f>
        <v>0.00835644193311416</v>
      </c>
      <c r="F480" s="0" t="n">
        <f aca="false">(Ro/(Ro+Rdcr))/SQRT((A480/(Q*Fo))^2+(1-(A480^2/Fo^2))^2)</f>
        <v>0.00105365026524021</v>
      </c>
      <c r="G480" s="0" t="n">
        <f aca="false">-ATAN(A480*Fo/(Q*(Fo^2-A480^2)))</f>
        <v>0.0203759424556635</v>
      </c>
      <c r="H480" s="0" t="n">
        <f aca="false">IF(G480&gt;0,G480-Pi,G480)</f>
        <v>-3.12121670754434</v>
      </c>
      <c r="J480" s="0" t="n">
        <f aca="false">Vin/Vramp</f>
        <v>9</v>
      </c>
      <c r="M480" s="0" t="n">
        <f aca="false">1/(2*Pi*_Rfb1*(Cc1ea_u+Cc2ea_u)*A480)</f>
        <v>0.0044320507734268</v>
      </c>
      <c r="N480" s="0" t="n">
        <f aca="false">-Pi/2</f>
        <v>-1.570796325</v>
      </c>
      <c r="O480" s="0" t="n">
        <f aca="false">SQRT(1+(A480/Fz1_u)^2)</f>
        <v>32.5059879361331</v>
      </c>
      <c r="P480" s="0" t="n">
        <f aca="false">ATAN2(Fz1_u,A480)</f>
        <v>1.54002790954276</v>
      </c>
      <c r="Q480" s="0" t="n">
        <f aca="false">SQRT(1+(A480/Fz2_u)^2)</f>
        <v>36867.7418461686</v>
      </c>
      <c r="R480" s="0" t="n">
        <f aca="false">ATAN2(Fz2_u,A480)</f>
        <v>1.57076920281198</v>
      </c>
      <c r="S480" s="0" t="n">
        <f aca="false">1/SQRT(1+(A480/Fp1_u)^2)</f>
        <v>0.0101474906426877</v>
      </c>
      <c r="T480" s="0" t="n">
        <f aca="false">-ATAN2(Fp1_u,A480)</f>
        <v>-1.56064866199364</v>
      </c>
      <c r="U480" s="0" t="n">
        <f aca="false">1/SQRT(1+(A480/Fp2_u)^2)</f>
        <v>0.266950774177637</v>
      </c>
      <c r="V480" s="0" t="n">
        <f aca="false">-ATAN2(Fp2_u,A480)</f>
        <v>-1.3005687370228</v>
      </c>
      <c r="X480" s="0" t="n">
        <f aca="false">20*LOG(C480*J480*O480*Q480*F480*M480*S480*U480)</f>
        <v>-17.3008273453468</v>
      </c>
      <c r="Y480" s="0" t="n">
        <f aca="false">(180/Pi)*(D480+H480+N480+P480+R480+T480+V480)</f>
        <v>-254.053891394585</v>
      </c>
      <c r="Z480" s="0" t="n">
        <f aca="false">Y480+180</f>
        <v>-74.0538913945848</v>
      </c>
      <c r="AC480" s="0" t="n">
        <v>1</v>
      </c>
      <c r="AD480" s="0" t="n">
        <f aca="false">Rcea1_u*Cc1ea_u*A480*2*Pi</f>
        <v>32.490602513712</v>
      </c>
      <c r="AE480" s="0" t="n">
        <f aca="false">-Rcea1_u*Cc1ea_u*Cc2ea_u*(A480*2*Pi)^2</f>
        <v>-0.0407268229824085</v>
      </c>
      <c r="AF480" s="0" t="n">
        <f aca="false">(Cc2ea_u+Cc1ea_u)*A480*2*Pi</f>
        <v>0.01128145920615</v>
      </c>
      <c r="AG480" s="0" t="n">
        <f aca="false">AC480*AE480/(AE480^2+AF480^2)+AD480*AF480/(AE480^2+AF480^2)</f>
        <v>182.432552535142</v>
      </c>
      <c r="AH480" s="0" t="n">
        <f aca="false">AD480*AE480/(AE480^2+AF480^2)-AC480*AF480/(AE480^2+AF480^2)</f>
        <v>-747.234743244224</v>
      </c>
      <c r="AJ480" s="0" t="n">
        <f aca="false">_Rfb1</f>
        <v>20000</v>
      </c>
      <c r="AK480" s="0" t="n">
        <f aca="false">_Rfb1*Rcea2_u*Cc3ea_u*A480*2*Pi</f>
        <v>1970829.14013216</v>
      </c>
      <c r="AL480" s="0" t="n">
        <v>1</v>
      </c>
      <c r="AM480" s="0" t="n">
        <f aca="false">(_Rfb1+Rcea2_u)*Cc3ea_u*A480*2*Pi</f>
        <v>36867.7418326066</v>
      </c>
      <c r="AN480" s="0" t="n">
        <f aca="false">AJ480*AL480/(AL480^2+AM480^2)+AK480*AM480/(AL480^2+AM480^2)</f>
        <v>53.4567506225406</v>
      </c>
      <c r="AO480" s="0" t="n">
        <f aca="false">AK480*AL480/(AL480^2+AM480^2)-AJ480*AM480/(AL480^2+AM480^2)</f>
        <v>-0.541029698535437</v>
      </c>
      <c r="AQ480" s="0" t="n">
        <f aca="false">Eadcg/(1+(Eadcg*A480/GBP)^2)</f>
        <v>0.00643630282448248</v>
      </c>
      <c r="AR480" s="0" t="n">
        <f aca="false">-(A480*Eadcg*Eadcg/GBP)/(1+(Eadcg*A480/GBP)^2)</f>
        <v>-4.51126901270802</v>
      </c>
      <c r="AT480" s="0" t="n">
        <f aca="false">-AR480*AH480+AG480*AQ480</f>
        <v>-3369.80275126334</v>
      </c>
      <c r="AU480" s="0" t="n">
        <f aca="false">AQ480*AH480+AG480*AR480</f>
        <v>-827.811750249509</v>
      </c>
      <c r="AV480" s="0" t="n">
        <f aca="false">ATAN2(AT480,AU480)</f>
        <v>-2.900706765341</v>
      </c>
      <c r="AW480" s="0" t="n">
        <f aca="false">AG480-AH480*AO480/_Rfb2+AG480*AN480/_Rfb2+AN480-AO480*AR480+AQ480*AN480</f>
        <v>237.999225354039</v>
      </c>
      <c r="AX480" s="0" t="n">
        <f aca="false">AH480+AH480*AN480/_Rfb2+AG480*AO480/_Rfb2+AO480+AO480*AQ480+AN480*AR480</f>
        <v>-1006.95658701702</v>
      </c>
      <c r="AY480" s="0" t="n">
        <f aca="false">ATAN2(AW480,AX480)</f>
        <v>-1.3387006669779</v>
      </c>
      <c r="BA480" s="0" t="n">
        <f aca="false">SQRT(AT480^2+AU480^2)/SQRT(AW480^2+AX480^2)</f>
        <v>3.35361937859243</v>
      </c>
      <c r="BB480" s="0" t="n">
        <f aca="false">20*LOG(BA480)</f>
        <v>10.510275410141</v>
      </c>
      <c r="BC480" s="0" t="n">
        <f aca="false">AV480-AY480</f>
        <v>-1.56200609836311</v>
      </c>
      <c r="BD480" s="0" t="n">
        <f aca="false">BC480*180/Pi-180</f>
        <v>-269.496357112167</v>
      </c>
      <c r="BF480" s="0" t="n">
        <f aca="false">20*LOG(BA480*J480*F480*C480)</f>
        <v>-29.9506415128108</v>
      </c>
      <c r="BG480" s="0" t="n">
        <f aca="false">(180/Pi)*(D480+H480+BC480)</f>
        <v>-267.850112749461</v>
      </c>
      <c r="BH480" s="0" t="n">
        <f aca="false">IF(BG480&gt;180,BG480-180,BG480+180)</f>
        <v>-87.8501127494613</v>
      </c>
      <c r="BI480" s="0" t="n">
        <f aca="false">IF(BH480&gt;180,BH480-360,BH480)</f>
        <v>-87.8501127494613</v>
      </c>
      <c r="BJ480" s="0" t="n">
        <f aca="false">SUM((BF481&lt;0)*(BF480&gt;0))*A480</f>
        <v>0</v>
      </c>
      <c r="BK480" s="0" t="n">
        <f aca="false">IF(BJ480&gt;0,BI480,0)</f>
        <v>0</v>
      </c>
      <c r="BM480" s="0" t="n">
        <f aca="false">20*LOG(J480*F480*C480)</f>
        <v>-40.4609169229518</v>
      </c>
      <c r="BN480" s="0" t="n">
        <f aca="false">(H480+D480)*180/Pi</f>
        <v>-178.353755637294</v>
      </c>
      <c r="BQ480" s="347" t="n">
        <f aca="false">20*LOG(BA480*7)</f>
        <v>27.4122362104261</v>
      </c>
    </row>
    <row r="481" customFormat="false" ht="12.75" hidden="false" customHeight="false" outlineLevel="0" collapsed="false">
      <c r="A481" s="0" t="n">
        <f aca="false">A480+5000</f>
        <v>1335000</v>
      </c>
      <c r="B481" s="0" t="n">
        <f aca="false">A481/1000</f>
        <v>1335</v>
      </c>
      <c r="C481" s="0" t="n">
        <f aca="false">SQRT((A481/Fesr)^2+1)</f>
        <v>1.00003517909254</v>
      </c>
      <c r="D481" s="0" t="n">
        <f aca="false">ATAN(A481/Fesr)</f>
        <v>0.0083878556576304</v>
      </c>
      <c r="F481" s="0" t="n">
        <f aca="false">(Ro/(Ro+Rdcr))/SQRT((A481/(Q*Fo))^2+(1-(A481^2/Fo^2))^2)</f>
        <v>0.00104576585702717</v>
      </c>
      <c r="G481" s="0" t="n">
        <f aca="false">-ATAN(A481*Fo/(Q*(Fo^2-A481^2)))</f>
        <v>0.020299487937708</v>
      </c>
      <c r="H481" s="0" t="n">
        <f aca="false">IF(G481&gt;0,G481-Pi,G481)</f>
        <v>-3.12129316206229</v>
      </c>
      <c r="J481" s="0" t="n">
        <f aca="false">Vin/Vramp</f>
        <v>9</v>
      </c>
      <c r="M481" s="0" t="n">
        <f aca="false">1/(2*Pi*_Rfb1*(Cc1ea_u+Cc2ea_u)*A481)</f>
        <v>0.00441545133232782</v>
      </c>
      <c r="N481" s="0" t="n">
        <f aca="false">-Pi/2</f>
        <v>-1.570796325</v>
      </c>
      <c r="O481" s="0" t="n">
        <f aca="false">SQRT(1+(A481/Fz1_u)^2)</f>
        <v>32.6280754621809</v>
      </c>
      <c r="P481" s="0" t="n">
        <f aca="false">ATAN2(Fz1_u,A481)</f>
        <v>1.54014307475214</v>
      </c>
      <c r="Q481" s="0" t="n">
        <f aca="false">SQRT(1+(A481/Fz2_u)^2)</f>
        <v>37006.3423793231</v>
      </c>
      <c r="R481" s="0" t="n">
        <f aca="false">ATAN2(Fz2_u,A481)</f>
        <v>1.57076930439993</v>
      </c>
      <c r="S481" s="0" t="n">
        <f aca="false">1/SQRT(1+(A481/Fp1_u)^2)</f>
        <v>0.0101094889512945</v>
      </c>
      <c r="T481" s="0" t="n">
        <f aca="false">-ATAN2(Fp1_u,A481)</f>
        <v>-1.56068666563441</v>
      </c>
      <c r="U481" s="0" t="n">
        <f aca="false">1/SQRT(1+(A481/Fp2_u)^2)</f>
        <v>0.266021836666938</v>
      </c>
      <c r="V481" s="0" t="n">
        <f aca="false">-ATAN2(Fp2_u,A481)</f>
        <v>-1.30153252645167</v>
      </c>
      <c r="X481" s="0" t="n">
        <f aca="false">20*LOG(C481*J481*O481*Q481*F481*M481*S481*U481)</f>
        <v>-17.3963708348686</v>
      </c>
      <c r="Y481" s="0" t="n">
        <f aca="false">(180/Pi)*(D481+H481+N481+P481+R481+T481+V481)</f>
        <v>-254.107266255847</v>
      </c>
      <c r="Z481" s="0" t="n">
        <f aca="false">Y481+180</f>
        <v>-74.107266255847</v>
      </c>
      <c r="AC481" s="0" t="n">
        <v>1</v>
      </c>
      <c r="AD481" s="0" t="n">
        <f aca="false">Rcea1_u*Cc1ea_u*A481*2*Pi</f>
        <v>32.612747635944</v>
      </c>
      <c r="AE481" s="0" t="n">
        <f aca="false">-Rcea1_u*Cc1ea_u*Cc2ea_u*(A481*2*Pi)^2</f>
        <v>-0.0410336152918893</v>
      </c>
      <c r="AF481" s="0" t="n">
        <f aca="false">(Cc2ea_u+Cc1ea_u)*A481*2*Pi</f>
        <v>0.011323870706925</v>
      </c>
      <c r="AG481" s="0" t="n">
        <f aca="false">AC481*AE481/(AE481^2+AF481^2)+AD481*AF481/(AE481^2+AF481^2)</f>
        <v>181.165101014147</v>
      </c>
      <c r="AH481" s="0" t="n">
        <f aca="false">AD481*AE481/(AE481^2+AF481^2)-AC481*AF481/(AE481^2+AF481^2)</f>
        <v>-744.785884403744</v>
      </c>
      <c r="AJ481" s="0" t="n">
        <f aca="false">_Rfb1</f>
        <v>20000</v>
      </c>
      <c r="AK481" s="0" t="n">
        <f aca="false">_Rfb1*Rcea2_u*Cc3ea_u*A481*2*Pi</f>
        <v>1978238.27223792</v>
      </c>
      <c r="AL481" s="0" t="n">
        <v>1</v>
      </c>
      <c r="AM481" s="0" t="n">
        <f aca="false">(_Rfb1+Rcea2_u)*Cc3ea_u*A481*2*Pi</f>
        <v>37006.3423658119</v>
      </c>
      <c r="AN481" s="0" t="n">
        <f aca="false">AJ481*AL481/(AL481^2+AM481^2)+AK481*AM481/(AL481^2+AM481^2)</f>
        <v>53.4567505128222</v>
      </c>
      <c r="AO481" s="0" t="n">
        <f aca="false">AK481*AL481/(AL481^2+AM481^2)-AJ481*AM481/(AL481^2+AM481^2)</f>
        <v>-0.539003370079467</v>
      </c>
      <c r="AQ481" s="0" t="n">
        <f aca="false">Eadcg/(1+(Eadcg*A481/GBP)^2)</f>
        <v>0.00638818120018254</v>
      </c>
      <c r="AR481" s="0" t="n">
        <f aca="false">-(A481*Eadcg*Eadcg/GBP)/(1+(Eadcg*A481/GBP)^2)</f>
        <v>-4.49437294248243</v>
      </c>
      <c r="AT481" s="0" t="n">
        <f aca="false">-AR481*AH481+AG481*AQ481</f>
        <v>-3346.18821131461</v>
      </c>
      <c r="AU481" s="0" t="n">
        <f aca="false">AQ481*AH481+AG481*AR481</f>
        <v>-818.981355304989</v>
      </c>
      <c r="AV481" s="0" t="n">
        <f aca="false">ATAN2(AT481,AU481)</f>
        <v>-2.90156073305789</v>
      </c>
      <c r="AW481" s="0" t="n">
        <f aca="false">AG481-AH481*AO481/_Rfb2+AG481*AN481/_Rfb2+AN481-AO481*AR481+AQ481*AN481</f>
        <v>236.718235750414</v>
      </c>
      <c r="AX481" s="0" t="n">
        <f aca="false">AH481+AH481*AN481/_Rfb2+AG481*AO481/_Rfb2+AO481+AO481*AQ481+AN481*AR481</f>
        <v>-1003.54307093649</v>
      </c>
      <c r="AY481" s="0" t="n">
        <f aca="false">ATAN2(AW481,AX481)</f>
        <v>-1.33914822835792</v>
      </c>
      <c r="BA481" s="0" t="n">
        <f aca="false">SQRT(AT481^2+AU481^2)/SQRT(AW481^2+AX481^2)</f>
        <v>3.34109897564364</v>
      </c>
      <c r="BB481" s="0" t="n">
        <f aca="false">20*LOG(BA481)</f>
        <v>10.4777868245806</v>
      </c>
      <c r="BC481" s="0" t="n">
        <f aca="false">AV481-AY481</f>
        <v>-1.56241250469997</v>
      </c>
      <c r="BD481" s="0" t="n">
        <f aca="false">BC481*180/Pi-180</f>
        <v>-269.519642480063</v>
      </c>
      <c r="BF481" s="0" t="n">
        <f aca="false">20*LOG(BA481*J481*F481*C481)</f>
        <v>-30.0483682594355</v>
      </c>
      <c r="BG481" s="0" t="n">
        <f aca="false">(180/Pi)*(D481+H481+BC481)</f>
        <v>-267.87597876473</v>
      </c>
      <c r="BH481" s="0" t="n">
        <f aca="false">IF(BG481&gt;180,BG481-180,BG481+180)</f>
        <v>-87.8759787647304</v>
      </c>
      <c r="BI481" s="0" t="n">
        <f aca="false">IF(BH481&gt;180,BH481-360,BH481)</f>
        <v>-87.8759787647304</v>
      </c>
      <c r="BJ481" s="0" t="n">
        <f aca="false">SUM((BF482&lt;0)*(BF481&gt;0))*A481</f>
        <v>0</v>
      </c>
      <c r="BK481" s="0" t="n">
        <f aca="false">IF(BJ481&gt;0,BI481,0)</f>
        <v>0</v>
      </c>
      <c r="BM481" s="0" t="n">
        <f aca="false">20*LOG(J481*F481*C481)</f>
        <v>-40.5261550840161</v>
      </c>
      <c r="BN481" s="0" t="n">
        <f aca="false">(H481+D481)*180/Pi</f>
        <v>-178.356336284667</v>
      </c>
      <c r="BQ481" s="347" t="n">
        <f aca="false">20*LOG(BA481*7)</f>
        <v>27.3797476248657</v>
      </c>
    </row>
    <row r="482" customFormat="false" ht="12.75" hidden="false" customHeight="false" outlineLevel="0" collapsed="false">
      <c r="A482" s="0" t="n">
        <f aca="false">A481+5000</f>
        <v>1340000</v>
      </c>
      <c r="B482" s="0" t="n">
        <f aca="false">A482/1000</f>
        <v>1340</v>
      </c>
      <c r="C482" s="0" t="n">
        <f aca="false">SQRT((A482/Fesr)^2+1)</f>
        <v>1.00003544309514</v>
      </c>
      <c r="D482" s="0" t="n">
        <f aca="false">ATAN(A482/Fesr)</f>
        <v>0.00841926936559162</v>
      </c>
      <c r="F482" s="0" t="n">
        <f aca="false">(Ro/(Ro+Rdcr))/SQRT((A482/(Q*Fo))^2+(1-(A482^2/Fo^2))^2)</f>
        <v>0.00103796964132435</v>
      </c>
      <c r="G482" s="0" t="n">
        <f aca="false">-ATAN(A482*Fo/(Q*(Fo^2-A482^2)))</f>
        <v>0.0202236055372716</v>
      </c>
      <c r="H482" s="0" t="n">
        <f aca="false">IF(G482&gt;0,G482-Pi,G482)</f>
        <v>-3.12136904446273</v>
      </c>
      <c r="J482" s="0" t="n">
        <f aca="false">Vin/Vramp</f>
        <v>9</v>
      </c>
      <c r="M482" s="0" t="n">
        <f aca="false">1/(2*Pi*_Rfb1*(Cc1ea_u+Cc2ea_u)*A482)</f>
        <v>0.00439897576765496</v>
      </c>
      <c r="N482" s="0" t="n">
        <f aca="false">-Pi/2</f>
        <v>-1.570796325</v>
      </c>
      <c r="O482" s="0" t="n">
        <f aca="false">SQRT(1+(A482/Fz1_u)^2)</f>
        <v>32.7501634177493</v>
      </c>
      <c r="P482" s="0" t="n">
        <f aca="false">ATAN2(Fz1_u,A482)</f>
        <v>1.54025738132395</v>
      </c>
      <c r="Q482" s="0" t="n">
        <f aca="false">SQRT(1+(A482/Fz2_u)^2)</f>
        <v>37144.942912478</v>
      </c>
      <c r="R482" s="0" t="n">
        <f aca="false">ATAN2(Fz2_u,A482)</f>
        <v>1.57076940522976</v>
      </c>
      <c r="S482" s="0" t="n">
        <f aca="false">1/SQRT(1+(A482/Fp1_u)^2)</f>
        <v>0.0100717708112991</v>
      </c>
      <c r="T482" s="0" t="n">
        <f aca="false">-ATAN2(Fp1_u,A482)</f>
        <v>-1.5607243856948</v>
      </c>
      <c r="U482" s="0" t="n">
        <f aca="false">1/SQRT(1+(A482/Fp2_u)^2)</f>
        <v>0.265099098094043</v>
      </c>
      <c r="V482" s="0" t="n">
        <f aca="false">-ATAN2(Fp2_u,A482)</f>
        <v>-1.30248963065407</v>
      </c>
      <c r="X482" s="0" t="n">
        <f aca="false">20*LOG(C482*J482*O482*Q482*F482*M482*S482*U482)</f>
        <v>-17.4915725133311</v>
      </c>
      <c r="Y482" s="0" t="n">
        <f aca="false">(180/Pi)*(D482+H482+N482+P482+R482+T482+V482)</f>
        <v>-254.160258294663</v>
      </c>
      <c r="Z482" s="0" t="n">
        <f aca="false">Y482+180</f>
        <v>-74.1602582946627</v>
      </c>
      <c r="AC482" s="0" t="n">
        <v>1</v>
      </c>
      <c r="AD482" s="0" t="n">
        <f aca="false">Rcea1_u*Cc1ea_u*A482*2*Pi</f>
        <v>32.734892758176</v>
      </c>
      <c r="AE482" s="0" t="n">
        <f aca="false">-Rcea1_u*Cc1ea_u*Cc2ea_u*(A482*2*Pi)^2</f>
        <v>-0.0413415587920248</v>
      </c>
      <c r="AF482" s="0" t="n">
        <f aca="false">(Cc2ea_u+Cc1ea_u)*A482*2*Pi</f>
        <v>0.0113662822077</v>
      </c>
      <c r="AG482" s="0" t="n">
        <f aca="false">AC482*AE482/(AE482^2+AF482^2)+AD482*AF482/(AE482^2+AF482^2)</f>
        <v>179.910481434305</v>
      </c>
      <c r="AH482" s="0" t="n">
        <f aca="false">AD482*AE482/(AE482^2+AF482^2)-AC482*AF482/(AE482^2+AF482^2)</f>
        <v>-742.351772666852</v>
      </c>
      <c r="AJ482" s="0" t="n">
        <f aca="false">_Rfb1</f>
        <v>20000</v>
      </c>
      <c r="AK482" s="0" t="n">
        <f aca="false">_Rfb1*Rcea2_u*Cc3ea_u*A482*2*Pi</f>
        <v>1985647.40434368</v>
      </c>
      <c r="AL482" s="0" t="n">
        <v>1</v>
      </c>
      <c r="AM482" s="0" t="n">
        <f aca="false">(_Rfb1+Rcea2_u)*Cc3ea_u*A482*2*Pi</f>
        <v>37144.9428990172</v>
      </c>
      <c r="AN482" s="0" t="n">
        <f aca="false">AJ482*AL482/(AL482^2+AM482^2)+AK482*AM482/(AL482^2+AM482^2)</f>
        <v>53.4567504043298</v>
      </c>
      <c r="AO482" s="0" t="n">
        <f aca="false">AK482*AL482/(AL482^2+AM482^2)-AJ482*AM482/(AL482^2+AM482^2)</f>
        <v>-0.536992163477614</v>
      </c>
      <c r="AQ482" s="0" t="n">
        <f aca="false">Eadcg/(1+(Eadcg*A482/GBP)^2)</f>
        <v>0.00634059724372225</v>
      </c>
      <c r="AR482" s="0" t="n">
        <f aca="false">-(A482*Eadcg*Eadcg/GBP)/(1+(Eadcg*A482/GBP)^2)</f>
        <v>-4.47760296157178</v>
      </c>
      <c r="AT482" s="0" t="n">
        <f aca="false">-AR482*AH482+AG482*AQ482</f>
        <v>-3322.81575591846</v>
      </c>
      <c r="AU482" s="0" t="n">
        <f aca="false">AQ482*AH482+AG482*AR482</f>
        <v>-810.27465809169</v>
      </c>
      <c r="AV482" s="0" t="n">
        <f aca="false">ATAN2(AT482,AU482)</f>
        <v>-2.9024088343091</v>
      </c>
      <c r="AW482" s="0" t="n">
        <f aca="false">AG482-AH482*AO482/_Rfb2+AG482*AN482/_Rfb2+AN482-AO482*AR482+AQ482*AN482</f>
        <v>235.450198538889</v>
      </c>
      <c r="AX482" s="0" t="n">
        <f aca="false">AH482+AH482*AN482/_Rfb2+AG482*AO482/_Rfb2+AO482+AO482*AQ482+AN482*AR482</f>
        <v>-1000.15141938184</v>
      </c>
      <c r="AY482" s="0" t="n">
        <f aca="false">ATAN2(AW482,AX482)</f>
        <v>-1.33959154597656</v>
      </c>
      <c r="BA482" s="0" t="n">
        <f aca="false">SQRT(AT482^2+AU482^2)/SQRT(AW482^2+AX482^2)</f>
        <v>3.32867110159637</v>
      </c>
      <c r="BB482" s="0" t="n">
        <f aca="false">20*LOG(BA482)</f>
        <v>10.4454177125755</v>
      </c>
      <c r="BC482" s="0" t="n">
        <f aca="false">AV482-AY482</f>
        <v>-1.56281728833254</v>
      </c>
      <c r="BD482" s="0" t="n">
        <f aca="false">BC482*180/Pi-180</f>
        <v>-269.542834873852</v>
      </c>
      <c r="BF482" s="0" t="n">
        <f aca="false">20*LOG(BA482*J482*F482*C482)</f>
        <v>-30.145731221385</v>
      </c>
      <c r="BG482" s="0" t="n">
        <f aca="false">(180/Pi)*(D482+H482+BC482)</f>
        <v>-267.901719026921</v>
      </c>
      <c r="BH482" s="0" t="n">
        <f aca="false">IF(BG482&gt;180,BG482-180,BG482+180)</f>
        <v>-87.9017190269215</v>
      </c>
      <c r="BI482" s="0" t="n">
        <f aca="false">IF(BH482&gt;180,BH482-360,BH482)</f>
        <v>-87.9017190269215</v>
      </c>
      <c r="BJ482" s="0" t="n">
        <f aca="false">SUM((BF483&lt;0)*(BF482&gt;0))*A482</f>
        <v>0</v>
      </c>
      <c r="BK482" s="0" t="n">
        <f aca="false">IF(BJ482&gt;0,BI482,0)</f>
        <v>0</v>
      </c>
      <c r="BM482" s="0" t="n">
        <f aca="false">20*LOG(J482*F482*C482)</f>
        <v>-40.5911489339605</v>
      </c>
      <c r="BN482" s="0" t="n">
        <f aca="false">(H482+D482)*180/Pi</f>
        <v>-178.35888415307</v>
      </c>
      <c r="BQ482" s="347" t="n">
        <f aca="false">20*LOG(BA482*7)</f>
        <v>27.3473785128606</v>
      </c>
    </row>
    <row r="483" customFormat="false" ht="12.75" hidden="false" customHeight="false" outlineLevel="0" collapsed="false">
      <c r="A483" s="0" t="n">
        <f aca="false">A482+5000</f>
        <v>1345000</v>
      </c>
      <c r="B483" s="0" t="n">
        <f aca="false">A483/1000</f>
        <v>1345</v>
      </c>
      <c r="C483" s="0" t="n">
        <f aca="false">SQRT((A483/Fesr)^2+1)</f>
        <v>1.00003570808459</v>
      </c>
      <c r="D483" s="0" t="n">
        <f aca="false">ATAN(A483/Fesr)</f>
        <v>0.00845068305693583</v>
      </c>
      <c r="F483" s="0" t="n">
        <f aca="false">(Ro/(Ro+Rdcr))/SQRT((A483/(Q*Fo))^2+(1-(A483^2/Fo^2))^2)</f>
        <v>0.00103026030733224</v>
      </c>
      <c r="G483" s="0" t="n">
        <f aca="false">-ATAN(A483*Fo/(Q*(Fo^2-A483^2)))</f>
        <v>0.0201482888507432</v>
      </c>
      <c r="H483" s="0" t="n">
        <f aca="false">IF(G483&gt;0,G483-Pi,G483)</f>
        <v>-3.12144436114926</v>
      </c>
      <c r="J483" s="0" t="n">
        <f aca="false">Vin/Vramp</f>
        <v>9</v>
      </c>
      <c r="M483" s="0" t="n">
        <f aca="false">1/(2*Pi*_Rfb1*(Cc1ea_u+Cc2ea_u)*A483)</f>
        <v>0.00438262269788672</v>
      </c>
      <c r="N483" s="0" t="n">
        <f aca="false">-Pi/2</f>
        <v>-1.570796325</v>
      </c>
      <c r="O483" s="0" t="n">
        <f aca="false">SQRT(1+(A483/Fz1_u)^2)</f>
        <v>32.8722517980525</v>
      </c>
      <c r="P483" s="0" t="n">
        <f aca="false">ATAN2(Fz1_u,A483)</f>
        <v>1.54037083882219</v>
      </c>
      <c r="Q483" s="0" t="n">
        <f aca="false">SQRT(1+(A483/Fz2_u)^2)</f>
        <v>37283.5434456332</v>
      </c>
      <c r="R483" s="0" t="n">
        <f aca="false">ATAN2(Fz2_u,A483)</f>
        <v>1.57076950530993</v>
      </c>
      <c r="S483" s="0" t="n">
        <f aca="false">1/SQRT(1+(A483/Fp1_u)^2)</f>
        <v>0.0100343330610587</v>
      </c>
      <c r="T483" s="0" t="n">
        <f aca="false">-ATAN2(Fp1_u,A483)</f>
        <v>-1.56076182533699</v>
      </c>
      <c r="U483" s="0" t="n">
        <f aca="false">1/SQRT(1+(A483/Fp2_u)^2)</f>
        <v>0.264182499221528</v>
      </c>
      <c r="V483" s="0" t="n">
        <f aca="false">-ATAN2(Fp2_u,A483)</f>
        <v>-1.30344011721127</v>
      </c>
      <c r="X483" s="0" t="n">
        <f aca="false">20*LOG(C483*J483*O483*Q483*F483*M483*S483*U483)</f>
        <v>-17.5864347725109</v>
      </c>
      <c r="Y483" s="0" t="n">
        <f aca="false">(180/Pi)*(D483+H483+N483+P483+R483+T483+V483)</f>
        <v>-254.212871382775</v>
      </c>
      <c r="Z483" s="0" t="n">
        <f aca="false">Y483+180</f>
        <v>-74.2128713827753</v>
      </c>
      <c r="AC483" s="0" t="n">
        <v>1</v>
      </c>
      <c r="AD483" s="0" t="n">
        <f aca="false">Rcea1_u*Cc1ea_u*A483*2*Pi</f>
        <v>32.857037880408</v>
      </c>
      <c r="AE483" s="0" t="n">
        <f aca="false">-Rcea1_u*Cc1ea_u*Cc2ea_u*(A483*2*Pi)^2</f>
        <v>-0.0416506534828151</v>
      </c>
      <c r="AF483" s="0" t="n">
        <f aca="false">(Cc2ea_u+Cc1ea_u)*A483*2*Pi</f>
        <v>0.011408693708475</v>
      </c>
      <c r="AG483" s="0" t="n">
        <f aca="false">AC483*AE483/(AE483^2+AF483^2)+AD483*AF483/(AE483^2+AF483^2)</f>
        <v>178.668525811028</v>
      </c>
      <c r="AH483" s="0" t="n">
        <f aca="false">AD483*AE483/(AE483^2+AF483^2)-AC483*AF483/(AE483^2+AF483^2)</f>
        <v>-739.932289581024</v>
      </c>
      <c r="AJ483" s="0" t="n">
        <f aca="false">_Rfb1</f>
        <v>20000</v>
      </c>
      <c r="AK483" s="0" t="n">
        <f aca="false">_Rfb1*Rcea2_u*Cc3ea_u*A483*2*Pi</f>
        <v>1993056.53644944</v>
      </c>
      <c r="AL483" s="0" t="n">
        <v>1</v>
      </c>
      <c r="AM483" s="0" t="n">
        <f aca="false">(_Rfb1+Rcea2_u)*Cc3ea_u*A483*2*Pi</f>
        <v>37283.5434322225</v>
      </c>
      <c r="AN483" s="0" t="n">
        <f aca="false">AJ483*AL483/(AL483^2+AM483^2)+AK483*AM483/(AL483^2+AM483^2)</f>
        <v>53.456750297045</v>
      </c>
      <c r="AO483" s="0" t="n">
        <f aca="false">AK483*AL483/(AL483^2+AM483^2)-AJ483*AM483/(AL483^2+AM483^2)</f>
        <v>-0.534995910084664</v>
      </c>
      <c r="AQ483" s="0" t="n">
        <f aca="false">Eadcg/(1+(Eadcg*A483/GBP)^2)</f>
        <v>0.0062935429749466</v>
      </c>
      <c r="AR483" s="0" t="n">
        <f aca="false">-(A483*Eadcg*Eadcg/GBP)/(1+(Eadcg*A483/GBP)^2)</f>
        <v>-4.46095766378678</v>
      </c>
      <c r="AT483" s="0" t="n">
        <f aca="false">-AR483*AH483+AG483*AQ483</f>
        <v>-3299.6821598443</v>
      </c>
      <c r="AU483" s="0" t="n">
        <f aca="false">AQ483*AH483+AG483*AR483</f>
        <v>-801.689525157221</v>
      </c>
      <c r="AV483" s="0" t="n">
        <f aca="false">ATAN2(AT483,AU483)</f>
        <v>-2.90325112755664</v>
      </c>
      <c r="AW483" s="0" t="n">
        <f aca="false">AG483-AH483*AO483/_Rfb2+AG483*AN483/_Rfb2+AN483-AO483*AR483+AQ483*AN483</f>
        <v>234.194944467882</v>
      </c>
      <c r="AX483" s="0" t="n">
        <f aca="false">AH483+AH483*AN483/_Rfb2+AG483*AO483/_Rfb2+AO483+AO483*AQ483+AN483*AR483</f>
        <v>-996.78143558674</v>
      </c>
      <c r="AY483" s="0" t="n">
        <f aca="false">ATAN2(AW483,AX483)</f>
        <v>-1.34003066045622</v>
      </c>
      <c r="BA483" s="0" t="n">
        <f aca="false">SQRT(AT483^2+AU483^2)/SQRT(AW483^2+AX483^2)</f>
        <v>3.31633473612435</v>
      </c>
      <c r="BB483" s="0" t="n">
        <f aca="false">20*LOG(BA483)</f>
        <v>10.4131671970023</v>
      </c>
      <c r="BC483" s="0" t="n">
        <f aca="false">AV483-AY483</f>
        <v>-1.56322046710042</v>
      </c>
      <c r="BD483" s="0" t="n">
        <f aca="false">BC483*180/Pi-180</f>
        <v>-269.565935315667</v>
      </c>
      <c r="BF483" s="0" t="n">
        <f aca="false">20*LOG(BA483*J483*F483*C483)</f>
        <v>-30.2427331001326</v>
      </c>
      <c r="BG483" s="0" t="n">
        <f aca="false">(180/Pi)*(D483+H483+BC483)</f>
        <v>-267.927334925071</v>
      </c>
      <c r="BH483" s="0" t="n">
        <f aca="false">IF(BG483&gt;180,BG483-180,BG483+180)</f>
        <v>-87.9273349250713</v>
      </c>
      <c r="BI483" s="0" t="n">
        <f aca="false">IF(BH483&gt;180,BH483-360,BH483)</f>
        <v>-87.9273349250713</v>
      </c>
      <c r="BJ483" s="0" t="n">
        <f aca="false">SUM((BF484&lt;0)*(BF483&gt;0))*A483</f>
        <v>0</v>
      </c>
      <c r="BK483" s="0" t="n">
        <f aca="false">IF(BJ483&gt;0,BI483,0)</f>
        <v>0</v>
      </c>
      <c r="BM483" s="0" t="n">
        <f aca="false">20*LOG(J483*F483*C483)</f>
        <v>-40.6559002971349</v>
      </c>
      <c r="BN483" s="0" t="n">
        <f aca="false">(H483+D483)*180/Pi</f>
        <v>-178.361399609404</v>
      </c>
      <c r="BQ483" s="347" t="n">
        <f aca="false">20*LOG(BA483*7)</f>
        <v>27.3151279972874</v>
      </c>
    </row>
    <row r="484" customFormat="false" ht="12.75" hidden="false" customHeight="false" outlineLevel="0" collapsed="false">
      <c r="A484" s="0" t="n">
        <f aca="false">A483+5000</f>
        <v>1350000</v>
      </c>
      <c r="B484" s="0" t="n">
        <f aca="false">A484/1000</f>
        <v>1350</v>
      </c>
      <c r="C484" s="0" t="n">
        <f aca="false">SQRT((A484/Fesr)^2+1)</f>
        <v>1.00003597406089</v>
      </c>
      <c r="D484" s="0" t="n">
        <f aca="false">ATAN(A484/Fesr)</f>
        <v>0.00848209673160104</v>
      </c>
      <c r="F484" s="0" t="n">
        <f aca="false">(Ro/(Ro+Rdcr))/SQRT((A484/(Q*Fo))^2+(1-(A484^2/Fo^2))^2)</f>
        <v>0.00102263656852068</v>
      </c>
      <c r="G484" s="0" t="n">
        <f aca="false">-ATAN(A484*Fo/(Q*(Fo^2-A484^2)))</f>
        <v>0.0200735315698066</v>
      </c>
      <c r="H484" s="0" t="n">
        <f aca="false">IF(G484&gt;0,G484-Pi,G484)</f>
        <v>-3.12151911843019</v>
      </c>
      <c r="J484" s="0" t="n">
        <f aca="false">Vin/Vramp</f>
        <v>9</v>
      </c>
      <c r="M484" s="0" t="n">
        <f aca="false">1/(2*Pi*_Rfb1*(Cc1ea_u+Cc2ea_u)*A484)</f>
        <v>0.00436639076196863</v>
      </c>
      <c r="N484" s="0" t="n">
        <f aca="false">-Pi/2</f>
        <v>-1.570796325</v>
      </c>
      <c r="O484" s="0" t="n">
        <f aca="false">SQRT(1+(A484/Fz1_u)^2)</f>
        <v>32.9943405983756</v>
      </c>
      <c r="P484" s="0" t="n">
        <f aca="false">ATAN2(Fz1_u,A484)</f>
        <v>1.5404834566694</v>
      </c>
      <c r="Q484" s="0" t="n">
        <f aca="false">SQRT(1+(A484/Fz2_u)^2)</f>
        <v>37422.1439787888</v>
      </c>
      <c r="R484" s="0" t="n">
        <f aca="false">ATAN2(Fz2_u,A484)</f>
        <v>1.57076960464876</v>
      </c>
      <c r="S484" s="0" t="n">
        <f aca="false">1/SQRT(1+(A484/Fp1_u)^2)</f>
        <v>0.00999717258575791</v>
      </c>
      <c r="T484" s="0" t="n">
        <f aca="false">-ATAN2(Fp1_u,A484)</f>
        <v>-1.56079898767631</v>
      </c>
      <c r="U484" s="0" t="n">
        <f aca="false">1/SQRT(1+(A484/Fp2_u)^2)</f>
        <v>0.2632719815265</v>
      </c>
      <c r="V484" s="0" t="n">
        <f aca="false">-ATAN2(Fp2_u,A484)</f>
        <v>-1.30438405282104</v>
      </c>
      <c r="X484" s="0" t="n">
        <f aca="false">20*LOG(C484*J484*O484*Q484*F484*M484*S484*U484)</f>
        <v>-17.6809599795571</v>
      </c>
      <c r="Y484" s="0" t="n">
        <f aca="false">(180/Pi)*(D484+H484+N484+P484+R484+T484+V484)</f>
        <v>-254.265109341277</v>
      </c>
      <c r="Z484" s="0" t="n">
        <f aca="false">Y484+180</f>
        <v>-74.2651093412766</v>
      </c>
      <c r="AC484" s="0" t="n">
        <v>1</v>
      </c>
      <c r="AD484" s="0" t="n">
        <f aca="false">Rcea1_u*Cc1ea_u*A484*2*Pi</f>
        <v>32.97918300264</v>
      </c>
      <c r="AE484" s="0" t="n">
        <f aca="false">-Rcea1_u*Cc1ea_u*Cc2ea_u*(A484*2*Pi)^2</f>
        <v>-0.04196089936426</v>
      </c>
      <c r="AF484" s="0" t="n">
        <f aca="false">(Cc2ea_u+Cc1ea_u)*A484*2*Pi</f>
        <v>0.01145110520925</v>
      </c>
      <c r="AG484" s="0" t="n">
        <f aca="false">AC484*AE484/(AE484^2+AF484^2)+AD484*AF484/(AE484^2+AF484^2)</f>
        <v>177.439068817637</v>
      </c>
      <c r="AH484" s="0" t="n">
        <f aca="false">AD484*AE484/(AE484^2+AF484^2)-AC484*AF484/(AE484^2+AF484^2)</f>
        <v>-737.52731772325</v>
      </c>
      <c r="AJ484" s="0" t="n">
        <f aca="false">_Rfb1</f>
        <v>20000</v>
      </c>
      <c r="AK484" s="0" t="n">
        <f aca="false">_Rfb1*Rcea2_u*Cc3ea_u*A484*2*Pi</f>
        <v>2000465.6685552</v>
      </c>
      <c r="AL484" s="0" t="n">
        <v>1</v>
      </c>
      <c r="AM484" s="0" t="n">
        <f aca="false">(_Rfb1+Rcea2_u)*Cc3ea_u*A484*2*Pi</f>
        <v>37422.1439654278</v>
      </c>
      <c r="AN484" s="0" t="n">
        <f aca="false">AJ484*AL484/(AL484^2+AM484^2)+AK484*AM484/(AL484^2+AM484^2)</f>
        <v>53.4567501909501</v>
      </c>
      <c r="AO484" s="0" t="n">
        <f aca="false">AK484*AL484/(AL484^2+AM484^2)-AJ484*AM484/(AL484^2+AM484^2)</f>
        <v>-0.533014443753852</v>
      </c>
      <c r="AQ484" s="0" t="n">
        <f aca="false">Eadcg/(1+(Eadcg*A484/GBP)^2)</f>
        <v>0.00624701056120653</v>
      </c>
      <c r="AR484" s="0" t="n">
        <f aca="false">-(A484*Eadcg*Eadcg/GBP)/(1+(Eadcg*A484/GBP)^2)</f>
        <v>-4.44443566377038</v>
      </c>
      <c r="AT484" s="0" t="n">
        <f aca="false">-AR484*AH484+AG484*AQ484</f>
        <v>-3276.78425015725</v>
      </c>
      <c r="AU484" s="0" t="n">
        <f aca="false">AQ484*AH484+AG484*AR484</f>
        <v>-793.22386654231</v>
      </c>
      <c r="AV484" s="0" t="n">
        <f aca="false">ATAN2(AT484,AU484)</f>
        <v>-2.90408767051387</v>
      </c>
      <c r="AW484" s="0" t="n">
        <f aca="false">AG484-AH484*AO484/_Rfb2+AG484*AN484/_Rfb2+AN484-AO484*AR484+AQ484*AN484</f>
        <v>232.952306956774</v>
      </c>
      <c r="AX484" s="0" t="n">
        <f aca="false">AH484+AH484*AN484/_Rfb2+AG484*AO484/_Rfb2+AO484+AO484*AQ484+AN484*AR484</f>
        <v>-993.432924957881</v>
      </c>
      <c r="AY484" s="0" t="n">
        <f aca="false">ATAN2(AW484,AX484)</f>
        <v>-1.34046561193142</v>
      </c>
      <c r="BA484" s="0" t="n">
        <f aca="false">SQRT(AT484^2+AU484^2)/SQRT(AW484^2+AX484^2)</f>
        <v>3.3040888738061</v>
      </c>
      <c r="BB484" s="0" t="n">
        <f aca="false">20*LOG(BA484)</f>
        <v>10.3810344102821</v>
      </c>
      <c r="BC484" s="0" t="n">
        <f aca="false">AV484-AY484</f>
        <v>-1.56362205858245</v>
      </c>
      <c r="BD484" s="0" t="n">
        <f aca="false">BC484*180/Pi-180</f>
        <v>-269.588944812702</v>
      </c>
      <c r="BF484" s="0" t="n">
        <f aca="false">20*LOG(BA484*J484*F484*C484)</f>
        <v>-30.339376567231</v>
      </c>
      <c r="BG484" s="0" t="n">
        <f aca="false">(180/Pi)*(D484+H484+BC484)</f>
        <v>-267.952827827818</v>
      </c>
      <c r="BH484" s="0" t="n">
        <f aca="false">IF(BG484&gt;180,BG484-180,BG484+180)</f>
        <v>-87.9528278278176</v>
      </c>
      <c r="BI484" s="0" t="n">
        <f aca="false">IF(BH484&gt;180,BH484-360,BH484)</f>
        <v>-87.9528278278176</v>
      </c>
      <c r="BJ484" s="0" t="n">
        <f aca="false">SUM((BF485&lt;0)*(BF484&gt;0))*A484</f>
        <v>0</v>
      </c>
      <c r="BK484" s="0" t="n">
        <f aca="false">IF(BJ484&gt;0,BI484,0)</f>
        <v>0</v>
      </c>
      <c r="BM484" s="0" t="n">
        <f aca="false">20*LOG(J484*F484*C484)</f>
        <v>-40.7204109775131</v>
      </c>
      <c r="BN484" s="0" t="n">
        <f aca="false">(H484+D484)*180/Pi</f>
        <v>-178.363883015116</v>
      </c>
      <c r="BQ484" s="347" t="n">
        <f aca="false">20*LOG(BA484*7)</f>
        <v>27.2829952105672</v>
      </c>
    </row>
    <row r="485" customFormat="false" ht="12.75" hidden="false" customHeight="false" outlineLevel="0" collapsed="false">
      <c r="A485" s="0" t="n">
        <f aca="false">A484+5000</f>
        <v>1355000</v>
      </c>
      <c r="B485" s="0" t="n">
        <f aca="false">A485/1000</f>
        <v>1355</v>
      </c>
      <c r="C485" s="0" t="n">
        <f aca="false">SQRT((A485/Fesr)^2+1)</f>
        <v>1.00003624102405</v>
      </c>
      <c r="D485" s="0" t="n">
        <f aca="false">ATAN(A485/Fesr)</f>
        <v>0.00851351038952528</v>
      </c>
      <c r="F485" s="0" t="n">
        <f aca="false">(Ro/(Ro+Rdcr))/SQRT((A485/(Q*Fo))^2+(1-(A485^2/Fo^2))^2)</f>
        <v>0.00101509716209153</v>
      </c>
      <c r="G485" s="0" t="n">
        <f aca="false">-ATAN(A485*Fo/(Q*(Fo^2-A485^2)))</f>
        <v>0.0199993274796727</v>
      </c>
      <c r="H485" s="0" t="n">
        <f aca="false">IF(G485&gt;0,G485-Pi,G485)</f>
        <v>-3.12159332252033</v>
      </c>
      <c r="J485" s="0" t="n">
        <f aca="false">Vin/Vramp</f>
        <v>9</v>
      </c>
      <c r="M485" s="0" t="n">
        <f aca="false">1/(2*Pi*_Rfb1*(Cc1ea_u+Cc2ea_u)*A485)</f>
        <v>0.00435027861893553</v>
      </c>
      <c r="N485" s="0" t="n">
        <f aca="false">-Pi/2</f>
        <v>-1.570796325</v>
      </c>
      <c r="O485" s="0" t="n">
        <f aca="false">SQRT(1+(A485/Fz1_u)^2)</f>
        <v>33.1164298140733</v>
      </c>
      <c r="P485" s="0" t="n">
        <f aca="false">ATAN2(Fz1_u,A485)</f>
        <v>1.54059524414925</v>
      </c>
      <c r="Q485" s="0" t="n">
        <f aca="false">SQRT(1+(A485/Fz2_u)^2)</f>
        <v>37560.7445119448</v>
      </c>
      <c r="R485" s="0" t="n">
        <f aca="false">ATAN2(Fz2_u,A485)</f>
        <v>1.57076970325447</v>
      </c>
      <c r="S485" s="0" t="n">
        <f aca="false">1/SQRT(1+(A485/Fp1_u)^2)</f>
        <v>0.0099602863165448</v>
      </c>
      <c r="T485" s="0" t="n">
        <f aca="false">-ATAN2(Fp1_u,A485)</f>
        <v>-1.56083587578214</v>
      </c>
      <c r="U485" s="0" t="n">
        <f aca="false">1/SQRT(1+(A485/Fp2_u)^2)</f>
        <v>0.262367487190555</v>
      </c>
      <c r="V485" s="0" t="n">
        <f aca="false">-ATAN2(Fp2_u,A485)</f>
        <v>-1.30532150331164</v>
      </c>
      <c r="X485" s="0" t="n">
        <f aca="false">20*LOG(C485*J485*O485*Q485*F485*M485*S485*U485)</f>
        <v>-17.7751504773244</v>
      </c>
      <c r="Y485" s="0" t="n">
        <f aca="false">(180/Pi)*(D485+H485+N485+P485+R485+T485+V485)</f>
        <v>-254.316975941409</v>
      </c>
      <c r="Z485" s="0" t="n">
        <f aca="false">Y485+180</f>
        <v>-74.3169759414087</v>
      </c>
      <c r="AC485" s="0" t="n">
        <v>1</v>
      </c>
      <c r="AD485" s="0" t="n">
        <f aca="false">Rcea1_u*Cc1ea_u*A485*2*Pi</f>
        <v>33.101328124872</v>
      </c>
      <c r="AE485" s="0" t="n">
        <f aca="false">-Rcea1_u*Cc1ea_u*Cc2ea_u*(A485*2*Pi)^2</f>
        <v>-0.0422722964363597</v>
      </c>
      <c r="AF485" s="0" t="n">
        <f aca="false">(Cc2ea_u+Cc1ea_u)*A485*2*Pi</f>
        <v>0.011493516710025</v>
      </c>
      <c r="AG485" s="0" t="n">
        <f aca="false">AC485*AE485/(AE485^2+AF485^2)+AD485*AF485/(AE485^2+AF485^2)</f>
        <v>176.221947736796</v>
      </c>
      <c r="AH485" s="0" t="n">
        <f aca="false">AD485*AE485/(AE485^2+AF485^2)-AC485*AF485/(AE485^2+AF485^2)</f>
        <v>-735.136740694235</v>
      </c>
      <c r="AJ485" s="0" t="n">
        <f aca="false">_Rfb1</f>
        <v>20000</v>
      </c>
      <c r="AK485" s="0" t="n">
        <f aca="false">_Rfb1*Rcea2_u*Cc3ea_u*A485*2*Pi</f>
        <v>2007874.80066096</v>
      </c>
      <c r="AL485" s="0" t="n">
        <v>1</v>
      </c>
      <c r="AM485" s="0" t="n">
        <f aca="false">(_Rfb1+Rcea2_u)*Cc3ea_u*A485*2*Pi</f>
        <v>37560.7444986331</v>
      </c>
      <c r="AN485" s="0" t="n">
        <f aca="false">AJ485*AL485/(AL485^2+AM485^2)+AK485*AM485/(AL485^2+AM485^2)</f>
        <v>53.4567500860276</v>
      </c>
      <c r="AO485" s="0" t="n">
        <f aca="false">AK485*AL485/(AL485^2+AM485^2)-AJ485*AM485/(AL485^2+AM485^2)</f>
        <v>-0.531047600790764</v>
      </c>
      <c r="AQ485" s="0" t="n">
        <f aca="false">Eadcg/(1+(Eadcg*A485/GBP)^2)</f>
        <v>0.00620099231409903</v>
      </c>
      <c r="AR485" s="0" t="n">
        <f aca="false">-(A485*Eadcg*Eadcg/GBP)/(1+(Eadcg*A485/GBP)^2)</f>
        <v>-4.42803559661341</v>
      </c>
      <c r="AT485" s="0" t="n">
        <f aca="false">-AR485*AH485+AG485*AQ485</f>
        <v>-3254.11890522894</v>
      </c>
      <c r="AU485" s="0" t="n">
        <f aca="false">AQ485*AH485+AG485*AR485</f>
        <v>-784.875634761936</v>
      </c>
      <c r="AV485" s="0" t="n">
        <f aca="false">ATAN2(AT485,AU485)</f>
        <v>-2.90491852015704</v>
      </c>
      <c r="AW485" s="0" t="n">
        <f aca="false">AG485-AH485*AO485/_Rfb2+AG485*AN485/_Rfb2+AN485-AO485*AR485+AQ485*AN485</f>
        <v>231.722122047294</v>
      </c>
      <c r="AX485" s="0" t="n">
        <f aca="false">AH485+AH485*AN485/_Rfb2+AG485*AO485/_Rfb2+AO485+AO485*AQ485+AN485*AR485</f>
        <v>-990.105695048319</v>
      </c>
      <c r="AY485" s="0" t="n">
        <f aca="false">ATAN2(AW485,AX485)</f>
        <v>-1.34089644005556</v>
      </c>
      <c r="BA485" s="0" t="n">
        <f aca="false">SQRT(AT485^2+AU485^2)/SQRT(AW485^2+AX485^2)</f>
        <v>3.29193252385455</v>
      </c>
      <c r="BB485" s="0" t="n">
        <f aca="false">20*LOG(BA485)</f>
        <v>10.3490184942435</v>
      </c>
      <c r="BC485" s="0" t="n">
        <f aca="false">AV485-AY485</f>
        <v>-1.56402208010148</v>
      </c>
      <c r="BD485" s="0" t="n">
        <f aca="false">BC485*180/Pi-180</f>
        <v>-269.611864357483</v>
      </c>
      <c r="BF485" s="0" t="n">
        <f aca="false">20*LOG(BA485*J485*F485*C485)</f>
        <v>-30.4356642647519</v>
      </c>
      <c r="BG485" s="0" t="n">
        <f aca="false">(180/Pi)*(D485+H485+BC485)</f>
        <v>-267.978199083771</v>
      </c>
      <c r="BH485" s="0" t="n">
        <f aca="false">IF(BG485&gt;180,BG485-180,BG485+180)</f>
        <v>-87.978199083771</v>
      </c>
      <c r="BI485" s="0" t="n">
        <f aca="false">IF(BH485&gt;180,BH485-360,BH485)</f>
        <v>-87.978199083771</v>
      </c>
      <c r="BJ485" s="0" t="n">
        <f aca="false">SUM((BF486&lt;0)*(BF485&gt;0))*A485</f>
        <v>0</v>
      </c>
      <c r="BK485" s="0" t="n">
        <f aca="false">IF(BJ485&gt;0,BI485,0)</f>
        <v>0</v>
      </c>
      <c r="BM485" s="0" t="n">
        <f aca="false">20*LOG(J485*F485*C485)</f>
        <v>-40.7846827589955</v>
      </c>
      <c r="BN485" s="0" t="n">
        <f aca="false">(H485+D485)*180/Pi</f>
        <v>-178.366334726287</v>
      </c>
      <c r="BQ485" s="347" t="n">
        <f aca="false">20*LOG(BA485*7)</f>
        <v>27.2509792945286</v>
      </c>
    </row>
    <row r="486" customFormat="false" ht="12.75" hidden="false" customHeight="false" outlineLevel="0" collapsed="false">
      <c r="A486" s="0" t="n">
        <f aca="false">A485+5000</f>
        <v>1360000</v>
      </c>
      <c r="B486" s="0" t="n">
        <f aca="false">A486/1000</f>
        <v>1360</v>
      </c>
      <c r="C486" s="0" t="n">
        <f aca="false">SQRT((A486/Fesr)^2+1)</f>
        <v>1.00003650897406</v>
      </c>
      <c r="D486" s="0" t="n">
        <f aca="false">ATAN(A486/Fesr)</f>
        <v>0.00854492403064655</v>
      </c>
      <c r="F486" s="0" t="n">
        <f aca="false">(Ro/(Ro+Rdcr))/SQRT((A486/(Q*Fo))^2+(1-(A486^2/Fo^2))^2)</f>
        <v>0.00100764084845511</v>
      </c>
      <c r="G486" s="0" t="n">
        <f aca="false">-ATAN(A486*Fo/(Q*(Fo^2-A486^2)))</f>
        <v>0.019925670457351</v>
      </c>
      <c r="H486" s="0" t="n">
        <f aca="false">IF(G486&gt;0,G486-Pi,G486)</f>
        <v>-3.12166697954265</v>
      </c>
      <c r="J486" s="0" t="n">
        <f aca="false">Vin/Vramp</f>
        <v>9</v>
      </c>
      <c r="M486" s="0" t="n">
        <f aca="false">1/(2*Pi*_Rfb1*(Cc1ea_u+Cc2ea_u)*A486)</f>
        <v>0.00433428494754238</v>
      </c>
      <c r="N486" s="0" t="n">
        <f aca="false">-Pi/2</f>
        <v>-1.570796325</v>
      </c>
      <c r="O486" s="0" t="n">
        <f aca="false">SQRT(1+(A486/Fz1_u)^2)</f>
        <v>33.2385194405683</v>
      </c>
      <c r="P486" s="0" t="n">
        <f aca="false">ATAN2(Fz1_u,A486)</f>
        <v>1.54070621040908</v>
      </c>
      <c r="Q486" s="0" t="n">
        <f aca="false">SQRT(1+(A486/Fz2_u)^2)</f>
        <v>37699.3450451012</v>
      </c>
      <c r="R486" s="0" t="n">
        <f aca="false">ATAN2(Fz2_u,A486)</f>
        <v>1.57076980113513</v>
      </c>
      <c r="S486" s="0" t="n">
        <f aca="false">1/SQRT(1+(A486/Fp1_u)^2)</f>
        <v>0.00992367122968654</v>
      </c>
      <c r="T486" s="0" t="n">
        <f aca="false">-ATAN2(Fp1_u,A486)</f>
        <v>-1.56087249267871</v>
      </c>
      <c r="U486" s="0" t="n">
        <f aca="false">1/SQRT(1+(A486/Fp2_u)^2)</f>
        <v>0.261468959089899</v>
      </c>
      <c r="V486" s="0" t="n">
        <f aca="false">-ATAN2(Fp2_u,A486)</f>
        <v>-1.30625253365549</v>
      </c>
      <c r="X486" s="0" t="n">
        <f aca="false">20*LOG(C486*J486*O486*Q486*F486*M486*S486*U486)</f>
        <v>-17.8690085846999</v>
      </c>
      <c r="Y486" s="0" t="n">
        <f aca="false">(180/Pi)*(D486+H486+N486+P486+R486+T486+V486)</f>
        <v>-254.36847490535</v>
      </c>
      <c r="Z486" s="0" t="n">
        <f aca="false">Y486+180</f>
        <v>-74.3684749053502</v>
      </c>
      <c r="AC486" s="0" t="n">
        <v>1</v>
      </c>
      <c r="AD486" s="0" t="n">
        <f aca="false">Rcea1_u*Cc1ea_u*A486*2*Pi</f>
        <v>33.223473247104</v>
      </c>
      <c r="AE486" s="0" t="n">
        <f aca="false">-Rcea1_u*Cc1ea_u*Cc2ea_u*(A486*2*Pi)^2</f>
        <v>-0.042584844699114</v>
      </c>
      <c r="AF486" s="0" t="n">
        <f aca="false">(Cc2ea_u+Cc1ea_u)*A486*2*Pi</f>
        <v>0.0115359282108</v>
      </c>
      <c r="AG486" s="0" t="n">
        <f aca="false">AC486*AE486/(AE486^2+AF486^2)+AD486*AF486/(AE486^2+AF486^2)</f>
        <v>175.017002412941</v>
      </c>
      <c r="AH486" s="0" t="n">
        <f aca="false">AD486*AE486/(AE486^2+AF486^2)-AC486*AF486/(AE486^2+AF486^2)</f>
        <v>-732.760443112479</v>
      </c>
      <c r="AJ486" s="0" t="n">
        <f aca="false">_Rfb1</f>
        <v>20000</v>
      </c>
      <c r="AK486" s="0" t="n">
        <f aca="false">_Rfb1*Rcea2_u*Cc3ea_u*A486*2*Pi</f>
        <v>2015283.93276672</v>
      </c>
      <c r="AL486" s="0" t="n">
        <v>1</v>
      </c>
      <c r="AM486" s="0" t="n">
        <f aca="false">(_Rfb1+Rcea2_u)*Cc3ea_u*A486*2*Pi</f>
        <v>37699.3450318383</v>
      </c>
      <c r="AN486" s="0" t="n">
        <f aca="false">AJ486*AL486/(AL486^2+AM486^2)+AK486*AM486/(AL486^2+AM486^2)</f>
        <v>53.4567499822601</v>
      </c>
      <c r="AO486" s="0" t="n">
        <f aca="false">AK486*AL486/(AL486^2+AM486^2)-AJ486*AM486/(AL486^2+AM486^2)</f>
        <v>-0.529095219908256</v>
      </c>
      <c r="AQ486" s="0" t="n">
        <f aca="false">Eadcg/(1+(Eadcg*A486/GBP)^2)</f>
        <v>0.00615548068629126</v>
      </c>
      <c r="AR486" s="0" t="n">
        <f aca="false">-(A486*Eadcg*Eadcg/GBP)/(1+(Eadcg*A486/GBP)^2)</f>
        <v>-4.41175611747867</v>
      </c>
      <c r="AT486" s="0" t="n">
        <f aca="false">-AR486*AH486+AG486*AQ486</f>
        <v>-3231.68305376974</v>
      </c>
      <c r="AU486" s="0" t="n">
        <f aca="false">AQ486*AH486+AG486*AR486</f>
        <v>-776.642823813329</v>
      </c>
      <c r="AV486" s="0" t="n">
        <f aca="false">ATAN2(AT486,AU486)</f>
        <v>-2.90574373273655</v>
      </c>
      <c r="AW486" s="0" t="n">
        <f aca="false">AG486-AH486*AO486/_Rfb2+AG486*AN486/_Rfb2+AN486-AO486*AR486+AQ486*AN486</f>
        <v>230.50422835589</v>
      </c>
      <c r="AX486" s="0" t="n">
        <f aca="false">AH486+AH486*AN486/_Rfb2+AG486*AO486/_Rfb2+AO486+AO486*AQ486+AN486*AR486</f>
        <v>-986.799555531238</v>
      </c>
      <c r="AY486" s="0" t="n">
        <f aca="false">ATAN2(AW486,AX486)</f>
        <v>-1.34132318400757</v>
      </c>
      <c r="BA486" s="0" t="n">
        <f aca="false">SQRT(AT486^2+AU486^2)/SQRT(AW486^2+AX486^2)</f>
        <v>3.27986470985243</v>
      </c>
      <c r="BB486" s="0" t="n">
        <f aca="false">20*LOG(BA486)</f>
        <v>10.3171185999877</v>
      </c>
      <c r="BC486" s="0" t="n">
        <f aca="false">AV486-AY486</f>
        <v>-1.56442054872899</v>
      </c>
      <c r="BD486" s="0" t="n">
        <f aca="false">BC486*180/Pi-180</f>
        <v>-269.634694928134</v>
      </c>
      <c r="BF486" s="0" t="n">
        <f aca="false">20*LOG(BA486*J486*F486*C486)</f>
        <v>-30.5315988057183</v>
      </c>
      <c r="BG486" s="0" t="n">
        <f aca="false">(180/Pi)*(D486+H486+BC486)</f>
        <v>-268.003450021879</v>
      </c>
      <c r="BH486" s="0" t="n">
        <f aca="false">IF(BG486&gt;180,BG486-180,BG486+180)</f>
        <v>-88.0034500218792</v>
      </c>
      <c r="BI486" s="0" t="n">
        <f aca="false">IF(BH486&gt;180,BH486-360,BH486)</f>
        <v>-88.0034500218792</v>
      </c>
      <c r="BJ486" s="0" t="n">
        <f aca="false">SUM((BF487&lt;0)*(BF486&gt;0))*A486</f>
        <v>0</v>
      </c>
      <c r="BK486" s="0" t="n">
        <f aca="false">IF(BJ486&gt;0,BI486,0)</f>
        <v>0</v>
      </c>
      <c r="BM486" s="0" t="n">
        <f aca="false">20*LOG(J486*F486*C486)</f>
        <v>-40.848717405706</v>
      </c>
      <c r="BN486" s="0" t="n">
        <f aca="false">(H486+D486)*180/Pi</f>
        <v>-178.368755093745</v>
      </c>
      <c r="BQ486" s="347" t="n">
        <f aca="false">20*LOG(BA486*7)</f>
        <v>27.2190794002728</v>
      </c>
    </row>
    <row r="487" customFormat="false" ht="12.75" hidden="false" customHeight="false" outlineLevel="0" collapsed="false">
      <c r="A487" s="0" t="n">
        <f aca="false">A486+5000</f>
        <v>1365000</v>
      </c>
      <c r="B487" s="0" t="n">
        <f aca="false">A487/1000</f>
        <v>1365</v>
      </c>
      <c r="C487" s="0" t="n">
        <f aca="false">SQRT((A487/Fesr)^2+1)</f>
        <v>1.00003677791093</v>
      </c>
      <c r="D487" s="0" t="n">
        <f aca="false">ATAN(A487/Fesr)</f>
        <v>0.00857633765490287</v>
      </c>
      <c r="F487" s="0" t="n">
        <f aca="false">(Ro/(Ro+Rdcr))/SQRT((A487/(Q*Fo))^2+(1-(A487^2/Fo^2))^2)</f>
        <v>0.00100026641072008</v>
      </c>
      <c r="G487" s="0" t="n">
        <f aca="false">-ATAN(A487*Fo/(Q*(Fo^2-A487^2)))</f>
        <v>0.0198525544699595</v>
      </c>
      <c r="H487" s="0" t="n">
        <f aca="false">IF(G487&gt;0,G487-Pi,G487)</f>
        <v>-3.12174009553004</v>
      </c>
      <c r="J487" s="0" t="n">
        <f aca="false">Vin/Vramp</f>
        <v>9</v>
      </c>
      <c r="M487" s="0" t="n">
        <f aca="false">1/(2*Pi*_Rfb1*(Cc1ea_u+Cc2ea_u)*A487)</f>
        <v>0.00431840844590304</v>
      </c>
      <c r="N487" s="0" t="n">
        <f aca="false">-Pi/2</f>
        <v>-1.570796325</v>
      </c>
      <c r="O487" s="0" t="n">
        <f aca="false">SQRT(1+(A487/Fz1_u)^2)</f>
        <v>33.3606094733504</v>
      </c>
      <c r="P487" s="0" t="n">
        <f aca="false">ATAN2(Fz1_u,A487)</f>
        <v>1.54081636446241</v>
      </c>
      <c r="Q487" s="0" t="n">
        <f aca="false">SQRT(1+(A487/Fz2_u)^2)</f>
        <v>37837.9455782579</v>
      </c>
      <c r="R487" s="0" t="n">
        <f aca="false">ATAN2(Fz2_u,A487)</f>
        <v>1.57076989829872</v>
      </c>
      <c r="S487" s="0" t="n">
        <f aca="false">1/SQRT(1+(A487/Fp1_u)^2)</f>
        <v>0.00988732434574315</v>
      </c>
      <c r="T487" s="0" t="n">
        <f aca="false">-ATAN2(Fp1_u,A487)</f>
        <v>-1.56090884134594</v>
      </c>
      <c r="U487" s="0" t="n">
        <f aca="false">1/SQRT(1+(A487/Fp2_u)^2)</f>
        <v>0.260576340785609</v>
      </c>
      <c r="V487" s="0" t="n">
        <f aca="false">-ATAN2(Fp2_u,A487)</f>
        <v>-1.30717720798263</v>
      </c>
      <c r="X487" s="0" t="n">
        <f aca="false">20*LOG(C487*J487*O487*Q487*F487*M487*S487*U487)</f>
        <v>-17.9625365969259</v>
      </c>
      <c r="Y487" s="0" t="n">
        <f aca="false">(180/Pi)*(D487+H487+N487+P487+R487+T487+V487)</f>
        <v>-254.419609906989</v>
      </c>
      <c r="Z487" s="0" t="n">
        <f aca="false">Y487+180</f>
        <v>-74.4196099069889</v>
      </c>
      <c r="AC487" s="0" t="n">
        <v>1</v>
      </c>
      <c r="AD487" s="0" t="n">
        <f aca="false">Rcea1_u*Cc1ea_u*A487*2*Pi</f>
        <v>33.345618369336</v>
      </c>
      <c r="AE487" s="0" t="n">
        <f aca="false">-Rcea1_u*Cc1ea_u*Cc2ea_u*(A487*2*Pi)^2</f>
        <v>-0.0428985441525231</v>
      </c>
      <c r="AF487" s="0" t="n">
        <f aca="false">(Cc2ea_u+Cc1ea_u)*A487*2*Pi</f>
        <v>0.011578339711575</v>
      </c>
      <c r="AG487" s="0" t="n">
        <f aca="false">AC487*AE487/(AE487^2+AF487^2)+AD487*AF487/(AE487^2+AF487^2)</f>
        <v>173.824075205678</v>
      </c>
      <c r="AH487" s="0" t="n">
        <f aca="false">AD487*AE487/(AE487^2+AF487^2)-AC487*AF487/(AE487^2+AF487^2)</f>
        <v>-730.398310608204</v>
      </c>
      <c r="AJ487" s="0" t="n">
        <f aca="false">_Rfb1</f>
        <v>20000</v>
      </c>
      <c r="AK487" s="0" t="n">
        <f aca="false">_Rfb1*Rcea2_u*Cc3ea_u*A487*2*Pi</f>
        <v>2022693.06487248</v>
      </c>
      <c r="AL487" s="0" t="n">
        <v>1</v>
      </c>
      <c r="AM487" s="0" t="n">
        <f aca="false">(_Rfb1+Rcea2_u)*Cc3ea_u*A487*2*Pi</f>
        <v>37837.9455650436</v>
      </c>
      <c r="AN487" s="0" t="n">
        <f aca="false">AJ487*AL487/(AL487^2+AM487^2)+AK487*AM487/(AL487^2+AM487^2)</f>
        <v>53.4567498796308</v>
      </c>
      <c r="AO487" s="0" t="n">
        <f aca="false">AK487*AL487/(AL487^2+AM487^2)-AJ487*AM487/(AL487^2+AM487^2)</f>
        <v>-0.527157142182367</v>
      </c>
      <c r="AQ487" s="0" t="n">
        <f aca="false">Eadcg/(1+(Eadcg*A487/GBP)^2)</f>
        <v>0.0061104682684257</v>
      </c>
      <c r="AR487" s="0" t="n">
        <f aca="false">-(A487*Eadcg*Eadcg/GBP)/(1+(Eadcg*A487/GBP)^2)</f>
        <v>-4.39559590123337</v>
      </c>
      <c r="AT487" s="0" t="n">
        <f aca="false">-AR487*AH487+AG487*AQ487</f>
        <v>-3209.47367388136</v>
      </c>
      <c r="AU487" s="0" t="n">
        <f aca="false">AQ487*AH487+AG487*AR487</f>
        <v>-768.523468210041</v>
      </c>
      <c r="AV487" s="0" t="n">
        <f aca="false">ATAN2(AT487,AU487)</f>
        <v>-2.90656336378801</v>
      </c>
      <c r="AW487" s="0" t="n">
        <f aca="false">AG487-AH487*AO487/_Rfb2+AG487*AN487/_Rfb2+AN487-AO487*AR487+AQ487*AN487</f>
        <v>229.298467027062</v>
      </c>
      <c r="AX487" s="0" t="n">
        <f aca="false">AH487+AH487*AN487/_Rfb2+AG487*AO487/_Rfb2+AO487+AO487*AQ487+AN487*AR487</f>
        <v>-983.514318173975</v>
      </c>
      <c r="AY487" s="0" t="n">
        <f aca="false">ATAN2(AW487,AX487)</f>
        <v>-1.34174588249845</v>
      </c>
      <c r="BA487" s="0" t="n">
        <f aca="false">SQRT(AT487^2+AU487^2)/SQRT(AW487^2+AX487^2)</f>
        <v>3.26788446949348</v>
      </c>
      <c r="BB487" s="0" t="n">
        <f aca="false">20*LOG(BA487)</f>
        <v>10.285333887756</v>
      </c>
      <c r="BC487" s="0" t="n">
        <f aca="false">AV487-AY487</f>
        <v>-1.56481748128956</v>
      </c>
      <c r="BD487" s="0" t="n">
        <f aca="false">BC487*180/Pi-180</f>
        <v>-269.657437488632</v>
      </c>
      <c r="BF487" s="0" t="n">
        <f aca="false">20*LOG(BA487*J487*F487*C487)</f>
        <v>-30.6271827745275</v>
      </c>
      <c r="BG487" s="0" t="n">
        <f aca="false">(180/Pi)*(D487+H487+BC487)</f>
        <v>-268.028581951784</v>
      </c>
      <c r="BH487" s="0" t="n">
        <f aca="false">IF(BG487&gt;180,BG487-180,BG487+180)</f>
        <v>-88.0285819517836</v>
      </c>
      <c r="BI487" s="0" t="n">
        <f aca="false">IF(BH487&gt;180,BH487-360,BH487)</f>
        <v>-88.0285819517836</v>
      </c>
      <c r="BJ487" s="0" t="n">
        <f aca="false">SUM((BF488&lt;0)*(BF487&gt;0))*A487</f>
        <v>0</v>
      </c>
      <c r="BK487" s="0" t="n">
        <f aca="false">IF(BJ487&gt;0,BI487,0)</f>
        <v>0</v>
      </c>
      <c r="BM487" s="0" t="n">
        <f aca="false">20*LOG(J487*F487*C487)</f>
        <v>-40.9125166622836</v>
      </c>
      <c r="BN487" s="0" t="n">
        <f aca="false">(H487+D487)*180/Pi</f>
        <v>-178.371144463151</v>
      </c>
      <c r="BQ487" s="347" t="n">
        <f aca="false">20*LOG(BA487*7)</f>
        <v>27.1872946880412</v>
      </c>
    </row>
    <row r="488" customFormat="false" ht="12.75" hidden="false" customHeight="false" outlineLevel="0" collapsed="false">
      <c r="A488" s="0" t="n">
        <f aca="false">A487+5000</f>
        <v>1370000</v>
      </c>
      <c r="B488" s="0" t="n">
        <f aca="false">A488/1000</f>
        <v>1370</v>
      </c>
      <c r="C488" s="0" t="n">
        <f aca="false">SQRT((A488/Fesr)^2+1)</f>
        <v>1.00003704783465</v>
      </c>
      <c r="D488" s="0" t="n">
        <f aca="false">ATAN(A488/Fesr)</f>
        <v>0.00860775126223225</v>
      </c>
      <c r="F488" s="0" t="n">
        <f aca="false">(Ro/(Ro+Rdcr))/SQRT((A488/(Q*Fo))^2+(1-(A488^2/Fo^2))^2)</f>
        <v>0.000992972654196402</v>
      </c>
      <c r="G488" s="0" t="n">
        <f aca="false">-ATAN(A488*Fo/(Q*(Fo^2-A488^2)))</f>
        <v>0.0197799735730721</v>
      </c>
      <c r="H488" s="0" t="n">
        <f aca="false">IF(G488&gt;0,G488-Pi,G488)</f>
        <v>-3.12181267642693</v>
      </c>
      <c r="J488" s="0" t="n">
        <f aca="false">Vin/Vramp</f>
        <v>9</v>
      </c>
      <c r="M488" s="0" t="n">
        <f aca="false">1/(2*Pi*_Rfb1*(Cc1ea_u+Cc2ea_u)*A488)</f>
        <v>0.00430264783113697</v>
      </c>
      <c r="N488" s="0" t="n">
        <f aca="false">-Pi/2</f>
        <v>-1.570796325</v>
      </c>
      <c r="O488" s="0" t="n">
        <f aca="false">SQRT(1+(A488/Fz1_u)^2)</f>
        <v>33.4826999079753</v>
      </c>
      <c r="P488" s="0" t="n">
        <f aca="false">ATAN2(Fz1_u,A488)</f>
        <v>1.54092571519139</v>
      </c>
      <c r="Q488" s="0" t="n">
        <f aca="false">SQRT(1+(A488/Fz2_u)^2)</f>
        <v>37976.5461114149</v>
      </c>
      <c r="R488" s="0" t="n">
        <f aca="false">ATAN2(Fz2_u,A488)</f>
        <v>1.57076999475308</v>
      </c>
      <c r="S488" s="0" t="n">
        <f aca="false">1/SQRT(1+(A488/Fp1_u)^2)</f>
        <v>0.00985124272875949</v>
      </c>
      <c r="T488" s="0" t="n">
        <f aca="false">-ATAN2(Fp1_u,A488)</f>
        <v>-1.56094492472028</v>
      </c>
      <c r="U488" s="0" t="n">
        <f aca="false">1/SQRT(1+(A488/Fp2_u)^2)</f>
        <v>0.259689576514049</v>
      </c>
      <c r="V488" s="0" t="n">
        <f aca="false">-ATAN2(Fp2_u,A488)</f>
        <v>-1.30809558959397</v>
      </c>
      <c r="X488" s="0" t="n">
        <f aca="false">20*LOG(C488*J488*O488*Q488*F488*M488*S488*U488)</f>
        <v>-18.0557367859161</v>
      </c>
      <c r="Y488" s="0" t="n">
        <f aca="false">(180/Pi)*(D488+H488+N488+P488+R488+T488+V488)</f>
        <v>-254.47038457268</v>
      </c>
      <c r="Z488" s="0" t="n">
        <f aca="false">Y488+180</f>
        <v>-74.4703845726799</v>
      </c>
      <c r="AC488" s="0" t="n">
        <v>1</v>
      </c>
      <c r="AD488" s="0" t="n">
        <f aca="false">Rcea1_u*Cc1ea_u*A488*2*Pi</f>
        <v>33.467763491568</v>
      </c>
      <c r="AE488" s="0" t="n">
        <f aca="false">-Rcea1_u*Cc1ea_u*Cc2ea_u*(A488*2*Pi)^2</f>
        <v>-0.0432133947965869</v>
      </c>
      <c r="AF488" s="0" t="n">
        <f aca="false">(Cc2ea_u+Cc1ea_u)*A488*2*Pi</f>
        <v>0.01162075121235</v>
      </c>
      <c r="AG488" s="0" t="n">
        <f aca="false">AC488*AE488/(AE488^2+AF488^2)+AD488*AF488/(AE488^2+AF488^2)</f>
        <v>172.643010944118</v>
      </c>
      <c r="AH488" s="0" t="n">
        <f aca="false">AD488*AE488/(AE488^2+AF488^2)-AC488*AF488/(AE488^2+AF488^2)</f>
        <v>-728.050229817175</v>
      </c>
      <c r="AJ488" s="0" t="n">
        <f aca="false">_Rfb1</f>
        <v>20000</v>
      </c>
      <c r="AK488" s="0" t="n">
        <f aca="false">_Rfb1*Rcea2_u*Cc3ea_u*A488*2*Pi</f>
        <v>2030102.19697824</v>
      </c>
      <c r="AL488" s="0" t="n">
        <v>1</v>
      </c>
      <c r="AM488" s="0" t="n">
        <f aca="false">(_Rfb1+Rcea2_u)*Cc3ea_u*A488*2*Pi</f>
        <v>37976.5460982489</v>
      </c>
      <c r="AN488" s="0" t="n">
        <f aca="false">AJ488*AL488/(AL488^2+AM488^2)+AK488*AM488/(AL488^2+AM488^2)</f>
        <v>53.4567497781231</v>
      </c>
      <c r="AO488" s="0" t="n">
        <f aca="false">AK488*AL488/(AL488^2+AM488^2)-AJ488*AM488/(AL488^2+AM488^2)</f>
        <v>-0.525233211009192</v>
      </c>
      <c r="AQ488" s="0" t="n">
        <f aca="false">Eadcg/(1+(Eadcg*A488/GBP)^2)</f>
        <v>0.00606594778610441</v>
      </c>
      <c r="AR488" s="0" t="n">
        <f aca="false">-(A488*Eadcg*Eadcg/GBP)/(1+(Eadcg*A488/GBP)^2)</f>
        <v>-4.37955364208952</v>
      </c>
      <c r="AT488" s="0" t="n">
        <f aca="false">-AR488*AH488+AG488*AQ488</f>
        <v>-3187.4877921299</v>
      </c>
      <c r="AU488" s="0" t="n">
        <f aca="false">AQ488*AH488+AG488*AR488</f>
        <v>-760.515642041344</v>
      </c>
      <c r="AV488" s="0" t="n">
        <f aca="false">ATAN2(AT488,AU488)</f>
        <v>-2.90737746814315</v>
      </c>
      <c r="AW488" s="0" t="n">
        <f aca="false">AG488-AH488*AO488/_Rfb2+AG488*AN488/_Rfb2+AN488-AO488*AR488+AQ488*AN488</f>
        <v>228.104681687638</v>
      </c>
      <c r="AX488" s="0" t="n">
        <f aca="false">AH488+AH488*AN488/_Rfb2+AG488*AO488/_Rfb2+AO488+AO488*AQ488+AN488*AR488</f>
        <v>-980.249796812372</v>
      </c>
      <c r="AY488" s="0" t="n">
        <f aca="false">ATAN2(AW488,AX488)</f>
        <v>-1.34216457377776</v>
      </c>
      <c r="BA488" s="0" t="n">
        <f aca="false">SQRT(AT488^2+AU488^2)/SQRT(AW488^2+AX488^2)</f>
        <v>3.25599085432914</v>
      </c>
      <c r="BB488" s="0" t="n">
        <f aca="false">20*LOG(BA488)</f>
        <v>10.2536635268005</v>
      </c>
      <c r="BC488" s="0" t="n">
        <f aca="false">AV488-AY488</f>
        <v>-1.5652128943654</v>
      </c>
      <c r="BD488" s="0" t="n">
        <f aca="false">BC488*180/Pi-180</f>
        <v>-269.680092989068</v>
      </c>
      <c r="BF488" s="0" t="n">
        <f aca="false">20*LOG(BA488*J488*F488*C488)</f>
        <v>-30.7224187273679</v>
      </c>
      <c r="BG488" s="0" t="n">
        <f aca="false">(180/Pi)*(D488+H488+BC488)</f>
        <v>-268.053596164167</v>
      </c>
      <c r="BH488" s="0" t="n">
        <f aca="false">IF(BG488&gt;180,BG488-180,BG488+180)</f>
        <v>-88.0535961641674</v>
      </c>
      <c r="BI488" s="0" t="n">
        <f aca="false">IF(BH488&gt;180,BH488-360,BH488)</f>
        <v>-88.0535961641674</v>
      </c>
      <c r="BJ488" s="0" t="n">
        <f aca="false">SUM((BF489&lt;0)*(BF488&gt;0))*A488</f>
        <v>0</v>
      </c>
      <c r="BK488" s="0" t="n">
        <f aca="false">IF(BJ488&gt;0,BI488,0)</f>
        <v>0</v>
      </c>
      <c r="BM488" s="0" t="n">
        <f aca="false">20*LOG(J488*F488*C488)</f>
        <v>-40.9760822541684</v>
      </c>
      <c r="BN488" s="0" t="n">
        <f aca="false">(H488+D488)*180/Pi</f>
        <v>-178.3735031751</v>
      </c>
      <c r="BQ488" s="347" t="n">
        <f aca="false">20*LOG(BA488*7)</f>
        <v>27.1556243270856</v>
      </c>
    </row>
    <row r="489" customFormat="false" ht="12.75" hidden="false" customHeight="false" outlineLevel="0" collapsed="false">
      <c r="A489" s="0" t="n">
        <f aca="false">A488+5000</f>
        <v>1375000</v>
      </c>
      <c r="B489" s="0" t="n">
        <f aca="false">A489/1000</f>
        <v>1375</v>
      </c>
      <c r="C489" s="0" t="n">
        <f aca="false">SQRT((A489/Fesr)^2+1)</f>
        <v>1.00003731874521</v>
      </c>
      <c r="D489" s="0" t="n">
        <f aca="false">ATAN(A489/Fesr)</f>
        <v>0.00863916485257271</v>
      </c>
      <c r="F489" s="0" t="n">
        <f aca="false">(Ro/(Ro+Rdcr))/SQRT((A489/(Q*Fo))^2+(1-(A489^2/Fo^2))^2)</f>
        <v>0.00098575840591089</v>
      </c>
      <c r="G489" s="0" t="n">
        <f aca="false">-ATAN(A489*Fo/(Q*(Fo^2-A489^2)))</f>
        <v>0.0197079219091014</v>
      </c>
      <c r="H489" s="0" t="n">
        <f aca="false">IF(G489&gt;0,G489-Pi,G489)</f>
        <v>-3.1218847280909</v>
      </c>
      <c r="J489" s="0" t="n">
        <f aca="false">Vin/Vramp</f>
        <v>9</v>
      </c>
      <c r="M489" s="0" t="n">
        <f aca="false">1/(2*Pi*_Rfb1*(Cc1ea_u+Cc2ea_u)*A489)</f>
        <v>0.00428700183902374</v>
      </c>
      <c r="N489" s="0" t="n">
        <f aca="false">-Pi/2</f>
        <v>-1.570796325</v>
      </c>
      <c r="O489" s="0" t="n">
        <f aca="false">SQRT(1+(A489/Fz1_u)^2)</f>
        <v>33.6047907400632</v>
      </c>
      <c r="P489" s="0" t="n">
        <f aca="false">ATAN2(Fz1_u,A489)</f>
        <v>1.54103427134915</v>
      </c>
      <c r="Q489" s="0" t="n">
        <f aca="false">SQRT(1+(A489/Fz2_u)^2)</f>
        <v>38115.1466445723</v>
      </c>
      <c r="R489" s="0" t="n">
        <f aca="false">ATAN2(Fz2_u,A489)</f>
        <v>1.57077009050596</v>
      </c>
      <c r="S489" s="0" t="n">
        <f aca="false">1/SQRT(1+(A489/Fp1_u)^2)</f>
        <v>0.00981542348547485</v>
      </c>
      <c r="T489" s="0" t="n">
        <f aca="false">-ATAN2(Fp1_u,A489)</f>
        <v>-1.56098074569545</v>
      </c>
      <c r="U489" s="0" t="n">
        <f aca="false">1/SQRT(1+(A489/Fp2_u)^2)</f>
        <v>0.258808611177426</v>
      </c>
      <c r="V489" s="0" t="n">
        <f aca="false">-ATAN2(Fp2_u,A489)</f>
        <v>-1.30900774097423</v>
      </c>
      <c r="X489" s="0" t="n">
        <f aca="false">20*LOG(C489*J489*O489*Q489*F489*M489*S489*U489)</f>
        <v>-18.1486114005668</v>
      </c>
      <c r="Y489" s="0" t="n">
        <f aca="false">(180/Pi)*(D489+H489+N489+P489+R489+T489+V489)</f>
        <v>-254.52080248199</v>
      </c>
      <c r="Z489" s="0" t="n">
        <f aca="false">Y489+180</f>
        <v>-74.52080248199</v>
      </c>
      <c r="AC489" s="0" t="n">
        <v>1</v>
      </c>
      <c r="AD489" s="0" t="n">
        <f aca="false">Rcea1_u*Cc1ea_u*A489*2*Pi</f>
        <v>33.5899086138</v>
      </c>
      <c r="AE489" s="0" t="n">
        <f aca="false">-Rcea1_u*Cc1ea_u*Cc2ea_u*(A489*2*Pi)^2</f>
        <v>-0.0435293966313054</v>
      </c>
      <c r="AF489" s="0" t="n">
        <f aca="false">(Cc2ea_u+Cc1ea_u)*A489*2*Pi</f>
        <v>0.011663162713125</v>
      </c>
      <c r="AG489" s="0" t="n">
        <f aca="false">AC489*AE489/(AE489^2+AF489^2)+AD489*AF489/(AE489^2+AF489^2)</f>
        <v>171.473656882146</v>
      </c>
      <c r="AH489" s="0" t="n">
        <f aca="false">AD489*AE489/(AE489^2+AF489^2)-AC489*AF489/(AE489^2+AF489^2)</f>
        <v>-725.716088374405</v>
      </c>
      <c r="AJ489" s="0" t="n">
        <f aca="false">_Rfb1</f>
        <v>20000</v>
      </c>
      <c r="AK489" s="0" t="n">
        <f aca="false">_Rfb1*Rcea2_u*Cc3ea_u*A489*2*Pi</f>
        <v>2037511.329084</v>
      </c>
      <c r="AL489" s="0" t="n">
        <v>1</v>
      </c>
      <c r="AM489" s="0" t="n">
        <f aca="false">(_Rfb1+Rcea2_u)*Cc3ea_u*A489*2*Pi</f>
        <v>38115.1466314542</v>
      </c>
      <c r="AN489" s="0" t="n">
        <f aca="false">AJ489*AL489/(AL489^2+AM489^2)+AK489*AM489/(AL489^2+AM489^2)</f>
        <v>53.4567496777209</v>
      </c>
      <c r="AO489" s="0" t="n">
        <f aca="false">AK489*AL489/(AL489^2+AM489^2)-AJ489*AM489/(AL489^2+AM489^2)</f>
        <v>-0.523323272062702</v>
      </c>
      <c r="AQ489" s="0" t="n">
        <f aca="false">Eadcg/(1+(Eadcg*A489/GBP)^2)</f>
        <v>0.00602191209694978</v>
      </c>
      <c r="AR489" s="0" t="n">
        <f aca="false">-(A489*Eadcg*Eadcg/GBP)/(1+(Eadcg*A489/GBP)^2)</f>
        <v>-4.36362805325224</v>
      </c>
      <c r="AT489" s="0" t="n">
        <f aca="false">-AR489*AH489+AG489*AQ489</f>
        <v>-3165.72248263835</v>
      </c>
      <c r="AU489" s="0" t="n">
        <f aca="false">AQ489*AH489+AG489*AR489</f>
        <v>-752.617458056213</v>
      </c>
      <c r="AV489" s="0" t="n">
        <f aca="false">ATAN2(AT489,AU489)</f>
        <v>-2.90818609994052</v>
      </c>
      <c r="AW489" s="0" t="n">
        <f aca="false">AG489-AH489*AO489/_Rfb2+AG489*AN489/_Rfb2+AN489-AO489*AR489+AQ489*AN489</f>
        <v>226.922718401964</v>
      </c>
      <c r="AX489" s="0" t="n">
        <f aca="false">AH489+AH489*AN489/_Rfb2+AG489*AO489/_Rfb2+AO489+AO489*AQ489+AN489*AR489</f>
        <v>-977.005807325429</v>
      </c>
      <c r="AY489" s="0" t="n">
        <f aca="false">ATAN2(AW489,AX489)</f>
        <v>-1.34257929563994</v>
      </c>
      <c r="BA489" s="0" t="n">
        <f aca="false">SQRT(AT489^2+AU489^2)/SQRT(AW489^2+AX489^2)</f>
        <v>3.24418292952068</v>
      </c>
      <c r="BB489" s="0" t="n">
        <f aca="false">20*LOG(BA489)</f>
        <v>10.2221066952554</v>
      </c>
      <c r="BC489" s="0" t="n">
        <f aca="false">AV489-AY489</f>
        <v>-1.56560680430058</v>
      </c>
      <c r="BD489" s="0" t="n">
        <f aca="false">BC489*180/Pi-180</f>
        <v>-269.702662365888</v>
      </c>
      <c r="BF489" s="0" t="n">
        <f aca="false">20*LOG(BA489*J489*F489*C489)</f>
        <v>-30.8173091926272</v>
      </c>
      <c r="BG489" s="0" t="n">
        <f aca="false">(180/Pi)*(D489+H489+BC489)</f>
        <v>-268.078493931097</v>
      </c>
      <c r="BH489" s="0" t="n">
        <f aca="false">IF(BG489&gt;180,BG489-180,BG489+180)</f>
        <v>-88.0784939310965</v>
      </c>
      <c r="BI489" s="0" t="n">
        <f aca="false">IF(BH489&gt;180,BH489-360,BH489)</f>
        <v>-88.0784939310965</v>
      </c>
      <c r="BJ489" s="0" t="n">
        <f aca="false">SUM((BF490&lt;0)*(BF489&gt;0))*A489</f>
        <v>0</v>
      </c>
      <c r="BK489" s="0" t="n">
        <f aca="false">IF(BJ489&gt;0,BI489,0)</f>
        <v>0</v>
      </c>
      <c r="BM489" s="0" t="n">
        <f aca="false">20*LOG(J489*F489*C489)</f>
        <v>-41.0394158878826</v>
      </c>
      <c r="BN489" s="0" t="n">
        <f aca="false">(H489+D489)*180/Pi</f>
        <v>-178.375831565209</v>
      </c>
      <c r="BQ489" s="347" t="n">
        <f aca="false">20*LOG(BA489*7)</f>
        <v>27.1240674955405</v>
      </c>
    </row>
    <row r="490" customFormat="false" ht="12.75" hidden="false" customHeight="false" outlineLevel="0" collapsed="false">
      <c r="A490" s="0" t="n">
        <f aca="false">A489+5000</f>
        <v>1380000</v>
      </c>
      <c r="B490" s="0" t="n">
        <f aca="false">A490/1000</f>
        <v>1380</v>
      </c>
      <c r="C490" s="0" t="n">
        <f aca="false">SQRT((A490/Fesr)^2+1)</f>
        <v>1.00003759064263</v>
      </c>
      <c r="D490" s="0" t="n">
        <f aca="false">ATAN(A490/Fesr)</f>
        <v>0.00867057842586227</v>
      </c>
      <c r="F490" s="0" t="n">
        <f aca="false">(Ro/(Ro+Rdcr))/SQRT((A490/(Q*Fo))^2+(1-(A490^2/Fo^2))^2)</f>
        <v>0.000978622514135112</v>
      </c>
      <c r="G490" s="0" t="n">
        <f aca="false">-ATAN(A490*Fo/(Q*(Fo^2-A490^2)))</f>
        <v>0.0196363937057178</v>
      </c>
      <c r="H490" s="0" t="n">
        <f aca="false">IF(G490&gt;0,G490-Pi,G490)</f>
        <v>-3.12195625629428</v>
      </c>
      <c r="J490" s="0" t="n">
        <f aca="false">Vin/Vramp</f>
        <v>9</v>
      </c>
      <c r="M490" s="0" t="n">
        <f aca="false">1/(2*Pi*_Rfb1*(Cc1ea_u+Cc2ea_u)*A490)</f>
        <v>0.00427146922366496</v>
      </c>
      <c r="N490" s="0" t="n">
        <f aca="false">-Pi/2</f>
        <v>-1.570796325</v>
      </c>
      <c r="O490" s="0" t="n">
        <f aca="false">SQRT(1+(A490/Fz1_u)^2)</f>
        <v>33.7268819652975</v>
      </c>
      <c r="P490" s="0" t="n">
        <f aca="false">ATAN2(Fz1_u,A490)</f>
        <v>1.54114204156215</v>
      </c>
      <c r="Q490" s="0" t="n">
        <f aca="false">SQRT(1+(A490/Fz2_u)^2)</f>
        <v>38253.7471777301</v>
      </c>
      <c r="R490" s="0" t="n">
        <f aca="false">ATAN2(Fz2_u,A490)</f>
        <v>1.57077018556498</v>
      </c>
      <c r="S490" s="0" t="n">
        <f aca="false">1/SQRT(1+(A490/Fp1_u)^2)</f>
        <v>0.00977986376454975</v>
      </c>
      <c r="T490" s="0" t="n">
        <f aca="false">-ATAN2(Fp1_u,A490)</f>
        <v>-1.56101630712326</v>
      </c>
      <c r="U490" s="0" t="n">
        <f aca="false">1/SQRT(1+(A490/Fp2_u)^2)</f>
        <v>0.257933390334497</v>
      </c>
      <c r="V490" s="0" t="n">
        <f aca="false">-ATAN2(Fp2_u,A490)</f>
        <v>-1.30991372380469</v>
      </c>
      <c r="X490" s="0" t="n">
        <f aca="false">20*LOG(C490*J490*O490*Q490*F490*M490*S490*U490)</f>
        <v>-18.2411626670636</v>
      </c>
      <c r="Y490" s="0" t="n">
        <f aca="false">(180/Pi)*(D490+H490+N490+P490+R490+T490+V490)</f>
        <v>-254.570867168429</v>
      </c>
      <c r="Z490" s="0" t="n">
        <f aca="false">Y490+180</f>
        <v>-74.5708671684286</v>
      </c>
      <c r="AC490" s="0" t="n">
        <v>1</v>
      </c>
      <c r="AD490" s="0" t="n">
        <f aca="false">Rcea1_u*Cc1ea_u*A490*2*Pi</f>
        <v>33.712053736032</v>
      </c>
      <c r="AE490" s="0" t="n">
        <f aca="false">-Rcea1_u*Cc1ea_u*Cc2ea_u*(A490*2*Pi)^2</f>
        <v>-0.0438465496566786</v>
      </c>
      <c r="AF490" s="0" t="n">
        <f aca="false">(Cc2ea_u+Cc1ea_u)*A490*2*Pi</f>
        <v>0.0117055742139</v>
      </c>
      <c r="AG490" s="0" t="n">
        <f aca="false">AC490*AE490/(AE490^2+AF490^2)+AD490*AF490/(AE490^2+AF490^2)</f>
        <v>170.315862654587</v>
      </c>
      <c r="AH490" s="0" t="n">
        <f aca="false">AD490*AE490/(AE490^2+AF490^2)-AC490*AF490/(AE490^2+AF490^2)</f>
        <v>-723.395774907754</v>
      </c>
      <c r="AJ490" s="0" t="n">
        <f aca="false">_Rfb1</f>
        <v>20000</v>
      </c>
      <c r="AK490" s="0" t="n">
        <f aca="false">_Rfb1*Rcea2_u*Cc3ea_u*A490*2*Pi</f>
        <v>2044920.46118976</v>
      </c>
      <c r="AL490" s="0" t="n">
        <v>1</v>
      </c>
      <c r="AM490" s="0" t="n">
        <f aca="false">(_Rfb1+Rcea2_u)*Cc3ea_u*A490*2*Pi</f>
        <v>38253.7471646595</v>
      </c>
      <c r="AN490" s="0" t="n">
        <f aca="false">AJ490*AL490/(AL490^2+AM490^2)+AK490*AM490/(AL490^2+AM490^2)</f>
        <v>53.4567495784079</v>
      </c>
      <c r="AO490" s="0" t="n">
        <f aca="false">AK490*AL490/(AL490^2+AM490^2)-AJ490*AM490/(AL490^2+AM490^2)</f>
        <v>-0.521427173253477</v>
      </c>
      <c r="AQ490" s="0" t="n">
        <f aca="false">Eadcg/(1+(Eadcg*A490/GBP)^2)</f>
        <v>0.00597835418773981</v>
      </c>
      <c r="AR490" s="0" t="n">
        <f aca="false">-(A490*Eadcg*Eadcg/GBP)/(1+(Eadcg*A490/GBP)^2)</f>
        <v>-4.34781786657566</v>
      </c>
      <c r="AT490" s="0" t="n">
        <f aca="false">-AR490*AH490+AG490*AQ490</f>
        <v>-3144.17486619854</v>
      </c>
      <c r="AU490" s="0" t="n">
        <f aca="false">AQ490*AH490+AG490*AR490</f>
        <v>-744.827066771174</v>
      </c>
      <c r="AV490" s="0" t="n">
        <f aca="false">ATAN2(AT490,AU490)</f>
        <v>-2.90898931263598</v>
      </c>
      <c r="AW490" s="0" t="n">
        <f aca="false">AG490-AH490*AO490/_Rfb2+AG490*AN490/_Rfb2+AN490-AO490*AR490+AQ490*AN490</f>
        <v>225.752425628007</v>
      </c>
      <c r="AX490" s="0" t="n">
        <f aca="false">AH490+AH490*AN490/_Rfb2+AG490*AO490/_Rfb2+AO490+AO490*AQ490+AN490*AR490</f>
        <v>-973.782167610261</v>
      </c>
      <c r="AY490" s="0" t="n">
        <f aca="false">ATAN2(AW490,AX490)</f>
        <v>-1.34299008543064</v>
      </c>
      <c r="BA490" s="0" t="n">
        <f aca="false">SQRT(AT490^2+AU490^2)/SQRT(AW490^2+AX490^2)</f>
        <v>3.23245977359659</v>
      </c>
      <c r="BB490" s="0" t="n">
        <f aca="false">20*LOG(BA490)</f>
        <v>10.1906625800124</v>
      </c>
      <c r="BC490" s="0" t="n">
        <f aca="false">AV490-AY490</f>
        <v>-1.56599922720535</v>
      </c>
      <c r="BD490" s="0" t="n">
        <f aca="false">BC490*180/Pi-180</f>
        <v>-269.725146542141</v>
      </c>
      <c r="BF490" s="0" t="n">
        <f aca="false">20*LOG(BA490*J490*F490*C490)</f>
        <v>-30.9118566712937</v>
      </c>
      <c r="BG490" s="0" t="n">
        <f aca="false">(180/Pi)*(D490+H490+BC490)</f>
        <v>-268.103276506354</v>
      </c>
      <c r="BH490" s="0" t="n">
        <f aca="false">IF(BG490&gt;180,BG490-180,BG490+180)</f>
        <v>-88.1032765063537</v>
      </c>
      <c r="BI490" s="0" t="n">
        <f aca="false">IF(BH490&gt;180,BH490-360,BH490)</f>
        <v>-88.1032765063537</v>
      </c>
      <c r="BJ490" s="0" t="n">
        <f aca="false">SUM((BF491&lt;0)*(BF490&gt;0))*A490</f>
        <v>0</v>
      </c>
      <c r="BK490" s="0" t="n">
        <f aca="false">IF(BJ490&gt;0,BI490,0)</f>
        <v>0</v>
      </c>
      <c r="BM490" s="0" t="n">
        <f aca="false">20*LOG(J490*F490*C490)</f>
        <v>-41.1025192513061</v>
      </c>
      <c r="BN490" s="0" t="n">
        <f aca="false">(H490+D490)*180/Pi</f>
        <v>-178.378129964213</v>
      </c>
      <c r="BQ490" s="347" t="n">
        <f aca="false">20*LOG(BA490*7)</f>
        <v>27.0926233802975</v>
      </c>
    </row>
    <row r="491" customFormat="false" ht="12.75" hidden="false" customHeight="false" outlineLevel="0" collapsed="false">
      <c r="A491" s="0" t="n">
        <f aca="false">A490+5000</f>
        <v>1385000</v>
      </c>
      <c r="B491" s="0" t="n">
        <f aca="false">A491/1000</f>
        <v>1385</v>
      </c>
      <c r="C491" s="0" t="n">
        <f aca="false">SQRT((A491/Fesr)^2+1)</f>
        <v>1.00003786352689</v>
      </c>
      <c r="D491" s="0" t="n">
        <f aca="false">ATAN(A491/Fesr)</f>
        <v>0.00870199198203893</v>
      </c>
      <c r="F491" s="0" t="n">
        <f aca="false">(Ro/(Ro+Rdcr))/SQRT((A491/(Q*Fo))^2+(1-(A491^2/Fo^2))^2)</f>
        <v>0.000971563847925185</v>
      </c>
      <c r="G491" s="0" t="n">
        <f aca="false">-ATAN(A491*Fo/(Q*(Fo^2-A491^2)))</f>
        <v>0.0195653832743027</v>
      </c>
      <c r="H491" s="0" t="n">
        <f aca="false">IF(G491&gt;0,G491-Pi,G491)</f>
        <v>-3.1220272667257</v>
      </c>
      <c r="J491" s="0" t="n">
        <f aca="false">Vin/Vramp</f>
        <v>9</v>
      </c>
      <c r="M491" s="0" t="n">
        <f aca="false">1/(2*Pi*_Rfb1*(Cc1ea_u+Cc2ea_u)*A491)</f>
        <v>0.00425604875715353</v>
      </c>
      <c r="N491" s="0" t="n">
        <f aca="false">-Pi/2</f>
        <v>-1.570796325</v>
      </c>
      <c r="O491" s="0" t="n">
        <f aca="false">SQRT(1+(A491/Fz1_u)^2)</f>
        <v>33.8489735794241</v>
      </c>
      <c r="P491" s="0" t="n">
        <f aca="false">ATAN2(Fz1_u,A491)</f>
        <v>1.54124903433248</v>
      </c>
      <c r="Q491" s="0" t="n">
        <f aca="false">SQRT(1+(A491/Fz2_u)^2)</f>
        <v>38392.3477108882</v>
      </c>
      <c r="R491" s="0" t="n">
        <f aca="false">ATAN2(Fz2_u,A491)</f>
        <v>1.57077027993765</v>
      </c>
      <c r="S491" s="0" t="n">
        <f aca="false">1/SQRT(1+(A491/Fp1_u)^2)</f>
        <v>0.00974456075580944</v>
      </c>
      <c r="T491" s="0" t="n">
        <f aca="false">-ATAN2(Fp1_u,A491)</f>
        <v>-1.56105161181432</v>
      </c>
      <c r="U491" s="0" t="n">
        <f aca="false">1/SQRT(1+(A491/Fp2_u)^2)</f>
        <v>0.25706386019141</v>
      </c>
      <c r="V491" s="0" t="n">
        <f aca="false">-ATAN2(Fp2_u,A491)</f>
        <v>-1.31081359897567</v>
      </c>
      <c r="X491" s="0" t="n">
        <f aca="false">20*LOG(C491*J491*O491*Q491*F491*M491*S491*U491)</f>
        <v>-18.3333927891821</v>
      </c>
      <c r="Y491" s="0" t="n">
        <f aca="false">(180/Pi)*(D491+H491+N491+P491+R491+T491+V491)</f>
        <v>-254.620582120166</v>
      </c>
      <c r="Z491" s="0" t="n">
        <f aca="false">Y491+180</f>
        <v>-74.6205821201657</v>
      </c>
      <c r="AC491" s="0" t="n">
        <v>1</v>
      </c>
      <c r="AD491" s="0" t="n">
        <f aca="false">Rcea1_u*Cc1ea_u*A491*2*Pi</f>
        <v>33.834198858264</v>
      </c>
      <c r="AE491" s="0" t="n">
        <f aca="false">-Rcea1_u*Cc1ea_u*Cc2ea_u*(A491*2*Pi)^2</f>
        <v>-0.0441648538727065</v>
      </c>
      <c r="AF491" s="0" t="n">
        <f aca="false">(Cc2ea_u+Cc1ea_u)*A491*2*Pi</f>
        <v>0.011747985714675</v>
      </c>
      <c r="AG491" s="0" t="n">
        <f aca="false">AC491*AE491/(AE491^2+AF491^2)+AD491*AF491/(AE491^2+AF491^2)</f>
        <v>169.169480234263</v>
      </c>
      <c r="AH491" s="0" t="n">
        <f aca="false">AD491*AE491/(AE491^2+AF491^2)-AC491*AF491/(AE491^2+AF491^2)</f>
        <v>-721.089179031427</v>
      </c>
      <c r="AJ491" s="0" t="n">
        <f aca="false">_Rfb1</f>
        <v>20000</v>
      </c>
      <c r="AK491" s="0" t="n">
        <f aca="false">_Rfb1*Rcea2_u*Cc3ea_u*A491*2*Pi</f>
        <v>2052329.59329552</v>
      </c>
      <c r="AL491" s="0" t="n">
        <v>1</v>
      </c>
      <c r="AM491" s="0" t="n">
        <f aca="false">(_Rfb1+Rcea2_u)*Cc3ea_u*A491*2*Pi</f>
        <v>38392.3476978648</v>
      </c>
      <c r="AN491" s="0" t="n">
        <f aca="false">AJ491*AL491/(AL491^2+AM491^2)+AK491*AM491/(AL491^2+AM491^2)</f>
        <v>53.4567494801686</v>
      </c>
      <c r="AO491" s="0" t="n">
        <f aca="false">AK491*AL491/(AL491^2+AM491^2)-AJ491*AM491/(AL491^2+AM491^2)</f>
        <v>-0.519544764688333</v>
      </c>
      <c r="AQ491" s="0" t="n">
        <f aca="false">Eadcg/(1+(Eadcg*A491/GBP)^2)</f>
        <v>0.00593526717161553</v>
      </c>
      <c r="AR491" s="0" t="n">
        <f aca="false">-(A491*Eadcg*Eadcg/GBP)/(1+(Eadcg*A491/GBP)^2)</f>
        <v>-4.33212183222632</v>
      </c>
      <c r="AT491" s="0" t="n">
        <f aca="false">-AR491*AH491+AG491*AQ491</f>
        <v>-3122.84210940172</v>
      </c>
      <c r="AU491" s="0" t="n">
        <f aca="false">AQ491*AH491+AG491*AR491</f>
        <v>-737.142655601341</v>
      </c>
      <c r="AV491" s="0" t="n">
        <f aca="false">ATAN2(AT491,AU491)</f>
        <v>-2.90978715901308</v>
      </c>
      <c r="AW491" s="0" t="n">
        <f aca="false">AG491-AH491*AO491/_Rfb2+AG491*AN491/_Rfb2+AN491-AO491*AR491+AQ491*AN491</f>
        <v>224.593654174327</v>
      </c>
      <c r="AX491" s="0" t="n">
        <f aca="false">AH491+AH491*AN491/_Rfb2+AG491*AO491/_Rfb2+AO491+AO491*AQ491+AN491*AR491</f>
        <v>-970.578697557358</v>
      </c>
      <c r="AY491" s="0" t="n">
        <f aca="false">ATAN2(AW491,AX491)</f>
        <v>-1.34339698005282</v>
      </c>
      <c r="BA491" s="0" t="n">
        <f aca="false">SQRT(AT491^2+AU491^2)/SQRT(AW491^2+AX491^2)</f>
        <v>3.22082047821522</v>
      </c>
      <c r="BB491" s="0" t="n">
        <f aca="false">20*LOG(BA491)</f>
        <v>10.159330376597</v>
      </c>
      <c r="BC491" s="0" t="n">
        <f aca="false">AV491-AY491</f>
        <v>-1.56639017896026</v>
      </c>
      <c r="BD491" s="0" t="n">
        <f aca="false">BC491*180/Pi-180</f>
        <v>-269.747546427716</v>
      </c>
      <c r="BF491" s="0" t="n">
        <f aca="false">20*LOG(BA491*J491*F491*C491)</f>
        <v>-31.0060636373505</v>
      </c>
      <c r="BG491" s="0" t="n">
        <f aca="false">(180/Pi)*(D491+H491+BC491)</f>
        <v>-268.127945125765</v>
      </c>
      <c r="BH491" s="0" t="n">
        <f aca="false">IF(BG491&gt;180,BG491-180,BG491+180)</f>
        <v>-88.1279451257645</v>
      </c>
      <c r="BI491" s="0" t="n">
        <f aca="false">IF(BH491&gt;180,BH491-360,BH491)</f>
        <v>-88.1279451257645</v>
      </c>
      <c r="BJ491" s="0" t="n">
        <f aca="false">SUM((BF492&lt;0)*(BF491&gt;0))*A491</f>
        <v>0</v>
      </c>
      <c r="BK491" s="0" t="n">
        <f aca="false">IF(BJ491&gt;0,BI491,0)</f>
        <v>0</v>
      </c>
      <c r="BM491" s="0" t="n">
        <f aca="false">20*LOG(J491*F491*C491)</f>
        <v>-41.1653940139474</v>
      </c>
      <c r="BN491" s="0" t="n">
        <f aca="false">(H491+D491)*180/Pi</f>
        <v>-178.380398698048</v>
      </c>
      <c r="BQ491" s="347" t="n">
        <f aca="false">20*LOG(BA491*7)</f>
        <v>27.0612911768821</v>
      </c>
    </row>
    <row r="492" customFormat="false" ht="12.75" hidden="false" customHeight="false" outlineLevel="0" collapsed="false">
      <c r="A492" s="0" t="n">
        <f aca="false">A491+5000</f>
        <v>1390000</v>
      </c>
      <c r="B492" s="0" t="n">
        <f aca="false">A492/1000</f>
        <v>1390</v>
      </c>
      <c r="C492" s="0" t="n">
        <f aca="false">SQRT((A492/Fesr)^2+1)</f>
        <v>1.00003813739801</v>
      </c>
      <c r="D492" s="0" t="n">
        <f aca="false">ATAN(A492/Fesr)</f>
        <v>0.00873340552104071</v>
      </c>
      <c r="F492" s="0" t="n">
        <f aca="false">(Ro/(Ro+Rdcr))/SQRT((A492/(Q*Fo))^2+(1-(A492^2/Fo^2))^2)</f>
        <v>0.000964581296673177</v>
      </c>
      <c r="G492" s="0" t="n">
        <f aca="false">-ATAN(A492*Fo/(Q*(Fo^2-A492^2)))</f>
        <v>0.0194948850084349</v>
      </c>
      <c r="H492" s="0" t="n">
        <f aca="false">IF(G492&gt;0,G492-Pi,G492)</f>
        <v>-3.12209776499157</v>
      </c>
      <c r="J492" s="0" t="n">
        <f aca="false">Vin/Vramp</f>
        <v>9</v>
      </c>
      <c r="M492" s="0" t="n">
        <f aca="false">1/(2*Pi*_Rfb1*(Cc1ea_u+Cc2ea_u)*A492)</f>
        <v>0.0042407392292501</v>
      </c>
      <c r="N492" s="0" t="n">
        <f aca="false">-Pi/2</f>
        <v>-1.570796325</v>
      </c>
      <c r="O492" s="0" t="n">
        <f aca="false">SQRT(1+(A492/Fz1_u)^2)</f>
        <v>33.9710655782501</v>
      </c>
      <c r="P492" s="0" t="n">
        <f aca="false">ATAN2(Fz1_u,A492)</f>
        <v>1.54135525804004</v>
      </c>
      <c r="Q492" s="0" t="n">
        <f aca="false">SQRT(1+(A492/Fz2_u)^2)</f>
        <v>38530.9482440466</v>
      </c>
      <c r="R492" s="0" t="n">
        <f aca="false">ATAN2(Fz2_u,A492)</f>
        <v>1.57077037363138</v>
      </c>
      <c r="S492" s="0" t="n">
        <f aca="false">1/SQRT(1+(A492/Fp1_u)^2)</f>
        <v>0.00970951168950371</v>
      </c>
      <c r="T492" s="0" t="n">
        <f aca="false">-ATAN2(Fp1_u,A492)</f>
        <v>-1.56108666253884</v>
      </c>
      <c r="U492" s="0" t="n">
        <f aca="false">1/SQRT(1+(A492/Fp2_u)^2)</f>
        <v>0.256199967592689</v>
      </c>
      <c r="V492" s="0" t="n">
        <f aca="false">-ATAN2(Fp2_u,A492)</f>
        <v>-1.31170742659887</v>
      </c>
      <c r="X492" s="0" t="n">
        <f aca="false">20*LOG(C492*J492*O492*Q492*F492*M492*S492*U492)</f>
        <v>-18.4253039485845</v>
      </c>
      <c r="Y492" s="0" t="n">
        <f aca="false">(180/Pi)*(D492+H492+N492+P492+R492+T492+V492)</f>
        <v>-254.669950780737</v>
      </c>
      <c r="Z492" s="0" t="n">
        <f aca="false">Y492+180</f>
        <v>-74.6699507807369</v>
      </c>
      <c r="AC492" s="0" t="n">
        <v>1</v>
      </c>
      <c r="AD492" s="0" t="n">
        <f aca="false">Rcea1_u*Cc1ea_u*A492*2*Pi</f>
        <v>33.956343980496</v>
      </c>
      <c r="AE492" s="0" t="n">
        <f aca="false">-Rcea1_u*Cc1ea_u*Cc2ea_u*(A492*2*Pi)^2</f>
        <v>-0.0444843092793892</v>
      </c>
      <c r="AF492" s="0" t="n">
        <f aca="false">(Cc2ea_u+Cc1ea_u)*A492*2*Pi</f>
        <v>0.01179039721545</v>
      </c>
      <c r="AG492" s="0" t="n">
        <f aca="false">AC492*AE492/(AE492^2+AF492^2)+AD492*AF492/(AE492^2+AF492^2)</f>
        <v>168.034363889907</v>
      </c>
      <c r="AH492" s="0" t="n">
        <f aca="false">AD492*AE492/(AE492^2+AF492^2)-AC492*AF492/(AE492^2+AF492^2)</f>
        <v>-718.796191339393</v>
      </c>
      <c r="AJ492" s="0" t="n">
        <f aca="false">_Rfb1</f>
        <v>20000</v>
      </c>
      <c r="AK492" s="0" t="n">
        <f aca="false">_Rfb1*Rcea2_u*Cc3ea_u*A492*2*Pi</f>
        <v>2059738.72540128</v>
      </c>
      <c r="AL492" s="0" t="n">
        <v>1</v>
      </c>
      <c r="AM492" s="0" t="n">
        <f aca="false">(_Rfb1+Rcea2_u)*Cc3ea_u*A492*2*Pi</f>
        <v>38530.9482310701</v>
      </c>
      <c r="AN492" s="0" t="n">
        <f aca="false">AJ492*AL492/(AL492^2+AM492^2)+AK492*AM492/(AL492^2+AM492^2)</f>
        <v>53.4567493829875</v>
      </c>
      <c r="AO492" s="0" t="n">
        <f aca="false">AK492*AL492/(AL492^2+AM492^2)-AJ492*AM492/(AL492^2+AM492^2)</f>
        <v>-0.517675898630826</v>
      </c>
      <c r="AQ492" s="0" t="n">
        <f aca="false">Eadcg/(1+(Eadcg*A492/GBP)^2)</f>
        <v>0.0058926442853587</v>
      </c>
      <c r="AR492" s="0" t="n">
        <f aca="false">-(A492*Eadcg*Eadcg/GBP)/(1+(Eadcg*A492/GBP)^2)</f>
        <v>-4.31653871835381</v>
      </c>
      <c r="AT492" s="0" t="n">
        <f aca="false">-AR492*AH492+AG492*AQ492</f>
        <v>-3101.72142378762</v>
      </c>
      <c r="AU492" s="0" t="n">
        <f aca="false">AQ492*AH492+AG492*AR492</f>
        <v>-729.56244801397</v>
      </c>
      <c r="AV492" s="0" t="n">
        <f aca="false">ATAN2(AT492,AU492)</f>
        <v>-2.91057969119315</v>
      </c>
      <c r="AW492" s="0" t="n">
        <f aca="false">AG492-AH492*AO492/_Rfb2+AG492*AN492/_Rfb2+AN492-AO492*AR492+AQ492*AN492</f>
        <v>223.44625715792</v>
      </c>
      <c r="AX492" s="0" t="n">
        <f aca="false">AH492+AH492*AN492/_Rfb2+AG492*AO492/_Rfb2+AO492+AO492*AQ492+AN492*AR492</f>
        <v>-967.395219026142</v>
      </c>
      <c r="AY492" s="0" t="n">
        <f aca="false">ATAN2(AW492,AX492)</f>
        <v>-1.34380001597292</v>
      </c>
      <c r="BA492" s="0" t="n">
        <f aca="false">SQRT(AT492^2+AU492^2)/SQRT(AW492^2+AX492^2)</f>
        <v>3.20926414793231</v>
      </c>
      <c r="BB492" s="0" t="n">
        <f aca="false">20*LOG(BA492)</f>
        <v>10.1281092890474</v>
      </c>
      <c r="BC492" s="0" t="n">
        <f aca="false">AV492-AY492</f>
        <v>-1.56677967522023</v>
      </c>
      <c r="BD492" s="0" t="n">
        <f aca="false">BC492*180/Pi-180</f>
        <v>-269.769862919574</v>
      </c>
      <c r="BF492" s="0" t="n">
        <f aca="false">20*LOG(BA492*J492*F492*C492)</f>
        <v>-31.0999325381622</v>
      </c>
      <c r="BG492" s="0" t="n">
        <f aca="false">(180/Pi)*(D492+H492+BC492)</f>
        <v>-268.152501007518</v>
      </c>
      <c r="BH492" s="0" t="n">
        <f aca="false">IF(BG492&gt;180,BG492-180,BG492+180)</f>
        <v>-88.1525010075178</v>
      </c>
      <c r="BI492" s="0" t="n">
        <f aca="false">IF(BH492&gt;180,BH492-360,BH492)</f>
        <v>-88.1525010075178</v>
      </c>
      <c r="BJ492" s="0" t="n">
        <f aca="false">SUM((BF493&lt;0)*(BF492&gt;0))*A492</f>
        <v>0</v>
      </c>
      <c r="BK492" s="0" t="n">
        <f aca="false">IF(BJ492&gt;0,BI492,0)</f>
        <v>0</v>
      </c>
      <c r="BM492" s="0" t="n">
        <f aca="false">20*LOG(J492*F492*C492)</f>
        <v>-41.2280418272096</v>
      </c>
      <c r="BN492" s="0" t="n">
        <f aca="false">(H492+D492)*180/Pi</f>
        <v>-178.382638087944</v>
      </c>
      <c r="BQ492" s="347" t="n">
        <f aca="false">20*LOG(BA492*7)</f>
        <v>27.0300700893325</v>
      </c>
    </row>
    <row r="493" customFormat="false" ht="12.75" hidden="false" customHeight="false" outlineLevel="0" collapsed="false">
      <c r="A493" s="0" t="n">
        <f aca="false">A492+5000</f>
        <v>1395000</v>
      </c>
      <c r="B493" s="0" t="n">
        <f aca="false">A493/1000</f>
        <v>1395</v>
      </c>
      <c r="C493" s="0" t="n">
        <f aca="false">SQRT((A493/Fesr)^2+1)</f>
        <v>1.00003841225597</v>
      </c>
      <c r="D493" s="0" t="n">
        <f aca="false">ATAN(A493/Fesr)</f>
        <v>0.00876481904280564</v>
      </c>
      <c r="F493" s="0" t="n">
        <f aca="false">(Ro/(Ro+Rdcr))/SQRT((A493/(Q*Fo))^2+(1-(A493^2/Fo^2))^2)</f>
        <v>0.000957673769669767</v>
      </c>
      <c r="G493" s="0" t="n">
        <f aca="false">-ATAN(A493*Fo/(Q*(Fo^2-A493^2)))</f>
        <v>0.0194248933824107</v>
      </c>
      <c r="H493" s="0" t="n">
        <f aca="false">IF(G493&gt;0,G493-Pi,G493)</f>
        <v>-3.12216775661759</v>
      </c>
      <c r="J493" s="0" t="n">
        <f aca="false">Vin/Vramp</f>
        <v>9</v>
      </c>
      <c r="M493" s="0" t="n">
        <f aca="false">1/(2*Pi*_Rfb1*(Cc1ea_u+Cc2ea_u)*A493)</f>
        <v>0.00422553944706641</v>
      </c>
      <c r="N493" s="0" t="n">
        <f aca="false">-Pi/2</f>
        <v>-1.570796325</v>
      </c>
      <c r="O493" s="0" t="n">
        <f aca="false">SQRT(1+(A493/Fz1_u)^2)</f>
        <v>34.0931579576423</v>
      </c>
      <c r="P493" s="0" t="n">
        <f aca="false">ATAN2(Fz1_u,A493)</f>
        <v>1.54146072094481</v>
      </c>
      <c r="Q493" s="0" t="n">
        <f aca="false">SQRT(1+(A493/Fz2_u)^2)</f>
        <v>38669.5487772054</v>
      </c>
      <c r="R493" s="0" t="n">
        <f aca="false">ATAN2(Fz2_u,A493)</f>
        <v>1.57077046665347</v>
      </c>
      <c r="S493" s="0" t="n">
        <f aca="false">1/SQRT(1+(A493/Fp1_u)^2)</f>
        <v>0.00967471383558271</v>
      </c>
      <c r="T493" s="0" t="n">
        <f aca="false">-ATAN2(Fp1_u,A493)</f>
        <v>-1.56112146202728</v>
      </c>
      <c r="U493" s="0" t="n">
        <f aca="false">1/SQRT(1+(A493/Fp2_u)^2)</f>
        <v>0.255341660012355</v>
      </c>
      <c r="V493" s="0" t="n">
        <f aca="false">-ATAN2(Fp2_u,A493)</f>
        <v>-1.31259526601938</v>
      </c>
      <c r="X493" s="0" t="n">
        <f aca="false">20*LOG(C493*J493*O493*Q493*F493*M493*S493*U493)</f>
        <v>-18.5168983051108</v>
      </c>
      <c r="Y493" s="0" t="n">
        <f aca="false">(180/Pi)*(D493+H493+N493+P493+R493+T493+V493)</f>
        <v>-254.718976549735</v>
      </c>
      <c r="Z493" s="0" t="n">
        <f aca="false">Y493+180</f>
        <v>-74.7189765497346</v>
      </c>
      <c r="AC493" s="0" t="n">
        <v>1</v>
      </c>
      <c r="AD493" s="0" t="n">
        <f aca="false">Rcea1_u*Cc1ea_u*A493*2*Pi</f>
        <v>34.078489102728</v>
      </c>
      <c r="AE493" s="0" t="n">
        <f aca="false">-Rcea1_u*Cc1ea_u*Cc2ea_u*(A493*2*Pi)^2</f>
        <v>-0.0448049158767265</v>
      </c>
      <c r="AF493" s="0" t="n">
        <f aca="false">(Cc2ea_u+Cc1ea_u)*A493*2*Pi</f>
        <v>0.011832808716225</v>
      </c>
      <c r="AG493" s="0" t="n">
        <f aca="false">AC493*AE493/(AE493^2+AF493^2)+AD493*AF493/(AE493^2+AF493^2)</f>
        <v>166.910370144935</v>
      </c>
      <c r="AH493" s="0" t="n">
        <f aca="false">AD493*AE493/(AE493^2+AF493^2)-AC493*AF493/(AE493^2+AF493^2)</f>
        <v>-716.516703398712</v>
      </c>
      <c r="AJ493" s="0" t="n">
        <f aca="false">_Rfb1</f>
        <v>20000</v>
      </c>
      <c r="AK493" s="0" t="n">
        <f aca="false">_Rfb1*Rcea2_u*Cc3ea_u*A493*2*Pi</f>
        <v>2067147.85750704</v>
      </c>
      <c r="AL493" s="0" t="n">
        <v>1</v>
      </c>
      <c r="AM493" s="0" t="n">
        <f aca="false">(_Rfb1+Rcea2_u)*Cc3ea_u*A493*2*Pi</f>
        <v>38669.5487642754</v>
      </c>
      <c r="AN493" s="0" t="n">
        <f aca="false">AJ493*AL493/(AL493^2+AM493^2)+AK493*AM493/(AL493^2+AM493^2)</f>
        <v>53.4567492868495</v>
      </c>
      <c r="AO493" s="0" t="n">
        <f aca="false">AK493*AL493/(AL493^2+AM493^2)-AJ493*AM493/(AL493^2+AM493^2)</f>
        <v>-0.515820429462592</v>
      </c>
      <c r="AQ493" s="0" t="n">
        <f aca="false">Eadcg/(1+(Eadcg*A493/GBP)^2)</f>
        <v>0.00585047888673765</v>
      </c>
      <c r="AR493" s="0" t="n">
        <f aca="false">-(A493*Eadcg*Eadcg/GBP)/(1+(Eadcg*A493/GBP)^2)</f>
        <v>-4.30106731076849</v>
      </c>
      <c r="AT493" s="0" t="n">
        <f aca="false">-AR493*AH493+AG493*AQ493</f>
        <v>-3080.81006501129</v>
      </c>
      <c r="AU493" s="0" t="n">
        <f aca="false">AQ493*AH493+AG493*AR493</f>
        <v>-722.084702703876</v>
      </c>
      <c r="AV493" s="0" t="n">
        <f aca="false">ATAN2(AT493,AU493)</f>
        <v>-2.91136696064535</v>
      </c>
      <c r="AW493" s="0" t="n">
        <f aca="false">AG493-AH493*AO493/_Rfb2+AG493*AN493/_Rfb2+AN493-AO493*AR493+AQ493*AN493</f>
        <v>222.310089962899</v>
      </c>
      <c r="AX493" s="0" t="n">
        <f aca="false">AH493+AH493*AN493/_Rfb2+AG493*AO493/_Rfb2+AO493+AO493*AQ493+AN493*AR493</f>
        <v>-964.231555820827</v>
      </c>
      <c r="AY493" s="0" t="n">
        <f aca="false">ATAN2(AW493,AX493)</f>
        <v>-1.34419922922682</v>
      </c>
      <c r="BA493" s="0" t="n">
        <f aca="false">SQRT(AT493^2+AU493^2)/SQRT(AW493^2+AX493^2)</f>
        <v>3.19778989997353</v>
      </c>
      <c r="BB493" s="0" t="n">
        <f aca="false">20*LOG(BA493)</f>
        <v>10.0969985297956</v>
      </c>
      <c r="BC493" s="0" t="n">
        <f aca="false">AV493-AY493</f>
        <v>-1.56716773141852</v>
      </c>
      <c r="BD493" s="0" t="n">
        <f aca="false">BC493*180/Pi-180</f>
        <v>-269.792096901976</v>
      </c>
      <c r="BF493" s="0" t="n">
        <f aca="false">20*LOG(BA493*J493*F493*C493)</f>
        <v>-31.1934657948553</v>
      </c>
      <c r="BG493" s="0" t="n">
        <f aca="false">(180/Pi)*(D493+H493+BC493)</f>
        <v>-268.176945352478</v>
      </c>
      <c r="BH493" s="0" t="n">
        <f aca="false">IF(BG493&gt;180,BG493-180,BG493+180)</f>
        <v>-88.1769453524775</v>
      </c>
      <c r="BI493" s="0" t="n">
        <f aca="false">IF(BH493&gt;180,BH493-360,BH493)</f>
        <v>-88.1769453524775</v>
      </c>
      <c r="BJ493" s="0" t="n">
        <f aca="false">SUM((BF494&lt;0)*(BF493&gt;0))*A493</f>
        <v>0</v>
      </c>
      <c r="BK493" s="0" t="n">
        <f aca="false">IF(BJ493&gt;0,BI493,0)</f>
        <v>0</v>
      </c>
      <c r="BM493" s="0" t="n">
        <f aca="false">20*LOG(J493*F493*C493)</f>
        <v>-41.2904643246508</v>
      </c>
      <c r="BN493" s="0" t="n">
        <f aca="false">(H493+D493)*180/Pi</f>
        <v>-178.384848450502</v>
      </c>
      <c r="BQ493" s="347" t="n">
        <f aca="false">20*LOG(BA493*7)</f>
        <v>26.9989593300807</v>
      </c>
    </row>
    <row r="494" customFormat="false" ht="12.75" hidden="false" customHeight="false" outlineLevel="0" collapsed="false">
      <c r="A494" s="0" t="n">
        <f aca="false">A493+5000</f>
        <v>1400000</v>
      </c>
      <c r="B494" s="0" t="n">
        <f aca="false">A494/1000</f>
        <v>1400</v>
      </c>
      <c r="C494" s="0" t="n">
        <f aca="false">SQRT((A494/Fesr)^2+1)</f>
        <v>1.00003868810078</v>
      </c>
      <c r="D494" s="0" t="n">
        <f aca="false">ATAN(A494/Fesr)</f>
        <v>0.00879623254727172</v>
      </c>
      <c r="F494" s="0" t="n">
        <f aca="false">(Ro/(Ro+Rdcr))/SQRT((A494/(Q*Fo))^2+(1-(A494^2/Fo^2))^2)</f>
        <v>0.00095084019567784</v>
      </c>
      <c r="G494" s="0" t="n">
        <f aca="false">-ATAN(A494*Fo/(Q*(Fo^2-A494^2)))</f>
        <v>0.0193554029497945</v>
      </c>
      <c r="H494" s="0" t="n">
        <f aca="false">IF(G494&gt;0,G494-Pi,G494)</f>
        <v>-3.12223724705021</v>
      </c>
      <c r="J494" s="0" t="n">
        <f aca="false">Vin/Vramp</f>
        <v>9</v>
      </c>
      <c r="M494" s="0" t="n">
        <f aca="false">1/(2*Pi*_Rfb1*(Cc1ea_u+Cc2ea_u)*A494)</f>
        <v>0.00421044823475546</v>
      </c>
      <c r="N494" s="0" t="n">
        <f aca="false">-Pi/2</f>
        <v>-1.570796325</v>
      </c>
      <c r="O494" s="0" t="n">
        <f aca="false">SQRT(1+(A494/Fz1_u)^2)</f>
        <v>34.2152507135269</v>
      </c>
      <c r="P494" s="0" t="n">
        <f aca="false">ATAN2(Fz1_u,A494)</f>
        <v>1.5415654311889</v>
      </c>
      <c r="Q494" s="0" t="n">
        <f aca="false">SQRT(1+(A494/Fz2_u)^2)</f>
        <v>38808.1493103645</v>
      </c>
      <c r="R494" s="0" t="n">
        <f aca="false">ATAN2(Fz2_u,A494)</f>
        <v>1.57077055901112</v>
      </c>
      <c r="S494" s="0" t="n">
        <f aca="false">1/SQRT(1+(A494/Fp1_u)^2)</f>
        <v>0.00964016450298816</v>
      </c>
      <c r="T494" s="0" t="n">
        <f aca="false">-ATAN2(Fp1_u,A494)</f>
        <v>-1.56115601297113</v>
      </c>
      <c r="U494" s="0" t="n">
        <f aca="false">1/SQRT(1+(A494/Fp2_u)^2)</f>
        <v>0.254488885545183</v>
      </c>
      <c r="V494" s="0" t="n">
        <f aca="false">-ATAN2(Fp2_u,A494)</f>
        <v>-1.31347717582755</v>
      </c>
      <c r="X494" s="0" t="n">
        <f aca="false">20*LOG(C494*J494*O494*Q494*F494*M494*S494*U494)</f>
        <v>-18.6081779970656</v>
      </c>
      <c r="Y494" s="0" t="n">
        <f aca="false">(180/Pi)*(D494+H494+N494+P494+R494+T494+V494)</f>
        <v>-254.767662783489</v>
      </c>
      <c r="Z494" s="0" t="n">
        <f aca="false">Y494+180</f>
        <v>-74.7676627834889</v>
      </c>
      <c r="AC494" s="0" t="n">
        <v>1</v>
      </c>
      <c r="AD494" s="0" t="n">
        <f aca="false">Rcea1_u*Cc1ea_u*A494*2*Pi</f>
        <v>34.20063422496</v>
      </c>
      <c r="AE494" s="0" t="n">
        <f aca="false">-Rcea1_u*Cc1ea_u*Cc2ea_u*(A494*2*Pi)^2</f>
        <v>-0.0451266736647186</v>
      </c>
      <c r="AF494" s="0" t="n">
        <f aca="false">(Cc2ea_u+Cc1ea_u)*A494*2*Pi</f>
        <v>0.011875220217</v>
      </c>
      <c r="AG494" s="0" t="n">
        <f aca="false">AC494*AE494/(AE494^2+AF494^2)+AD494*AF494/(AE494^2+AF494^2)</f>
        <v>165.797357737035</v>
      </c>
      <c r="AH494" s="0" t="n">
        <f aca="false">AD494*AE494/(AE494^2+AF494^2)-AC494*AF494/(AE494^2+AF494^2)</f>
        <v>-714.250607742794</v>
      </c>
      <c r="AJ494" s="0" t="n">
        <f aca="false">_Rfb1</f>
        <v>20000</v>
      </c>
      <c r="AK494" s="0" t="n">
        <f aca="false">_Rfb1*Rcea2_u*Cc3ea_u*A494*2*Pi</f>
        <v>2074556.9896128</v>
      </c>
      <c r="AL494" s="0" t="n">
        <v>1</v>
      </c>
      <c r="AM494" s="0" t="n">
        <f aca="false">(_Rfb1+Rcea2_u)*Cc3ea_u*A494*2*Pi</f>
        <v>38808.1492974806</v>
      </c>
      <c r="AN494" s="0" t="n">
        <f aca="false">AJ494*AL494/(AL494^2+AM494^2)+AK494*AM494/(AL494^2+AM494^2)</f>
        <v>53.4567491917398</v>
      </c>
      <c r="AO494" s="0" t="n">
        <f aca="false">AK494*AL494/(AL494^2+AM494^2)-AJ494*AM494/(AL494^2+AM494^2)</f>
        <v>-0.513978213645533</v>
      </c>
      <c r="AQ494" s="0" t="n">
        <f aca="false">Eadcg/(1+(Eadcg*A494/GBP)^2)</f>
        <v>0.00580876445191938</v>
      </c>
      <c r="AR494" s="0" t="n">
        <f aca="false">-(A494*Eadcg*Eadcg/GBP)/(1+(Eadcg*A494/GBP)^2)</f>
        <v>-4.28570641262612</v>
      </c>
      <c r="AT494" s="0" t="n">
        <f aca="false">-AR494*AH494+AG494*AQ494</f>
        <v>-3060.10533202755</v>
      </c>
      <c r="AU494" s="0" t="n">
        <f aca="false">AQ494*AH494+AG494*AR494</f>
        <v>-714.707712790094</v>
      </c>
      <c r="AV494" s="0" t="n">
        <f aca="false">ATAN2(AT494,AU494)</f>
        <v>-2.9121490181964</v>
      </c>
      <c r="AW494" s="0" t="n">
        <f aca="false">AG494-AH494*AO494/_Rfb2+AG494*AN494/_Rfb2+AN494-AO494*AR494+AQ494*AN494</f>
        <v>221.185010200006</v>
      </c>
      <c r="AX494" s="0" t="n">
        <f aca="false">AH494+AH494*AN494/_Rfb2+AG494*AO494/_Rfb2+AO494+AO494*AQ494+AN494*AR494</f>
        <v>-961.087533666561</v>
      </c>
      <c r="AY494" s="0" t="n">
        <f aca="false">ATAN2(AW494,AX494)</f>
        <v>-1.34459465542575</v>
      </c>
      <c r="BA494" s="0" t="n">
        <f aca="false">SQRT(AT494^2+AU494^2)/SQRT(AW494^2+AX494^2)</f>
        <v>3.18639686401179</v>
      </c>
      <c r="BB494" s="0" t="n">
        <f aca="false">20*LOG(BA494)</f>
        <v>10.0659973195504</v>
      </c>
      <c r="BC494" s="0" t="n">
        <f aca="false">AV494-AY494</f>
        <v>-1.56755436277065</v>
      </c>
      <c r="BD494" s="0" t="n">
        <f aca="false">BC494*180/Pi-180</f>
        <v>-269.814249246705</v>
      </c>
      <c r="BF494" s="0" t="n">
        <f aca="false">20*LOG(BA494*J494*F494*C494)</f>
        <v>-31.2866658026912</v>
      </c>
      <c r="BG494" s="0" t="n">
        <f aca="false">(180/Pi)*(D494+H494+BC494)</f>
        <v>-268.20127934449</v>
      </c>
      <c r="BH494" s="0" t="n">
        <f aca="false">IF(BG494&gt;180,BG494-180,BG494+180)</f>
        <v>-88.2012793444895</v>
      </c>
      <c r="BI494" s="0" t="n">
        <f aca="false">IF(BH494&gt;180,BH494-360,BH494)</f>
        <v>-88.2012793444895</v>
      </c>
      <c r="BJ494" s="0" t="n">
        <f aca="false">SUM((BF495&lt;0)*(BF494&gt;0))*A494</f>
        <v>0</v>
      </c>
      <c r="BK494" s="0" t="n">
        <f aca="false">IF(BJ494&gt;0,BI494,0)</f>
        <v>0</v>
      </c>
      <c r="BM494" s="0" t="n">
        <f aca="false">20*LOG(J494*F494*C494)</f>
        <v>-41.3526631222415</v>
      </c>
      <c r="BN494" s="0" t="n">
        <f aca="false">(H494+D494)*180/Pi</f>
        <v>-178.387030097784</v>
      </c>
      <c r="BQ494" s="347" t="n">
        <f aca="false">20*LOG(BA494*7)</f>
        <v>26.9679581198355</v>
      </c>
    </row>
    <row r="495" customFormat="false" ht="12.75" hidden="false" customHeight="false" outlineLevel="0" collapsed="false">
      <c r="A495" s="0" t="n">
        <f aca="false">A494+5000</f>
        <v>1405000</v>
      </c>
      <c r="B495" s="0" t="n">
        <f aca="false">A495/1000</f>
        <v>1405</v>
      </c>
      <c r="C495" s="0" t="n">
        <f aca="false">SQRT((A495/Fesr)^2+1)</f>
        <v>1.00003896493243</v>
      </c>
      <c r="D495" s="0" t="n">
        <f aca="false">ATAN(A495/Fesr)</f>
        <v>0.00882764603437698</v>
      </c>
      <c r="F495" s="0" t="n">
        <f aca="false">(Ro/(Ro+Rdcr))/SQRT((A495/(Q*Fo))^2+(1-(A495^2/Fo^2))^2)</f>
        <v>0.000944079522516704</v>
      </c>
      <c r="G495" s="0" t="n">
        <f aca="false">-ATAN(A495*Fo/(Q*(Fo^2-A495^2)))</f>
        <v>0.0192864083420021</v>
      </c>
      <c r="H495" s="0" t="n">
        <f aca="false">IF(G495&gt;0,G495-Pi,G495)</f>
        <v>-3.122306241658</v>
      </c>
      <c r="J495" s="0" t="n">
        <f aca="false">Vin/Vramp</f>
        <v>9</v>
      </c>
      <c r="M495" s="0" t="n">
        <f aca="false">1/(2*Pi*_Rfb1*(Cc1ea_u+Cc2ea_u)*A495)</f>
        <v>0.00419546443320829</v>
      </c>
      <c r="N495" s="0" t="n">
        <f aca="false">-Pi/2</f>
        <v>-1.570796325</v>
      </c>
      <c r="O495" s="0" t="n">
        <f aca="false">SQRT(1+(A495/Fz1_u)^2)</f>
        <v>34.3373438418878</v>
      </c>
      <c r="P495" s="0" t="n">
        <f aca="false">ATAN2(Fz1_u,A495)</f>
        <v>1.5416693967987</v>
      </c>
      <c r="Q495" s="0" t="n">
        <f aca="false">SQRT(1+(A495/Fz2_u)^2)</f>
        <v>38946.749843524</v>
      </c>
      <c r="R495" s="0" t="n">
        <f aca="false">ATAN2(Fz2_u,A495)</f>
        <v>1.57077065071142</v>
      </c>
      <c r="S495" s="0" t="n">
        <f aca="false">1/SQRT(1+(A495/Fp1_u)^2)</f>
        <v>0.00960586103895975</v>
      </c>
      <c r="T495" s="0" t="n">
        <f aca="false">-ATAN2(Fp1_u,A495)</f>
        <v>-1.56119031802356</v>
      </c>
      <c r="U495" s="0" t="n">
        <f aca="false">1/SQRT(1+(A495/Fp2_u)^2)</f>
        <v>0.25364159289809</v>
      </c>
      <c r="V495" s="0" t="n">
        <f aca="false">-ATAN2(Fp2_u,A495)</f>
        <v>-1.31435321387063</v>
      </c>
      <c r="X495" s="0" t="n">
        <f aca="false">20*LOG(C495*J495*O495*Q495*F495*M495*S495*U495)</f>
        <v>-18.6991451415</v>
      </c>
      <c r="Y495" s="0" t="n">
        <f aca="false">(180/Pi)*(D495+H495+N495+P495+R495+T495+V495)</f>
        <v>-254.816012795734</v>
      </c>
      <c r="Z495" s="0" t="n">
        <f aca="false">Y495+180</f>
        <v>-74.8160127957344</v>
      </c>
      <c r="AC495" s="0" t="n">
        <v>1</v>
      </c>
      <c r="AD495" s="0" t="n">
        <f aca="false">Rcea1_u*Cc1ea_u*A495*2*Pi</f>
        <v>34.322779347192</v>
      </c>
      <c r="AE495" s="0" t="n">
        <f aca="false">-Rcea1_u*Cc1ea_u*Cc2ea_u*(A495*2*Pi)^2</f>
        <v>-0.0454495826433653</v>
      </c>
      <c r="AF495" s="0" t="n">
        <f aca="false">(Cc2ea_u+Cc1ea_u)*A495*2*Pi</f>
        <v>0.011917631717775</v>
      </c>
      <c r="AG495" s="0" t="n">
        <f aca="false">AC495*AE495/(AE495^2+AF495^2)+AD495*AF495/(AE495^2+AF495^2)</f>
        <v>164.695187578574</v>
      </c>
      <c r="AH495" s="0" t="n">
        <f aca="false">AD495*AE495/(AE495^2+AF495^2)-AC495*AF495/(AE495^2+AF495^2)</f>
        <v>-711.997797864587</v>
      </c>
      <c r="AJ495" s="0" t="n">
        <f aca="false">_Rfb1</f>
        <v>20000</v>
      </c>
      <c r="AK495" s="0" t="n">
        <f aca="false">_Rfb1*Rcea2_u*Cc3ea_u*A495*2*Pi</f>
        <v>2081966.12171856</v>
      </c>
      <c r="AL495" s="0" t="n">
        <v>1</v>
      </c>
      <c r="AM495" s="0" t="n">
        <f aca="false">(_Rfb1+Rcea2_u)*Cc3ea_u*A495*2*Pi</f>
        <v>38946.7498306859</v>
      </c>
      <c r="AN495" s="0" t="n">
        <f aca="false">AJ495*AL495/(AL495^2+AM495^2)+AK495*AM495/(AL495^2+AM495^2)</f>
        <v>53.4567490976436</v>
      </c>
      <c r="AO495" s="0" t="n">
        <f aca="false">AK495*AL495/(AL495^2+AM495^2)-AJ495*AM495/(AL495^2+AM495^2)</f>
        <v>-0.512149109684798</v>
      </c>
      <c r="AQ495" s="0" t="n">
        <f aca="false">Eadcg/(1+(Eadcg*A495/GBP)^2)</f>
        <v>0.00576749457294595</v>
      </c>
      <c r="AR495" s="0" t="n">
        <f aca="false">-(A495*Eadcg*Eadcg/GBP)/(1+(Eadcg*A495/GBP)^2)</f>
        <v>-4.27045484411924</v>
      </c>
      <c r="AT495" s="0" t="n">
        <f aca="false">-AR495*AH495+AG495*AQ495</f>
        <v>-3039.60456629251</v>
      </c>
      <c r="AU495" s="0" t="n">
        <f aca="false">AQ495*AH495+AG495*AR495</f>
        <v>-707.429805033181</v>
      </c>
      <c r="AV495" s="0" t="n">
        <f aca="false">ATAN2(AT495,AU495)</f>
        <v>-2.91292591404028</v>
      </c>
      <c r="AW495" s="0" t="n">
        <f aca="false">AG495-AH495*AO495/_Rfb2+AG495*AN495/_Rfb2+AN495-AO495*AR495+AQ495*AN495</f>
        <v>220.070877666927</v>
      </c>
      <c r="AX495" s="0" t="n">
        <f aca="false">AH495+AH495*AN495/_Rfb2+AG495*AO495/_Rfb2+AO495+AO495*AQ495+AN495*AR495</f>
        <v>-957.962980185875</v>
      </c>
      <c r="AY495" s="0" t="n">
        <f aca="false">ATAN2(AW495,AX495)</f>
        <v>-1.3449863297621</v>
      </c>
      <c r="BA495" s="0" t="n">
        <f aca="false">SQRT(AT495^2+AU495^2)/SQRT(AW495^2+AX495^2)</f>
        <v>3.17508418194917</v>
      </c>
      <c r="BB495" s="0" t="n">
        <f aca="false">20*LOG(BA495)</f>
        <v>10.0351048871825</v>
      </c>
      <c r="BC495" s="0" t="n">
        <f aca="false">AV495-AY495</f>
        <v>-1.56793958427818</v>
      </c>
      <c r="BD495" s="0" t="n">
        <f aca="false">BC495*180/Pi-180</f>
        <v>-269.836320813289</v>
      </c>
      <c r="BF495" s="0" t="n">
        <f aca="false">20*LOG(BA495*J495*F495*C495)</f>
        <v>-31.379534931433</v>
      </c>
      <c r="BG495" s="0" t="n">
        <f aca="false">(180/Pi)*(D495+H495+BC495)</f>
        <v>-268.225504150681</v>
      </c>
      <c r="BH495" s="0" t="n">
        <f aca="false">IF(BG495&gt;180,BG495-180,BG495+180)</f>
        <v>-88.225504150681</v>
      </c>
      <c r="BI495" s="0" t="n">
        <f aca="false">IF(BH495&gt;180,BH495-360,BH495)</f>
        <v>-88.225504150681</v>
      </c>
      <c r="BJ495" s="0" t="n">
        <f aca="false">SUM((BF496&lt;0)*(BF495&gt;0))*A495</f>
        <v>0</v>
      </c>
      <c r="BK495" s="0" t="n">
        <f aca="false">IF(BJ495&gt;0,BI495,0)</f>
        <v>0</v>
      </c>
      <c r="BM495" s="0" t="n">
        <f aca="false">20*LOG(J495*F495*C495)</f>
        <v>-41.4146398186155</v>
      </c>
      <c r="BN495" s="0" t="n">
        <f aca="false">(H495+D495)*180/Pi</f>
        <v>-178.389183337392</v>
      </c>
      <c r="BQ495" s="347" t="n">
        <f aca="false">20*LOG(BA495*7)</f>
        <v>26.9370656874676</v>
      </c>
    </row>
    <row r="496" customFormat="false" ht="12.75" hidden="false" customHeight="false" outlineLevel="0" collapsed="false">
      <c r="A496" s="0" t="n">
        <f aca="false">A495+5000</f>
        <v>1410000</v>
      </c>
      <c r="B496" s="0" t="n">
        <f aca="false">A496/1000</f>
        <v>1410</v>
      </c>
      <c r="C496" s="0" t="n">
        <f aca="false">SQRT((A496/Fesr)^2+1)</f>
        <v>1.00003924275093</v>
      </c>
      <c r="D496" s="0" t="n">
        <f aca="false">ATAN(A496/Fesr)</f>
        <v>0.00885905950405942</v>
      </c>
      <c r="F496" s="0" t="n">
        <f aca="false">(Ro/(Ro+Rdcr))/SQRT((A496/(Q*Fo))^2+(1-(A496^2/Fo^2))^2)</f>
        <v>0.000937390716656636</v>
      </c>
      <c r="G496" s="0" t="n">
        <f aca="false">-ATAN(A496*Fo/(Q*(Fo^2-A496^2)))</f>
        <v>0.0192179042669128</v>
      </c>
      <c r="H496" s="0" t="n">
        <f aca="false">IF(G496&gt;0,G496-Pi,G496)</f>
        <v>-3.12237474573309</v>
      </c>
      <c r="J496" s="0" t="n">
        <f aca="false">Vin/Vramp</f>
        <v>9</v>
      </c>
      <c r="M496" s="0" t="n">
        <f aca="false">1/(2*Pi*_Rfb1*(Cc1ea_u+Cc2ea_u)*A496)</f>
        <v>0.00418058689975719</v>
      </c>
      <c r="N496" s="0" t="n">
        <f aca="false">-Pi/2</f>
        <v>-1.570796325</v>
      </c>
      <c r="O496" s="0" t="n">
        <f aca="false">SQRT(1+(A496/Fz1_u)^2)</f>
        <v>34.4594373387658</v>
      </c>
      <c r="P496" s="0" t="n">
        <f aca="false">ATAN2(Fz1_u,A496)</f>
        <v>1.5417726256869</v>
      </c>
      <c r="Q496" s="0" t="n">
        <f aca="false">SQRT(1+(A496/Fz2_u)^2)</f>
        <v>39085.3503766837</v>
      </c>
      <c r="R496" s="0" t="n">
        <f aca="false">ATAN2(Fz2_u,A496)</f>
        <v>1.57077074176136</v>
      </c>
      <c r="S496" s="0" t="n">
        <f aca="false">1/SQRT(1+(A496/Fp1_u)^2)</f>
        <v>0.0095718008283563</v>
      </c>
      <c r="T496" s="0" t="n">
        <f aca="false">-ATAN2(Fp1_u,A496)</f>
        <v>-1.56122437980012</v>
      </c>
      <c r="U496" s="0" t="n">
        <f aca="false">1/SQRT(1+(A496/Fp2_u)^2)</f>
        <v>0.252799731381658</v>
      </c>
      <c r="V496" s="0" t="n">
        <f aca="false">-ATAN2(Fp2_u,A496)</f>
        <v>-1.31522343726416</v>
      </c>
      <c r="X496" s="0" t="n">
        <f aca="false">20*LOG(C496*J496*O496*Q496*F496*M496*S496*U496)</f>
        <v>-18.789801834489</v>
      </c>
      <c r="Y496" s="0" t="n">
        <f aca="false">(180/Pi)*(D496+H496+N496+P496+R496+T496+V496)</f>
        <v>-254.864029858265</v>
      </c>
      <c r="Z496" s="0" t="n">
        <f aca="false">Y496+180</f>
        <v>-74.8640298582654</v>
      </c>
      <c r="AC496" s="0" t="n">
        <v>1</v>
      </c>
      <c r="AD496" s="0" t="n">
        <f aca="false">Rcea1_u*Cc1ea_u*A496*2*Pi</f>
        <v>34.444924469424</v>
      </c>
      <c r="AE496" s="0" t="n">
        <f aca="false">-Rcea1_u*Cc1ea_u*Cc2ea_u*(A496*2*Pi)^2</f>
        <v>-0.0457736428126668</v>
      </c>
      <c r="AF496" s="0" t="n">
        <f aca="false">(Cc2ea_u+Cc1ea_u)*A496*2*Pi</f>
        <v>0.01196004321855</v>
      </c>
      <c r="AG496" s="0" t="n">
        <f aca="false">AC496*AE496/(AE496^2+AF496^2)+AD496*AF496/(AE496^2+AF496^2)</f>
        <v>163.603722717794</v>
      </c>
      <c r="AH496" s="0" t="n">
        <f aca="false">AD496*AE496/(AE496^2+AF496^2)-AC496*AF496/(AE496^2+AF496^2)</f>
        <v>-709.7581682097</v>
      </c>
      <c r="AJ496" s="0" t="n">
        <f aca="false">_Rfb1</f>
        <v>20000</v>
      </c>
      <c r="AK496" s="0" t="n">
        <f aca="false">_Rfb1*Rcea2_u*Cc3ea_u*A496*2*Pi</f>
        <v>2089375.25382432</v>
      </c>
      <c r="AL496" s="0" t="n">
        <v>1</v>
      </c>
      <c r="AM496" s="0" t="n">
        <f aca="false">(_Rfb1+Rcea2_u)*Cc3ea_u*A496*2*Pi</f>
        <v>39085.3503638912</v>
      </c>
      <c r="AN496" s="0" t="n">
        <f aca="false">AJ496*AL496/(AL496^2+AM496^2)+AK496*AM496/(AL496^2+AM496^2)</f>
        <v>53.4567490045466</v>
      </c>
      <c r="AO496" s="0" t="n">
        <f aca="false">AK496*AL496/(AL496^2+AM496^2)-AJ496*AM496/(AL496^2+AM496^2)</f>
        <v>-0.510332978092553</v>
      </c>
      <c r="AQ496" s="0" t="n">
        <f aca="false">Eadcg/(1+(Eadcg*A496/GBP)^2)</f>
        <v>0.00572666295527351</v>
      </c>
      <c r="AR496" s="0" t="n">
        <f aca="false">-(A496*Eadcg*Eadcg/GBP)/(1+(Eadcg*A496/GBP)^2)</f>
        <v>-4.25531144217509</v>
      </c>
      <c r="AT496" s="0" t="n">
        <f aca="false">-AR496*AH496+AG496*AQ496</f>
        <v>-3019.30515098174</v>
      </c>
      <c r="AU496" s="0" t="n">
        <f aca="false">AQ496*AH496+AG496*AR496</f>
        <v>-700.249339072559</v>
      </c>
      <c r="AV496" s="0" t="n">
        <f aca="false">ATAN2(AT496,AU496)</f>
        <v>-2.91369769774769</v>
      </c>
      <c r="AW496" s="0" t="n">
        <f aca="false">AG496-AH496*AO496/_Rfb2+AG496*AN496/_Rfb2+AN496-AO496*AR496+AQ496*AN496</f>
        <v>218.9675543094</v>
      </c>
      <c r="AX496" s="0" t="n">
        <f aca="false">AH496+AH496*AN496/_Rfb2+AG496*AO496/_Rfb2+AO496+AO496*AQ496+AN496*AR496</f>
        <v>-954.857724875412</v>
      </c>
      <c r="AY496" s="0" t="n">
        <f aca="false">ATAN2(AW496,AX496)</f>
        <v>-1.34537428701522</v>
      </c>
      <c r="BA496" s="0" t="n">
        <f aca="false">SQRT(AT496^2+AU496^2)/SQRT(AW496^2+AX496^2)</f>
        <v>3.16385100770345</v>
      </c>
      <c r="BB496" s="0" t="n">
        <f aca="false">20*LOG(BA496)</f>
        <v>10.0043204696114</v>
      </c>
      <c r="BC496" s="0" t="n">
        <f aca="false">AV496-AY496</f>
        <v>-1.56832341073247</v>
      </c>
      <c r="BD496" s="0" t="n">
        <f aca="false">BC496*180/Pi-180</f>
        <v>-269.858312449211</v>
      </c>
      <c r="BF496" s="0" t="n">
        <f aca="false">20*LOG(BA496*J496*F496*C496)</f>
        <v>-31.4720755257061</v>
      </c>
      <c r="BG496" s="0" t="n">
        <f aca="false">(180/Pi)*(D496+H496+BC496)</f>
        <v>-268.249620921754</v>
      </c>
      <c r="BH496" s="0" t="n">
        <f aca="false">IF(BG496&gt;180,BG496-180,BG496+180)</f>
        <v>-88.2496209217541</v>
      </c>
      <c r="BI496" s="0" t="n">
        <f aca="false">IF(BH496&gt;180,BH496-360,BH496)</f>
        <v>-88.2496209217541</v>
      </c>
      <c r="BJ496" s="0" t="n">
        <f aca="false">SUM((BF497&lt;0)*(BF496&gt;0))*A496</f>
        <v>0</v>
      </c>
      <c r="BK496" s="0" t="n">
        <f aca="false">IF(BJ496&gt;0,BI496,0)</f>
        <v>0</v>
      </c>
      <c r="BM496" s="0" t="n">
        <f aca="false">20*LOG(J496*F496*C496)</f>
        <v>-41.4763959953175</v>
      </c>
      <c r="BN496" s="0" t="n">
        <f aca="false">(H496+D496)*180/Pi</f>
        <v>-178.391308472543</v>
      </c>
      <c r="BQ496" s="347" t="n">
        <f aca="false">20*LOG(BA496*7)</f>
        <v>26.9062812698965</v>
      </c>
    </row>
    <row r="497" customFormat="false" ht="12.75" hidden="false" customHeight="false" outlineLevel="0" collapsed="false">
      <c r="A497" s="0" t="n">
        <f aca="false">A496+5000</f>
        <v>1415000</v>
      </c>
      <c r="B497" s="0" t="n">
        <f aca="false">A497/1000</f>
        <v>1415</v>
      </c>
      <c r="C497" s="0" t="n">
        <f aca="false">SQRT((A497/Fesr)^2+1)</f>
        <v>1.00003952155628</v>
      </c>
      <c r="D497" s="0" t="n">
        <f aca="false">ATAN(A497/Fesr)</f>
        <v>0.00889047295625707</v>
      </c>
      <c r="F497" s="0" t="n">
        <f aca="false">(Ro/(Ro+Rdcr))/SQRT((A497/(Q*Fo))^2+(1-(A497^2/Fo^2))^2)</f>
        <v>0.000930772762823459</v>
      </c>
      <c r="G497" s="0" t="n">
        <f aca="false">-ATAN(A497*Fo/(Q*(Fo^2-A497^2)))</f>
        <v>0.0191498855075126</v>
      </c>
      <c r="H497" s="0" t="n">
        <f aca="false">IF(G497&gt;0,G497-Pi,G497)</f>
        <v>-3.12244276449249</v>
      </c>
      <c r="J497" s="0" t="n">
        <f aca="false">Vin/Vramp</f>
        <v>9</v>
      </c>
      <c r="M497" s="0" t="n">
        <f aca="false">1/(2*Pi*_Rfb1*(Cc1ea_u+Cc2ea_u)*A497)</f>
        <v>0.00416581450788526</v>
      </c>
      <c r="N497" s="0" t="n">
        <f aca="false">-Pi/2</f>
        <v>-1.570796325</v>
      </c>
      <c r="O497" s="0" t="n">
        <f aca="false">SQRT(1+(A497/Fz1_u)^2)</f>
        <v>34.5815312002576</v>
      </c>
      <c r="P497" s="0" t="n">
        <f aca="false">ATAN2(Fz1_u,A497)</f>
        <v>1.54187512565454</v>
      </c>
      <c r="Q497" s="0" t="n">
        <f aca="false">SQRT(1+(A497/Fz2_u)^2)</f>
        <v>39223.9509098438</v>
      </c>
      <c r="R497" s="0" t="n">
        <f aca="false">ATAN2(Fz2_u,A497)</f>
        <v>1.57077083216784</v>
      </c>
      <c r="S497" s="0" t="n">
        <f aca="false">1/SQRT(1+(A497/Fp1_u)^2)</f>
        <v>0.0095379812929913</v>
      </c>
      <c r="T497" s="0" t="n">
        <f aca="false">-ATAN2(Fp1_u,A497)</f>
        <v>-1.56125820087938</v>
      </c>
      <c r="U497" s="0" t="n">
        <f aca="false">1/SQRT(1+(A497/Fp2_u)^2)</f>
        <v>0.25196325090178</v>
      </c>
      <c r="V497" s="0" t="n">
        <f aca="false">-ATAN2(Fp2_u,A497)</f>
        <v>-1.31608790240323</v>
      </c>
      <c r="X497" s="0" t="n">
        <f aca="false">20*LOG(C497*J497*O497*Q497*F497*M497*S497*U497)</f>
        <v>-18.8801501514047</v>
      </c>
      <c r="Y497" s="0" t="n">
        <f aca="false">(180/Pi)*(D497+H497+N497+P497+R497+T497+V497)</f>
        <v>-254.911717201581</v>
      </c>
      <c r="Z497" s="0" t="n">
        <f aca="false">Y497+180</f>
        <v>-74.9117172015807</v>
      </c>
      <c r="AC497" s="0" t="n">
        <v>1</v>
      </c>
      <c r="AD497" s="0" t="n">
        <f aca="false">Rcea1_u*Cc1ea_u*A497*2*Pi</f>
        <v>34.567069591656</v>
      </c>
      <c r="AE497" s="0" t="n">
        <f aca="false">-Rcea1_u*Cc1ea_u*Cc2ea_u*(A497*2*Pi)^2</f>
        <v>-0.046098854172623</v>
      </c>
      <c r="AF497" s="0" t="n">
        <f aca="false">(Cc2ea_u+Cc1ea_u)*A497*2*Pi</f>
        <v>0.012002454719325</v>
      </c>
      <c r="AG497" s="0" t="n">
        <f aca="false">AC497*AE497/(AE497^2+AF497^2)+AD497*AF497/(AE497^2+AF497^2)</f>
        <v>162.522828300783</v>
      </c>
      <c r="AH497" s="0" t="n">
        <f aca="false">AD497*AE497/(AE497^2+AF497^2)-AC497*AF497/(AE497^2+AF497^2)</f>
        <v>-707.531614169475</v>
      </c>
      <c r="AJ497" s="0" t="n">
        <f aca="false">_Rfb1</f>
        <v>20000</v>
      </c>
      <c r="AK497" s="0" t="n">
        <f aca="false">_Rfb1*Rcea2_u*Cc3ea_u*A497*2*Pi</f>
        <v>2096784.38593008</v>
      </c>
      <c r="AL497" s="0" t="n">
        <v>1</v>
      </c>
      <c r="AM497" s="0" t="n">
        <f aca="false">(_Rfb1+Rcea2_u)*Cc3ea_u*A497*2*Pi</f>
        <v>39223.9508970965</v>
      </c>
      <c r="AN497" s="0" t="n">
        <f aca="false">AJ497*AL497/(AL497^2+AM497^2)+AK497*AM497/(AL497^2+AM497^2)</f>
        <v>53.4567489124349</v>
      </c>
      <c r="AO497" s="0" t="n">
        <f aca="false">AK497*AL497/(AL497^2+AM497^2)-AJ497*AM497/(AL497^2+AM497^2)</f>
        <v>-0.508529681352525</v>
      </c>
      <c r="AQ497" s="0" t="n">
        <f aca="false">Eadcg/(1+(Eadcg*A497/GBP)^2)</f>
        <v>0.00568626341537198</v>
      </c>
      <c r="AR497" s="0" t="n">
        <f aca="false">-(A497*Eadcg*Eadcg/GBP)/(1+(Eadcg*A497/GBP)^2)</f>
        <v>-4.24027506015996</v>
      </c>
      <c r="AT497" s="0" t="n">
        <f aca="false">-AR497*AH497+AG497*AQ497</f>
        <v>-2999.20451022482</v>
      </c>
      <c r="AU497" s="0" t="n">
        <f aca="false">AQ497*AH497+AG497*AR497</f>
        <v>-693.164706683341</v>
      </c>
      <c r="AV497" s="0" t="n">
        <f aca="false">ATAN2(AT497,AU497)</f>
        <v>-2.91446441827532</v>
      </c>
      <c r="AW497" s="0" t="n">
        <f aca="false">AG497-AH497*AO497/_Rfb2+AG497*AN497/_Rfb2+AN497-AO497*AR497+AQ497*AN497</f>
        <v>217.874904183094</v>
      </c>
      <c r="AX497" s="0" t="n">
        <f aca="false">AH497+AH497*AN497/_Rfb2+AG497*AO497/_Rfb2+AO497+AO497*AQ497+AN497*AR497</f>
        <v>-951.771599082941</v>
      </c>
      <c r="AY497" s="0" t="n">
        <f aca="false">ATAN2(AW497,AX497)</f>
        <v>-1.34575856155701</v>
      </c>
      <c r="BA497" s="0" t="n">
        <f aca="false">SQRT(AT497^2+AU497^2)/SQRT(AW497^2+AX497^2)</f>
        <v>3.15269650699909</v>
      </c>
      <c r="BB497" s="0" t="n">
        <f aca="false">20*LOG(BA497)</f>
        <v>9.97364331169465</v>
      </c>
      <c r="BC497" s="0" t="n">
        <f aca="false">AV497-AY497</f>
        <v>-1.56870585671832</v>
      </c>
      <c r="BD497" s="0" t="n">
        <f aca="false">BC497*180/Pi-180</f>
        <v>-269.880224990117</v>
      </c>
      <c r="BF497" s="0" t="n">
        <f aca="false">20*LOG(BA497*J497*F497*C497)</f>
        <v>-31.5642899053515</v>
      </c>
      <c r="BG497" s="0" t="n">
        <f aca="false">(180/Pi)*(D497+H497+BC497)</f>
        <v>-268.273630792273</v>
      </c>
      <c r="BH497" s="0" t="n">
        <f aca="false">IF(BG497&gt;180,BG497-180,BG497+180)</f>
        <v>-88.2736307922731</v>
      </c>
      <c r="BI497" s="0" t="n">
        <f aca="false">IF(BH497&gt;180,BH497-360,BH497)</f>
        <v>-88.2736307922731</v>
      </c>
      <c r="BJ497" s="0" t="n">
        <f aca="false">SUM((BF498&lt;0)*(BF497&gt;0))*A497</f>
        <v>0</v>
      </c>
      <c r="BK497" s="0" t="n">
        <f aca="false">IF(BJ497&gt;0,BI497,0)</f>
        <v>0</v>
      </c>
      <c r="BM497" s="0" t="n">
        <f aca="false">20*LOG(J497*F497*C497)</f>
        <v>-41.5379332170461</v>
      </c>
      <c r="BN497" s="0" t="n">
        <f aca="false">(H497+D497)*180/Pi</f>
        <v>-178.393405802156</v>
      </c>
      <c r="BQ497" s="347" t="n">
        <f aca="false">20*LOG(BA497*7)</f>
        <v>26.8756041119798</v>
      </c>
    </row>
    <row r="498" customFormat="false" ht="12.75" hidden="false" customHeight="false" outlineLevel="0" collapsed="false">
      <c r="A498" s="0" t="n">
        <f aca="false">A497+5000</f>
        <v>1420000</v>
      </c>
      <c r="B498" s="0" t="n">
        <f aca="false">A498/1000</f>
        <v>1420</v>
      </c>
      <c r="C498" s="0" t="n">
        <f aca="false">SQRT((A498/Fesr)^2+1)</f>
        <v>1.00003980134846</v>
      </c>
      <c r="D498" s="0" t="n">
        <f aca="false">ATAN(A498/Fesr)</f>
        <v>0.00892188639090794</v>
      </c>
      <c r="F498" s="0" t="n">
        <f aca="false">(Ro/(Ro+Rdcr))/SQRT((A498/(Q*Fo))^2+(1-(A498^2/Fo^2))^2)</f>
        <v>0.000924224663612859</v>
      </c>
      <c r="G498" s="0" t="n">
        <f aca="false">-ATAN(A498*Fo/(Q*(Fo^2-A498^2)))</f>
        <v>0.0190823469205648</v>
      </c>
      <c r="H498" s="0" t="n">
        <f aca="false">IF(G498&gt;0,G498-Pi,G498)</f>
        <v>-3.12251030307944</v>
      </c>
      <c r="J498" s="0" t="n">
        <f aca="false">Vin/Vramp</f>
        <v>9</v>
      </c>
      <c r="M498" s="0" t="n">
        <f aca="false">1/(2*Pi*_Rfb1*(Cc1ea_u+Cc2ea_u)*A498)</f>
        <v>0.004151146146942</v>
      </c>
      <c r="N498" s="0" t="n">
        <f aca="false">-Pi/2</f>
        <v>-1.570796325</v>
      </c>
      <c r="O498" s="0" t="n">
        <f aca="false">SQRT(1+(A498/Fz1_u)^2)</f>
        <v>34.7036254225149</v>
      </c>
      <c r="P498" s="0" t="n">
        <f aca="false">ATAN2(Fz1_u,A498)</f>
        <v>1.54197690439289</v>
      </c>
      <c r="Q498" s="0" t="n">
        <f aca="false">SQRT(1+(A498/Fz2_u)^2)</f>
        <v>39362.5514430042</v>
      </c>
      <c r="R498" s="0" t="n">
        <f aca="false">ATAN2(Fz2_u,A498)</f>
        <v>1.57077092193765</v>
      </c>
      <c r="S498" s="0" t="n">
        <f aca="false">1/SQRT(1+(A498/Fp1_u)^2)</f>
        <v>0.00950439989098244</v>
      </c>
      <c r="T498" s="0" t="n">
        <f aca="false">-ATAN2(Fp1_u,A498)</f>
        <v>-1.56129178380363</v>
      </c>
      <c r="U498" s="0" t="n">
        <f aca="false">1/SQRT(1+(A498/Fp2_u)^2)</f>
        <v>0.251132101951441</v>
      </c>
      <c r="V498" s="0" t="n">
        <f aca="false">-ATAN2(Fp2_u,A498)</f>
        <v>-1.3169466649735</v>
      </c>
      <c r="X498" s="0" t="n">
        <f aca="false">20*LOG(C498*J498*O498*Q498*F498*M498*S498*U498)</f>
        <v>-18.9701921471843</v>
      </c>
      <c r="Y498" s="0" t="n">
        <f aca="false">(180/Pi)*(D498+H498+N498+P498+R498+T498+V498)</f>
        <v>-254.959078015515</v>
      </c>
      <c r="Z498" s="0" t="n">
        <f aca="false">Y498+180</f>
        <v>-74.9590780155153</v>
      </c>
      <c r="AC498" s="0" t="n">
        <v>1</v>
      </c>
      <c r="AD498" s="0" t="n">
        <f aca="false">Rcea1_u*Cc1ea_u*A498*2*Pi</f>
        <v>34.689214713888</v>
      </c>
      <c r="AE498" s="0" t="n">
        <f aca="false">-Rcea1_u*Cc1ea_u*Cc2ea_u*(A498*2*Pi)^2</f>
        <v>-0.0464252167232339</v>
      </c>
      <c r="AF498" s="0" t="n">
        <f aca="false">(Cc2ea_u+Cc1ea_u)*A498*2*Pi</f>
        <v>0.0120448662201</v>
      </c>
      <c r="AG498" s="0" t="n">
        <f aca="false">AC498*AE498/(AE498^2+AF498^2)+AD498*AF498/(AE498^2+AF498^2)</f>
        <v>161.452371534206</v>
      </c>
      <c r="AH498" s="0" t="n">
        <f aca="false">AD498*AE498/(AE498^2+AF498^2)-AC498*AF498/(AE498^2+AF498^2)</f>
        <v>-705.318032074006</v>
      </c>
      <c r="AJ498" s="0" t="n">
        <f aca="false">_Rfb1</f>
        <v>20000</v>
      </c>
      <c r="AK498" s="0" t="n">
        <f aca="false">_Rfb1*Rcea2_u*Cc3ea_u*A498*2*Pi</f>
        <v>2104193.51803584</v>
      </c>
      <c r="AL498" s="0" t="n">
        <v>1</v>
      </c>
      <c r="AM498" s="0" t="n">
        <f aca="false">(_Rfb1+Rcea2_u)*Cc3ea_u*A498*2*Pi</f>
        <v>39362.5514303018</v>
      </c>
      <c r="AN498" s="0" t="n">
        <f aca="false">AJ498*AL498/(AL498^2+AM498^2)+AK498*AM498/(AL498^2+AM498^2)</f>
        <v>53.4567488212944</v>
      </c>
      <c r="AO498" s="0" t="n">
        <f aca="false">AK498*AL498/(AL498^2+AM498^2)-AJ498*AM498/(AL498^2+AM498^2)</f>
        <v>-0.506739083885289</v>
      </c>
      <c r="AQ498" s="0" t="n">
        <f aca="false">Eadcg/(1+(Eadcg*A498/GBP)^2)</f>
        <v>0.00564628987838384</v>
      </c>
      <c r="AR498" s="0" t="n">
        <f aca="false">-(A498*Eadcg*Eadcg/GBP)/(1+(Eadcg*A498/GBP)^2)</f>
        <v>-4.22534456758976</v>
      </c>
      <c r="AT498" s="0" t="n">
        <f aca="false">-AR498*AH498+AG498*AQ498</f>
        <v>-2979.30010835577</v>
      </c>
      <c r="AU498" s="0" t="n">
        <f aca="false">AQ498*AH498+AG498*AR498</f>
        <v>-686.174331052083</v>
      </c>
      <c r="AV498" s="0" t="n">
        <f aca="false">ATAN2(AT498,AU498)</f>
        <v>-2.91522612397507</v>
      </c>
      <c r="AW498" s="0" t="n">
        <f aca="false">AG498-AH498*AO498/_Rfb2+AG498*AN498/_Rfb2+AN498-AO498*AR498+AQ498*AN498</f>
        <v>216.79279341625</v>
      </c>
      <c r="AX498" s="0" t="n">
        <f aca="false">AH498+AH498*AN498/_Rfb2+AG498*AO498/_Rfb2+AO498+AO498*AQ498+AN498*AR498</f>
        <v>-948.704435984667</v>
      </c>
      <c r="AY498" s="0" t="n">
        <f aca="false">ATAN2(AW498,AX498)</f>
        <v>-1.3461391873575</v>
      </c>
      <c r="BA498" s="0" t="n">
        <f aca="false">SQRT(AT498^2+AU498^2)/SQRT(AW498^2+AX498^2)</f>
        <v>3.14161985716249</v>
      </c>
      <c r="BB498" s="0" t="n">
        <f aca="false">20*LOG(BA498)</f>
        <v>9.94307266611839</v>
      </c>
      <c r="BC498" s="0" t="n">
        <f aca="false">AV498-AY498</f>
        <v>-1.56908693661757</v>
      </c>
      <c r="BD498" s="0" t="n">
        <f aca="false">BC498*180/Pi-180</f>
        <v>-269.902059260026</v>
      </c>
      <c r="BF498" s="0" t="n">
        <f aca="false">20*LOG(BA498*J498*F498*C498)</f>
        <v>-31.6561803657739</v>
      </c>
      <c r="BG498" s="0" t="n">
        <f aca="false">(180/Pi)*(D498+H498+BC498)</f>
        <v>-268.297534880945</v>
      </c>
      <c r="BH498" s="0" t="n">
        <f aca="false">IF(BG498&gt;180,BG498-180,BG498+180)</f>
        <v>-88.2975348809455</v>
      </c>
      <c r="BI498" s="0" t="n">
        <f aca="false">IF(BH498&gt;180,BH498-360,BH498)</f>
        <v>-88.2975348809455</v>
      </c>
      <c r="BJ498" s="0" t="n">
        <f aca="false">SUM((BF499&lt;0)*(BF498&gt;0))*A498</f>
        <v>0</v>
      </c>
      <c r="BK498" s="0" t="n">
        <f aca="false">IF(BJ498&gt;0,BI498,0)</f>
        <v>0</v>
      </c>
      <c r="BM498" s="0" t="n">
        <f aca="false">20*LOG(J498*F498*C498)</f>
        <v>-41.5992530318923</v>
      </c>
      <c r="BN498" s="0" t="n">
        <f aca="false">(H498+D498)*180/Pi</f>
        <v>-178.39547562092</v>
      </c>
      <c r="BQ498" s="347" t="n">
        <f aca="false">20*LOG(BA498*7)</f>
        <v>26.8450334664035</v>
      </c>
    </row>
    <row r="499" customFormat="false" ht="12.75" hidden="false" customHeight="false" outlineLevel="0" collapsed="false">
      <c r="A499" s="0" t="n">
        <f aca="false">A498+5000</f>
        <v>1425000</v>
      </c>
      <c r="B499" s="0" t="n">
        <f aca="false">A499/1000</f>
        <v>1425</v>
      </c>
      <c r="C499" s="0" t="n">
        <f aca="false">SQRT((A499/Fesr)^2+1)</f>
        <v>1.00004008212749</v>
      </c>
      <c r="D499" s="0" t="n">
        <f aca="false">ATAN(A499/Fesr)</f>
        <v>0.00895329980795004</v>
      </c>
      <c r="F499" s="0" t="n">
        <f aca="false">(Ro/(Ro+Rdcr))/SQRT((A499/(Q*Fo))^2+(1-(A499^2/Fo^2))^2)</f>
        <v>0.000917745439114189</v>
      </c>
      <c r="G499" s="0" t="n">
        <f aca="false">-ATAN(A499*Fo/(Q*(Fo^2-A499^2)))</f>
        <v>0.0190152834353097</v>
      </c>
      <c r="H499" s="0" t="n">
        <f aca="false">IF(G499&gt;0,G499-Pi,G499)</f>
        <v>-3.12257736656469</v>
      </c>
      <c r="J499" s="0" t="n">
        <f aca="false">Vin/Vramp</f>
        <v>9</v>
      </c>
      <c r="M499" s="0" t="n">
        <f aca="false">1/(2*Pi*_Rfb1*(Cc1ea_u+Cc2ea_u)*A499)</f>
        <v>0.00413658072186501</v>
      </c>
      <c r="N499" s="0" t="n">
        <f aca="false">-Pi/2</f>
        <v>-1.570796325</v>
      </c>
      <c r="O499" s="0" t="n">
        <f aca="false">SQRT(1+(A499/Fz1_u)^2)</f>
        <v>34.8257200017434</v>
      </c>
      <c r="P499" s="0" t="n">
        <f aca="false">ATAN2(Fz1_u,A499)</f>
        <v>1.54207796948546</v>
      </c>
      <c r="Q499" s="0" t="n">
        <f aca="false">SQRT(1+(A499/Fz2_u)^2)</f>
        <v>39501.1519761649</v>
      </c>
      <c r="R499" s="0" t="n">
        <f aca="false">ATAN2(Fz2_u,A499)</f>
        <v>1.5707710110775</v>
      </c>
      <c r="S499" s="0" t="n">
        <f aca="false">1/SQRT(1+(A499/Fp1_u)^2)</f>
        <v>0.00947105411611492</v>
      </c>
      <c r="T499" s="0" t="n">
        <f aca="false">-ATAN2(Fp1_u,A499)</f>
        <v>-1.56132513107944</v>
      </c>
      <c r="U499" s="0" t="n">
        <f aca="false">1/SQRT(1+(A499/Fp2_u)^2)</f>
        <v>0.250306235602619</v>
      </c>
      <c r="V499" s="0" t="n">
        <f aca="false">-ATAN2(Fp2_u,A499)</f>
        <v>-1.31779977996199</v>
      </c>
      <c r="X499" s="0" t="n">
        <f aca="false">20*LOG(C499*J499*O499*Q499*F499*M499*S499*U499)</f>
        <v>-19.0599298565951</v>
      </c>
      <c r="Y499" s="0" t="n">
        <f aca="false">(180/Pi)*(D499+H499+N499+P499+R499+T499+V499)</f>
        <v>-255.006115449862</v>
      </c>
      <c r="Z499" s="0" t="n">
        <f aca="false">Y499+180</f>
        <v>-75.0061154498617</v>
      </c>
      <c r="AC499" s="0" t="n">
        <v>1</v>
      </c>
      <c r="AD499" s="0" t="n">
        <f aca="false">Rcea1_u*Cc1ea_u*A499*2*Pi</f>
        <v>34.81135983612</v>
      </c>
      <c r="AE499" s="0" t="n">
        <f aca="false">-Rcea1_u*Cc1ea_u*Cc2ea_u*(A499*2*Pi)^2</f>
        <v>-0.0467527304644996</v>
      </c>
      <c r="AF499" s="0" t="n">
        <f aca="false">(Cc2ea_u+Cc1ea_u)*A499*2*Pi</f>
        <v>0.012087277720875</v>
      </c>
      <c r="AG499" s="0" t="n">
        <f aca="false">AC499*AE499/(AE499^2+AF499^2)+AD499*AF499/(AE499^2+AF499^2)</f>
        <v>160.392221648778</v>
      </c>
      <c r="AH499" s="0" t="n">
        <f aca="false">AD499*AE499/(AE499^2+AF499^2)-AC499*AF499/(AE499^2+AF499^2)</f>
        <v>-703.117319185113</v>
      </c>
      <c r="AJ499" s="0" t="n">
        <f aca="false">_Rfb1</f>
        <v>20000</v>
      </c>
      <c r="AK499" s="0" t="n">
        <f aca="false">_Rfb1*Rcea2_u*Cc3ea_u*A499*2*Pi</f>
        <v>2111602.6501416</v>
      </c>
      <c r="AL499" s="0" t="n">
        <v>1</v>
      </c>
      <c r="AM499" s="0" t="n">
        <f aca="false">(_Rfb1+Rcea2_u)*Cc3ea_u*A499*2*Pi</f>
        <v>39501.1519635071</v>
      </c>
      <c r="AN499" s="0" t="n">
        <f aca="false">AJ499*AL499/(AL499^2+AM499^2)+AK499*AM499/(AL499^2+AM499^2)</f>
        <v>53.4567487311116</v>
      </c>
      <c r="AO499" s="0" t="n">
        <f aca="false">AK499*AL499/(AL499^2+AM499^2)-AJ499*AM499/(AL499^2+AM499^2)</f>
        <v>-0.50496105201429</v>
      </c>
      <c r="AQ499" s="0" t="n">
        <f aca="false">Eadcg/(1+(Eadcg*A499/GBP)^2)</f>
        <v>0.00560673637584034</v>
      </c>
      <c r="AR499" s="0" t="n">
        <f aca="false">-(A499*Eadcg*Eadcg/GBP)/(1+(Eadcg*A499/GBP)^2)</f>
        <v>-4.2105188498467</v>
      </c>
      <c r="AT499" s="0" t="n">
        <f aca="false">-AR499*AH499+AG499*AQ499</f>
        <v>-2959.58944917907</v>
      </c>
      <c r="AU499" s="0" t="n">
        <f aca="false">AQ499*AH499+AG499*AR499</f>
        <v>-679.276666070926</v>
      </c>
      <c r="AV499" s="0" t="n">
        <f aca="false">ATAN2(AT499,AU499)</f>
        <v>-2.91598286260296</v>
      </c>
      <c r="AW499" s="0" t="n">
        <f aca="false">AG499-AH499*AO499/_Rfb2+AG499*AN499/_Rfb2+AN499-AO499*AR499+AQ499*AN499</f>
        <v>215.721090173053</v>
      </c>
      <c r="AX499" s="0" t="n">
        <f aca="false">AH499+AH499*AN499/_Rfb2+AG499*AO499/_Rfb2+AO499+AO499*AQ499+AN499*AR499</f>
        <v>-945.656070562807</v>
      </c>
      <c r="AY499" s="0" t="n">
        <f aca="false">ATAN2(AW499,AX499)</f>
        <v>-1.34651619799039</v>
      </c>
      <c r="BA499" s="0" t="n">
        <f aca="false">SQRT(AT499^2+AU499^2)/SQRT(AW499^2+AX499^2)</f>
        <v>3.13062024692155</v>
      </c>
      <c r="BB499" s="0" t="n">
        <f aca="false">20*LOG(BA499)</f>
        <v>9.9126077932903</v>
      </c>
      <c r="BC499" s="0" t="n">
        <f aca="false">AV499-AY499</f>
        <v>-1.56946666461258</v>
      </c>
      <c r="BD499" s="0" t="n">
        <f aca="false">BC499*180/Pi-180</f>
        <v>-269.923816071528</v>
      </c>
      <c r="BF499" s="0" t="n">
        <f aca="false">20*LOG(BA499*J499*F499*C499)</f>
        <v>-31.7477491782835</v>
      </c>
      <c r="BG499" s="0" t="n">
        <f aca="false">(180/Pi)*(D499+H499+BC499)</f>
        <v>-268.321334290898</v>
      </c>
      <c r="BH499" s="0" t="n">
        <f aca="false">IF(BG499&gt;180,BG499-180,BG499+180)</f>
        <v>-88.3213342908977</v>
      </c>
      <c r="BI499" s="0" t="n">
        <f aca="false">IF(BH499&gt;180,BH499-360,BH499)</f>
        <v>-88.3213342908977</v>
      </c>
      <c r="BJ499" s="0" t="n">
        <f aca="false">SUM((BF500&lt;0)*(BF499&gt;0))*A499</f>
        <v>0</v>
      </c>
      <c r="BK499" s="0" t="n">
        <f aca="false">IF(BJ499&gt;0,BI499,0)</f>
        <v>0</v>
      </c>
      <c r="BM499" s="0" t="n">
        <f aca="false">20*LOG(J499*F499*C499)</f>
        <v>-41.6603569715738</v>
      </c>
      <c r="BN499" s="0" t="n">
        <f aca="false">(H499+D499)*180/Pi</f>
        <v>-178.39751821937</v>
      </c>
      <c r="BQ499" s="347" t="n">
        <f aca="false">20*LOG(BA499*7)</f>
        <v>26.8145685935754</v>
      </c>
    </row>
    <row r="500" customFormat="false" ht="12.75" hidden="false" customHeight="false" outlineLevel="0" collapsed="false">
      <c r="A500" s="0" t="n">
        <f aca="false">A499+5000</f>
        <v>1430000</v>
      </c>
      <c r="B500" s="0" t="n">
        <f aca="false">A500/1000</f>
        <v>1430</v>
      </c>
      <c r="C500" s="0" t="n">
        <f aca="false">SQRT((A500/Fesr)^2+1)</f>
        <v>1.00004036389337</v>
      </c>
      <c r="D500" s="0" t="n">
        <f aca="false">ATAN(A500/Fesr)</f>
        <v>0.00898471320732141</v>
      </c>
      <c r="F500" s="0" t="n">
        <f aca="false">(Ro/(Ro+Rdcr))/SQRT((A500/(Q*Fo))^2+(1-(A500^2/Fo^2))^2)</f>
        <v>0.000911334126543477</v>
      </c>
      <c r="G500" s="0" t="n">
        <f aca="false">-ATAN(A500*Fo/(Q*(Fo^2-A500^2)))</f>
        <v>0.0189486900521916</v>
      </c>
      <c r="H500" s="0" t="n">
        <f aca="false">IF(G500&gt;0,G500-Pi,G500)</f>
        <v>-3.12264395994781</v>
      </c>
      <c r="J500" s="0" t="n">
        <f aca="false">Vin/Vramp</f>
        <v>9</v>
      </c>
      <c r="M500" s="0" t="n">
        <f aca="false">1/(2*Pi*_Rfb1*(Cc1ea_u+Cc2ea_u)*A500)</f>
        <v>0.00412211715290744</v>
      </c>
      <c r="N500" s="0" t="n">
        <f aca="false">-Pi/2</f>
        <v>-1.570796325</v>
      </c>
      <c r="O500" s="0" t="n">
        <f aca="false">SQRT(1+(A500/Fz1_u)^2)</f>
        <v>34.9478149342016</v>
      </c>
      <c r="P500" s="0" t="n">
        <f aca="false">ATAN2(Fz1_u,A500)</f>
        <v>1.54217832840983</v>
      </c>
      <c r="Q500" s="0" t="n">
        <f aca="false">SQRT(1+(A500/Fz2_u)^2)</f>
        <v>39639.752509326</v>
      </c>
      <c r="R500" s="0" t="n">
        <f aca="false">ATAN2(Fz2_u,A500)</f>
        <v>1.570771099594</v>
      </c>
      <c r="S500" s="0" t="n">
        <f aca="false">1/SQRT(1+(A500/Fp1_u)^2)</f>
        <v>0.00943794149721803</v>
      </c>
      <c r="T500" s="0" t="n">
        <f aca="false">-ATAN2(Fp1_u,A500)</f>
        <v>-1.56135824517837</v>
      </c>
      <c r="U500" s="0" t="n">
        <f aca="false">1/SQRT(1+(A500/Fp2_u)^2)</f>
        <v>0.249485603498306</v>
      </c>
      <c r="V500" s="0" t="n">
        <f aca="false">-ATAN2(Fp2_u,A500)</f>
        <v>-1.31864730166776</v>
      </c>
      <c r="X500" s="0" t="n">
        <f aca="false">20*LOG(C500*J500*O500*Q500*F500*M500*S500*U500)</f>
        <v>-19.1493652944939</v>
      </c>
      <c r="Y500" s="0" t="n">
        <f aca="false">(180/Pi)*(D500+H500+N500+P500+R500+T500+V500)</f>
        <v>-255.05283261498</v>
      </c>
      <c r="Z500" s="0" t="n">
        <f aca="false">Y500+180</f>
        <v>-75.0528326149801</v>
      </c>
      <c r="AC500" s="0" t="n">
        <v>1</v>
      </c>
      <c r="AD500" s="0" t="n">
        <f aca="false">Rcea1_u*Cc1ea_u*A500*2*Pi</f>
        <v>34.933504958352</v>
      </c>
      <c r="AE500" s="0" t="n">
        <f aca="false">-Rcea1_u*Cc1ea_u*Cc2ea_u*(A500*2*Pi)^2</f>
        <v>-0.0470813953964199</v>
      </c>
      <c r="AF500" s="0" t="n">
        <f aca="false">(Cc2ea_u+Cc1ea_u)*A500*2*Pi</f>
        <v>0.01212968922165</v>
      </c>
      <c r="AG500" s="0" t="n">
        <f aca="false">AC500*AE500/(AE500^2+AF500^2)+AD500*AF500/(AE500^2+AF500^2)</f>
        <v>159.34224986346</v>
      </c>
      <c r="AH500" s="0" t="n">
        <f aca="false">AD500*AE500/(AE500^2+AF500^2)-AC500*AF500/(AE500^2+AF500^2)</f>
        <v>-700.929373689275</v>
      </c>
      <c r="AJ500" s="0" t="n">
        <f aca="false">_Rfb1</f>
        <v>20000</v>
      </c>
      <c r="AK500" s="0" t="n">
        <f aca="false">_Rfb1*Rcea2_u*Cc3ea_u*A500*2*Pi</f>
        <v>2119011.78224736</v>
      </c>
      <c r="AL500" s="0" t="n">
        <v>1</v>
      </c>
      <c r="AM500" s="0" t="n">
        <f aca="false">(_Rfb1+Rcea2_u)*Cc3ea_u*A500*2*Pi</f>
        <v>39639.7524967124</v>
      </c>
      <c r="AN500" s="0" t="n">
        <f aca="false">AJ500*AL500/(AL500^2+AM500^2)+AK500*AM500/(AL500^2+AM500^2)</f>
        <v>53.4567486418731</v>
      </c>
      <c r="AO500" s="0" t="n">
        <f aca="false">AK500*AL500/(AL500^2+AM500^2)-AJ500*AM500/(AL500^2+AM500^2)</f>
        <v>-0.503195453932576</v>
      </c>
      <c r="AQ500" s="0" t="n">
        <f aca="false">Eadcg/(1+(Eadcg*A500/GBP)^2)</f>
        <v>0.00556759704343348</v>
      </c>
      <c r="AR500" s="0" t="n">
        <f aca="false">-(A500*Eadcg*Eadcg/GBP)/(1+(Eadcg*A500/GBP)^2)</f>
        <v>-4.19579680790191</v>
      </c>
      <c r="AT500" s="0" t="n">
        <f aca="false">-AR500*AH500+AG500*AQ500</f>
        <v>-2940.07007525091</v>
      </c>
      <c r="AU500" s="0" t="n">
        <f aca="false">AQ500*AH500+AG500*AR500</f>
        <v>-672.470195649621</v>
      </c>
      <c r="AV500" s="0" t="n">
        <f aca="false">ATAN2(AT500,AU500)</f>
        <v>-2.91673468132807</v>
      </c>
      <c r="AW500" s="0" t="n">
        <f aca="false">AG500-AH500*AO500/_Rfb2+AG500*AN500/_Rfb2+AN500-AO500*AR500+AQ500*AN500</f>
        <v>214.659664617738</v>
      </c>
      <c r="AX500" s="0" t="n">
        <f aca="false">AH500+AH500*AN500/_Rfb2+AG500*AO500/_Rfb2+AO500+AO500*AQ500+AN500*AR500</f>
        <v>-942.626339583459</v>
      </c>
      <c r="AY500" s="0" t="n">
        <f aca="false">ATAN2(AW500,AX500)</f>
        <v>-1.34688962663838</v>
      </c>
      <c r="BA500" s="0" t="n">
        <f aca="false">SQRT(AT500^2+AU500^2)/SQRT(AW500^2+AX500^2)</f>
        <v>3.11969687620934</v>
      </c>
      <c r="BB500" s="0" t="n">
        <f aca="false">20*LOG(BA500)</f>
        <v>9.88224796123412</v>
      </c>
      <c r="BC500" s="0" t="n">
        <f aca="false">AV500-AY500</f>
        <v>-1.56984505468968</v>
      </c>
      <c r="BD500" s="0" t="n">
        <f aca="false">BC500*180/Pi-180</f>
        <v>-269.945496225981</v>
      </c>
      <c r="BF500" s="0" t="n">
        <f aca="false">20*LOG(BA500*J500*F500*C500)</f>
        <v>-31.8389985904311</v>
      </c>
      <c r="BG500" s="0" t="n">
        <f aca="false">(180/Pi)*(D500+H500+BC500)</f>
        <v>-268.345030109945</v>
      </c>
      <c r="BH500" s="0" t="n">
        <f aca="false">IF(BG500&gt;180,BG500-180,BG500+180)</f>
        <v>-88.3450301099446</v>
      </c>
      <c r="BI500" s="0" t="n">
        <f aca="false">IF(BH500&gt;180,BH500-360,BH500)</f>
        <v>-88.3450301099446</v>
      </c>
      <c r="BJ500" s="0" t="n">
        <f aca="false">SUM((BF501&lt;0)*(BF500&gt;0))*A500</f>
        <v>0</v>
      </c>
      <c r="BK500" s="0" t="n">
        <f aca="false">IF(BJ500&gt;0,BI500,0)</f>
        <v>0</v>
      </c>
      <c r="BM500" s="0" t="n">
        <f aca="false">20*LOG(J500*F500*C500)</f>
        <v>-41.7212465516652</v>
      </c>
      <c r="BN500" s="0" t="n">
        <f aca="false">(H500+D500)*180/Pi</f>
        <v>-178.399533883964</v>
      </c>
      <c r="BQ500" s="347" t="n">
        <f aca="false">20*LOG(BA500*7)</f>
        <v>26.7842087615193</v>
      </c>
    </row>
    <row r="501" customFormat="false" ht="12.75" hidden="false" customHeight="false" outlineLevel="0" collapsed="false">
      <c r="A501" s="0" t="n">
        <f aca="false">A500+5000</f>
        <v>1435000</v>
      </c>
      <c r="B501" s="0" t="n">
        <f aca="false">A501/1000</f>
        <v>1435</v>
      </c>
      <c r="C501" s="0" t="n">
        <f aca="false">SQRT((A501/Fesr)^2+1)</f>
        <v>1.00004064664608</v>
      </c>
      <c r="D501" s="0" t="n">
        <f aca="false">ATAN(A501/Fesr)</f>
        <v>0.00901612658896004</v>
      </c>
      <c r="F501" s="0" t="n">
        <f aca="false">(Ro/(Ro+Rdcr))/SQRT((A501/(Q*Fo))^2+(1-(A501^2/Fo^2))^2)</f>
        <v>0.000904989779885383</v>
      </c>
      <c r="G501" s="0" t="n">
        <f aca="false">-ATAN(A501*Fo/(Q*(Fo^2-A501^2)))</f>
        <v>0.0188825618416118</v>
      </c>
      <c r="H501" s="0" t="n">
        <f aca="false">IF(G501&gt;0,G501-Pi,G501)</f>
        <v>-3.12271008815839</v>
      </c>
      <c r="J501" s="0" t="n">
        <f aca="false">Vin/Vramp</f>
        <v>9</v>
      </c>
      <c r="M501" s="0" t="n">
        <f aca="false">1/(2*Pi*_Rfb1*(Cc1ea_u+Cc2ea_u)*A501)</f>
        <v>0.00410775437537118</v>
      </c>
      <c r="N501" s="0" t="n">
        <f aca="false">-Pi/2</f>
        <v>-1.570796325</v>
      </c>
      <c r="O501" s="0" t="n">
        <f aca="false">SQRT(1+(A501/Fz1_u)^2)</f>
        <v>35.0699102162003</v>
      </c>
      <c r="P501" s="0" t="n">
        <f aca="false">ATAN2(Fz1_u,A501)</f>
        <v>1.5422779885395</v>
      </c>
      <c r="Q501" s="0" t="n">
        <f aca="false">SQRT(1+(A501/Fz2_u)^2)</f>
        <v>39778.3530424873</v>
      </c>
      <c r="R501" s="0" t="n">
        <f aca="false">ATAN2(Fz2_u,A501)</f>
        <v>1.57077118749365</v>
      </c>
      <c r="S501" s="0" t="n">
        <f aca="false">1/SQRT(1+(A501/Fp1_u)^2)</f>
        <v>0.00940505959755478</v>
      </c>
      <c r="T501" s="0" t="n">
        <f aca="false">-ATAN2(Fp1_u,A501)</f>
        <v>-1.5613911285375</v>
      </c>
      <c r="U501" s="0" t="n">
        <f aca="false">1/SQRT(1+(A501/Fp2_u)^2)</f>
        <v>0.248670157844662</v>
      </c>
      <c r="V501" s="0" t="n">
        <f aca="false">-ATAN2(Fp2_u,A501)</f>
        <v>-1.31948928371234</v>
      </c>
      <c r="X501" s="0" t="n">
        <f aca="false">20*LOG(C501*J501*O501*Q501*F501*M501*S501*U501)</f>
        <v>-19.2385004560833</v>
      </c>
      <c r="Y501" s="0" t="n">
        <f aca="false">(180/Pi)*(D501+H501+N501+P501+R501+T501+V501)</f>
        <v>-255.099232582398</v>
      </c>
      <c r="Z501" s="0" t="n">
        <f aca="false">Y501+180</f>
        <v>-75.0992325823976</v>
      </c>
      <c r="AC501" s="0" t="n">
        <v>1</v>
      </c>
      <c r="AD501" s="0" t="n">
        <f aca="false">Rcea1_u*Cc1ea_u*A501*2*Pi</f>
        <v>35.055650080584</v>
      </c>
      <c r="AE501" s="0" t="n">
        <f aca="false">-Rcea1_u*Cc1ea_u*Cc2ea_u*(A501*2*Pi)^2</f>
        <v>-0.0474112115189949</v>
      </c>
      <c r="AF501" s="0" t="n">
        <f aca="false">(Cc2ea_u+Cc1ea_u)*A501*2*Pi</f>
        <v>0.012172100722425</v>
      </c>
      <c r="AG501" s="0" t="n">
        <f aca="false">AC501*AE501/(AE501^2+AF501^2)+AD501*AF501/(AE501^2+AF501^2)</f>
        <v>158.302329350372</v>
      </c>
      <c r="AH501" s="0" t="n">
        <f aca="false">AD501*AE501/(AE501^2+AF501^2)-AC501*AF501/(AE501^2+AF501^2)</f>
        <v>-698.754094690535</v>
      </c>
      <c r="AJ501" s="0" t="n">
        <f aca="false">_Rfb1</f>
        <v>20000</v>
      </c>
      <c r="AK501" s="0" t="n">
        <f aca="false">_Rfb1*Rcea2_u*Cc3ea_u*A501*2*Pi</f>
        <v>2126420.91435312</v>
      </c>
      <c r="AL501" s="0" t="n">
        <v>1</v>
      </c>
      <c r="AM501" s="0" t="n">
        <f aca="false">(_Rfb1+Rcea2_u)*Cc3ea_u*A501*2*Pi</f>
        <v>39778.3530299176</v>
      </c>
      <c r="AN501" s="0" t="n">
        <f aca="false">AJ501*AL501/(AL501^2+AM501^2)+AK501*AM501/(AL501^2+AM501^2)</f>
        <v>53.4567485535658</v>
      </c>
      <c r="AO501" s="0" t="n">
        <f aca="false">AK501*AL501/(AL501^2+AM501^2)-AJ501*AM501/(AL501^2+AM501^2)</f>
        <v>-0.501442159670222</v>
      </c>
      <c r="AQ501" s="0" t="n">
        <f aca="false">Eadcg/(1+(Eadcg*A501/GBP)^2)</f>
        <v>0.00552886611884226</v>
      </c>
      <c r="AR501" s="0" t="n">
        <f aca="false">-(A501*Eadcg*Eadcg/GBP)/(1+(Eadcg*A501/GBP)^2)</f>
        <v>-4.18117735804386</v>
      </c>
      <c r="AT501" s="0" t="n">
        <f aca="false">-AR501*AH501+AG501*AQ501</f>
        <v>-2920.73956717522</v>
      </c>
      <c r="AU501" s="0" t="n">
        <f aca="false">AQ501*AH501+AG501*AR501</f>
        <v>-665.753433044915</v>
      </c>
      <c r="AV501" s="0" t="n">
        <f aca="false">ATAN2(AT501,AU501)</f>
        <v>-2.91748162674112</v>
      </c>
      <c r="AW501" s="0" t="n">
        <f aca="false">AG501-AH501*AO501/_Rfb2+AG501*AN501/_Rfb2+AN501-AO501*AR501+AQ501*AN501</f>
        <v>213.6083888794</v>
      </c>
      <c r="AX501" s="0" t="n">
        <f aca="false">AH501+AH501*AN501/_Rfb2+AG501*AO501/_Rfb2+AO501+AO501*AQ501+AN501*AR501</f>
        <v>-939.615081574736</v>
      </c>
      <c r="AY501" s="0" t="n">
        <f aca="false">ATAN2(AW501,AX501)</f>
        <v>-1.34725950609857</v>
      </c>
      <c r="BA501" s="0" t="n">
        <f aca="false">SQRT(AT501^2+AU501^2)/SQRT(AW501^2+AX501^2)</f>
        <v>3.10884895597178</v>
      </c>
      <c r="BB501" s="0" t="n">
        <f aca="false">20*LOG(BA501)</f>
        <v>9.85199244548595</v>
      </c>
      <c r="BC501" s="0" t="n">
        <f aca="false">AV501-AY501</f>
        <v>-1.57022212064256</v>
      </c>
      <c r="BD501" s="0" t="n">
        <f aca="false">BC501*180/Pi-180</f>
        <v>-269.967100513703</v>
      </c>
      <c r="BF501" s="0" t="n">
        <f aca="false">20*LOG(BA501*J501*F501*C501)</f>
        <v>-31.9299308263385</v>
      </c>
      <c r="BG501" s="0" t="n">
        <f aca="false">(180/Pi)*(D501+H501+BC501)</f>
        <v>-268.368623410854</v>
      </c>
      <c r="BH501" s="0" t="n">
        <f aca="false">IF(BG501&gt;180,BG501-180,BG501+180)</f>
        <v>-88.368623410854</v>
      </c>
      <c r="BI501" s="0" t="n">
        <f aca="false">IF(BH501&gt;180,BH501-360,BH501)</f>
        <v>-88.368623410854</v>
      </c>
      <c r="BJ501" s="0" t="n">
        <f aca="false">SUM((BF502&lt;0)*(BF501&gt;0))*A501</f>
        <v>0</v>
      </c>
      <c r="BK501" s="0" t="n">
        <f aca="false">IF(BJ501&gt;0,BI501,0)</f>
        <v>0</v>
      </c>
      <c r="BM501" s="0" t="n">
        <f aca="false">20*LOG(J501*F501*C501)</f>
        <v>-41.7819232718244</v>
      </c>
      <c r="BN501" s="0" t="n">
        <f aca="false">(H501+D501)*180/Pi</f>
        <v>-178.401522897151</v>
      </c>
      <c r="BQ501" s="347" t="n">
        <f aca="false">20*LOG(BA501*7)</f>
        <v>26.7539532457711</v>
      </c>
    </row>
    <row r="502" customFormat="false" ht="12.75" hidden="false" customHeight="false" outlineLevel="0" collapsed="false">
      <c r="A502" s="0" t="n">
        <f aca="false">A501+5000</f>
        <v>1440000</v>
      </c>
      <c r="B502" s="0" t="n">
        <f aca="false">A502/1000</f>
        <v>1440</v>
      </c>
      <c r="C502" s="0" t="n">
        <f aca="false">SQRT((A502/Fesr)^2+1)</f>
        <v>1.00004093038563</v>
      </c>
      <c r="D502" s="0" t="n">
        <f aca="false">ATAN(A502/Fesr)</f>
        <v>0.00904753995280397</v>
      </c>
      <c r="F502" s="0" t="n">
        <f aca="false">(Ro/(Ro+Rdcr))/SQRT((A502/(Q*Fo))^2+(1-(A502^2/Fo^2))^2)</f>
        <v>0.000898711469543869</v>
      </c>
      <c r="G502" s="0" t="n">
        <f aca="false">-ATAN(A502*Fo/(Q*(Fo^2-A502^2)))</f>
        <v>0.0188168939427091</v>
      </c>
      <c r="H502" s="0" t="n">
        <f aca="false">IF(G502&gt;0,G502-Pi,G502)</f>
        <v>-3.12277575605729</v>
      </c>
      <c r="J502" s="0" t="n">
        <f aca="false">Vin/Vramp</f>
        <v>9</v>
      </c>
      <c r="M502" s="0" t="n">
        <f aca="false">1/(2*Pi*_Rfb1*(Cc1ea_u+Cc2ea_u)*A502)</f>
        <v>0.00409349133934559</v>
      </c>
      <c r="N502" s="0" t="n">
        <f aca="false">-Pi/2</f>
        <v>-1.570796325</v>
      </c>
      <c r="O502" s="0" t="n">
        <f aca="false">SQRT(1+(A502/Fz1_u)^2)</f>
        <v>35.1920058441014</v>
      </c>
      <c r="P502" s="0" t="n">
        <f aca="false">ATAN2(Fz1_u,A502)</f>
        <v>1.5423769571457</v>
      </c>
      <c r="Q502" s="0" t="n">
        <f aca="false">SQRT(1+(A502/Fz2_u)^2)</f>
        <v>39916.9535756489</v>
      </c>
      <c r="R502" s="0" t="n">
        <f aca="false">ATAN2(Fz2_u,A502)</f>
        <v>1.57077127478289</v>
      </c>
      <c r="S502" s="0" t="n">
        <f aca="false">1/SQRT(1+(A502/Fp1_u)^2)</f>
        <v>0.00937240601422427</v>
      </c>
      <c r="T502" s="0" t="n">
        <f aca="false">-ATAN2(Fp1_u,A502)</f>
        <v>-1.56142378356011</v>
      </c>
      <c r="U502" s="0" t="n">
        <f aca="false">1/SQRT(1+(A502/Fp2_u)^2)</f>
        <v>0.247859851403275</v>
      </c>
      <c r="V502" s="0" t="n">
        <f aca="false">-ATAN2(Fp2_u,A502)</f>
        <v>-1.32032577904996</v>
      </c>
      <c r="X502" s="0" t="n">
        <f aca="false">20*LOG(C502*J502*O502*Q502*F502*M502*S502*U502)</f>
        <v>-19.327337317163</v>
      </c>
      <c r="Y502" s="0" t="n">
        <f aca="false">(180/Pi)*(D502+H502+N502+P502+R502+T502+V502)</f>
        <v>-255.145318385397</v>
      </c>
      <c r="Z502" s="0" t="n">
        <f aca="false">Y502+180</f>
        <v>-75.1453183853973</v>
      </c>
      <c r="AC502" s="0" t="n">
        <v>1</v>
      </c>
      <c r="AD502" s="0" t="n">
        <f aca="false">Rcea1_u*Cc1ea_u*A502*2*Pi</f>
        <v>35.177795202816</v>
      </c>
      <c r="AE502" s="0" t="n">
        <f aca="false">-Rcea1_u*Cc1ea_u*Cc2ea_u*(A502*2*Pi)^2</f>
        <v>-0.0477421788322247</v>
      </c>
      <c r="AF502" s="0" t="n">
        <f aca="false">(Cc2ea_u+Cc1ea_u)*A502*2*Pi</f>
        <v>0.0122145122232</v>
      </c>
      <c r="AG502" s="0" t="n">
        <f aca="false">AC502*AE502/(AE502^2+AF502^2)+AD502*AF502/(AE502^2+AF502^2)</f>
        <v>157.272335200393</v>
      </c>
      <c r="AH502" s="0" t="n">
        <f aca="false">AD502*AE502/(AE502^2+AF502^2)-AC502*AF502/(AE502^2+AF502^2)</f>
        <v>-696.591382203364</v>
      </c>
      <c r="AJ502" s="0" t="n">
        <f aca="false">_Rfb1</f>
        <v>20000</v>
      </c>
      <c r="AK502" s="0" t="n">
        <f aca="false">_Rfb1*Rcea2_u*Cc3ea_u*A502*2*Pi</f>
        <v>2133830.04645888</v>
      </c>
      <c r="AL502" s="0" t="n">
        <v>1</v>
      </c>
      <c r="AM502" s="0" t="n">
        <f aca="false">(_Rfb1+Rcea2_u)*Cc3ea_u*A502*2*Pi</f>
        <v>39916.9535631229</v>
      </c>
      <c r="AN502" s="0" t="n">
        <f aca="false">AJ502*AL502/(AL502^2+AM502^2)+AK502*AM502/(AL502^2+AM502^2)</f>
        <v>53.4567484661767</v>
      </c>
      <c r="AO502" s="0" t="n">
        <f aca="false">AK502*AL502/(AL502^2+AM502^2)-AJ502*AM502/(AL502^2+AM502^2)</f>
        <v>-0.499701041062445</v>
      </c>
      <c r="AQ502" s="0" t="n">
        <f aca="false">Eadcg/(1+(Eadcg*A502/GBP)^2)</f>
        <v>0.00549053793961161</v>
      </c>
      <c r="AR502" s="0" t="n">
        <f aca="false">-(A502*Eadcg*Eadcg/GBP)/(1+(Eadcg*A502/GBP)^2)</f>
        <v>-4.16665943161246</v>
      </c>
      <c r="AT502" s="0" t="n">
        <f aca="false">-AR502*AH502+AG502*AQ502</f>
        <v>-2901.59554291433</v>
      </c>
      <c r="AU502" s="0" t="n">
        <f aca="false">AQ502*AH502+AG502*AR502</f>
        <v>-659.124920206829</v>
      </c>
      <c r="AV502" s="0" t="n">
        <f aca="false">ATAN2(AT502,AU502)</f>
        <v>-2.91822374486313</v>
      </c>
      <c r="AW502" s="0" t="n">
        <f aca="false">AG502-AH502*AO502/_Rfb2+AG502*AN502/_Rfb2+AN502-AO502*AR502+AQ502*AN502</f>
        <v>212.567137017499</v>
      </c>
      <c r="AX502" s="0" t="n">
        <f aca="false">AH502+AH502*AN502/_Rfb2+AG502*AO502/_Rfb2+AO502+AO502*AQ502+AN502*AR502</f>
        <v>-936.622136805182</v>
      </c>
      <c r="AY502" s="0" t="n">
        <f aca="false">ATAN2(AW502,AX502)</f>
        <v>-1.34762586878765</v>
      </c>
      <c r="BA502" s="0" t="n">
        <f aca="false">SQRT(AT502^2+AU502^2)/SQRT(AW502^2+AX502^2)</f>
        <v>3.09807570797926</v>
      </c>
      <c r="BB502" s="0" t="n">
        <f aca="false">20*LOG(BA502)</f>
        <v>9.82184052899236</v>
      </c>
      <c r="BC502" s="0" t="n">
        <f aca="false">AV502-AY502</f>
        <v>-1.57059787607548</v>
      </c>
      <c r="BD502" s="0" t="n">
        <f aca="false">BC502*180/Pi-180</f>
        <v>-269.988629714163</v>
      </c>
      <c r="BF502" s="0" t="n">
        <f aca="false">20*LOG(BA502*J502*F502*C502)</f>
        <v>-32.0205480870226</v>
      </c>
      <c r="BG502" s="0" t="n">
        <f aca="false">(180/Pi)*(D502+H502+BC502)</f>
        <v>-268.392115251605</v>
      </c>
      <c r="BH502" s="0" t="n">
        <f aca="false">IF(BG502&gt;180,BG502-180,BG502+180)</f>
        <v>-88.3921152516047</v>
      </c>
      <c r="BI502" s="0" t="n">
        <f aca="false">IF(BH502&gt;180,BH502-360,BH502)</f>
        <v>-88.3921152516047</v>
      </c>
      <c r="BJ502" s="0" t="n">
        <f aca="false">SUM((BF503&lt;0)*(BF502&gt;0))*A502</f>
        <v>0</v>
      </c>
      <c r="BK502" s="0" t="n">
        <f aca="false">IF(BJ502&gt;0,BI502,0)</f>
        <v>0</v>
      </c>
      <c r="BM502" s="0" t="n">
        <f aca="false">20*LOG(J502*F502*C502)</f>
        <v>-41.842388616015</v>
      </c>
      <c r="BN502" s="0" t="n">
        <f aca="false">(H502+D502)*180/Pi</f>
        <v>-178.403485537442</v>
      </c>
      <c r="BQ502" s="347" t="n">
        <f aca="false">20*LOG(BA502*7)</f>
        <v>26.7238013292775</v>
      </c>
    </row>
    <row r="503" customFormat="false" ht="12.75" hidden="false" customHeight="false" outlineLevel="0" collapsed="false">
      <c r="A503" s="0" t="n">
        <f aca="false">A502+5000</f>
        <v>1445000</v>
      </c>
      <c r="B503" s="0" t="n">
        <f aca="false">A503/1000</f>
        <v>1445</v>
      </c>
      <c r="C503" s="0" t="n">
        <f aca="false">SQRT((A503/Fesr)^2+1)</f>
        <v>1.00004121511202</v>
      </c>
      <c r="D503" s="0" t="n">
        <f aca="false">ATAN(A503/Fesr)</f>
        <v>0.0090789532987912</v>
      </c>
      <c r="F503" s="0" t="n">
        <f aca="false">(Ro/(Ro+Rdcr))/SQRT((A503/(Q*Fo))^2+(1-(A503^2/Fo^2))^2)</f>
        <v>0.000892498282001327</v>
      </c>
      <c r="G503" s="0" t="n">
        <f aca="false">-ATAN(A503*Fo/(Q*(Fo^2-A503^2)))</f>
        <v>0.0187516815621643</v>
      </c>
      <c r="H503" s="0" t="n">
        <f aca="false">IF(G503&gt;0,G503-Pi,G503)</f>
        <v>-3.12284096843784</v>
      </c>
      <c r="J503" s="0" t="n">
        <f aca="false">Vin/Vramp</f>
        <v>9</v>
      </c>
      <c r="M503" s="0" t="n">
        <f aca="false">1/(2*Pi*_Rfb1*(Cc1ea_u+Cc2ea_u)*A503)</f>
        <v>0.00407932700945166</v>
      </c>
      <c r="N503" s="0" t="n">
        <f aca="false">-Pi/2</f>
        <v>-1.570796325</v>
      </c>
      <c r="O503" s="0" t="n">
        <f aca="false">SQRT(1+(A503/Fz1_u)^2)</f>
        <v>35.314101814317</v>
      </c>
      <c r="P503" s="0" t="n">
        <f aca="false">ATAN2(Fz1_u,A503)</f>
        <v>1.54247524139917</v>
      </c>
      <c r="Q503" s="0" t="n">
        <f aca="false">SQRT(1+(A503/Fz2_u)^2)</f>
        <v>40055.5541088109</v>
      </c>
      <c r="R503" s="0" t="n">
        <f aca="false">ATAN2(Fz2_u,A503)</f>
        <v>1.57077136146806</v>
      </c>
      <c r="S503" s="0" t="n">
        <f aca="false">1/SQRT(1+(A503/Fp1_u)^2)</f>
        <v>0.00933997837757644</v>
      </c>
      <c r="T503" s="0" t="n">
        <f aca="false">-ATAN2(Fp1_u,A503)</f>
        <v>-1.56145621261618</v>
      </c>
      <c r="U503" s="0" t="n">
        <f aca="false">1/SQRT(1+(A503/Fp2_u)^2)</f>
        <v>0.247054637483549</v>
      </c>
      <c r="V503" s="0" t="n">
        <f aca="false">-ATAN2(Fp2_u,A503)</f>
        <v>-1.32115683997772</v>
      </c>
      <c r="X503" s="0" t="n">
        <f aca="false">20*LOG(C503*J503*O503*Q503*F503*M503*S503*U503)</f>
        <v>-19.4158778343784</v>
      </c>
      <c r="Y503" s="0" t="n">
        <f aca="false">(180/Pi)*(D503+H503+N503+P503+R503+T503+V503)</f>
        <v>-255.191093019596</v>
      </c>
      <c r="Z503" s="0" t="n">
        <f aca="false">Y503+180</f>
        <v>-75.1910930195961</v>
      </c>
      <c r="AC503" s="0" t="n">
        <v>1</v>
      </c>
      <c r="AD503" s="0" t="n">
        <f aca="false">Rcea1_u*Cc1ea_u*A503*2*Pi</f>
        <v>35.299940325048</v>
      </c>
      <c r="AE503" s="0" t="n">
        <f aca="false">-Rcea1_u*Cc1ea_u*Cc2ea_u*(A503*2*Pi)^2</f>
        <v>-0.0480742973361092</v>
      </c>
      <c r="AF503" s="0" t="n">
        <f aca="false">(Cc2ea_u+Cc1ea_u)*A503*2*Pi</f>
        <v>0.012256923723975</v>
      </c>
      <c r="AG503" s="0" t="n">
        <f aca="false">AC503*AE503/(AE503^2+AF503^2)+AD503*AF503/(AE503^2+AF503^2)</f>
        <v>156.252144389448</v>
      </c>
      <c r="AH503" s="0" t="n">
        <f aca="false">AD503*AE503/(AE503^2+AF503^2)-AC503*AF503/(AE503^2+AF503^2)</f>
        <v>-694.44113714551</v>
      </c>
      <c r="AJ503" s="0" t="n">
        <f aca="false">_Rfb1</f>
        <v>20000</v>
      </c>
      <c r="AK503" s="0" t="n">
        <f aca="false">_Rfb1*Rcea2_u*Cc3ea_u*A503*2*Pi</f>
        <v>2141239.17856464</v>
      </c>
      <c r="AL503" s="0" t="n">
        <v>1</v>
      </c>
      <c r="AM503" s="0" t="n">
        <f aca="false">(_Rfb1+Rcea2_u)*Cc3ea_u*A503*2*Pi</f>
        <v>40055.5540963282</v>
      </c>
      <c r="AN503" s="0" t="n">
        <f aca="false">AJ503*AL503/(AL503^2+AM503^2)+AK503*AM503/(AL503^2+AM503^2)</f>
        <v>53.4567483796933</v>
      </c>
      <c r="AO503" s="0" t="n">
        <f aca="false">AK503*AL503/(AL503^2+AM503^2)-AJ503*AM503/(AL503^2+AM503^2)</f>
        <v>-0.497971971718368</v>
      </c>
      <c r="AQ503" s="0" t="n">
        <f aca="false">Eadcg/(1+(Eadcg*A503/GBP)^2)</f>
        <v>0.0054526069410827</v>
      </c>
      <c r="AR503" s="0" t="n">
        <f aca="false">-(A503*Eadcg*Eadcg/GBP)/(1+(Eadcg*A503/GBP)^2)</f>
        <v>-4.15224197473859</v>
      </c>
      <c r="AT503" s="0" t="n">
        <f aca="false">-AR503*AH503+AG503*AQ503</f>
        <v>-2882.63565711373</v>
      </c>
      <c r="AU503" s="0" t="n">
        <f aca="false">AQ503*AH503+AG503*AR503</f>
        <v>-652.583227141353</v>
      </c>
      <c r="AV503" s="0" t="n">
        <f aca="false">ATAN2(AT503,AU503)</f>
        <v>-2.91896108115373</v>
      </c>
      <c r="AW503" s="0" t="n">
        <f aca="false">AG503-AH503*AO503/_Rfb2+AG503*AN503/_Rfb2+AN503-AO503*AR503+AQ503*AN503</f>
        <v>211.53578498804</v>
      </c>
      <c r="AX503" s="0" t="n">
        <f aca="false">AH503+AH503*AN503/_Rfb2+AG503*AO503/_Rfb2+AO503+AO503*AQ503+AN503*AR503</f>
        <v>-933.647347262454</v>
      </c>
      <c r="AY503" s="0" t="n">
        <f aca="false">ATAN2(AW503,AX503)</f>
        <v>-1.34798874674712</v>
      </c>
      <c r="BA503" s="0" t="n">
        <f aca="false">SQRT(AT503^2+AU503^2)/SQRT(AW503^2+AX503^2)</f>
        <v>3.08737636464215</v>
      </c>
      <c r="BB503" s="0" t="n">
        <f aca="false">20*LOG(BA503)</f>
        <v>9.79179150201018</v>
      </c>
      <c r="BC503" s="0" t="n">
        <f aca="false">AV503-AY503</f>
        <v>-1.57097233440661</v>
      </c>
      <c r="BD503" s="0" t="n">
        <f aca="false">BC503*180/Pi-180</f>
        <v>-270.010084596165</v>
      </c>
      <c r="BF503" s="0" t="n">
        <f aca="false">20*LOG(BA503*J503*F503*C503)</f>
        <v>-32.1108525507138</v>
      </c>
      <c r="BG503" s="0" t="n">
        <f aca="false">(180/Pi)*(D503+H503+BC503)</f>
        <v>-268.41550667564</v>
      </c>
      <c r="BH503" s="0" t="n">
        <f aca="false">IF(BG503&gt;180,BG503-180,BG503+180)</f>
        <v>-88.4155066756404</v>
      </c>
      <c r="BI503" s="0" t="n">
        <f aca="false">IF(BH503&gt;180,BH503-360,BH503)</f>
        <v>-88.4155066756404</v>
      </c>
      <c r="BJ503" s="0" t="n">
        <f aca="false">SUM((BF504&lt;0)*(BF503&gt;0))*A503</f>
        <v>0</v>
      </c>
      <c r="BK503" s="0" t="n">
        <f aca="false">IF(BJ503&gt;0,BI503,0)</f>
        <v>0</v>
      </c>
      <c r="BM503" s="0" t="n">
        <f aca="false">20*LOG(J503*F503*C503)</f>
        <v>-41.902644052724</v>
      </c>
      <c r="BN503" s="0" t="n">
        <f aca="false">(H503+D503)*180/Pi</f>
        <v>-178.405422079476</v>
      </c>
      <c r="BQ503" s="347" t="n">
        <f aca="false">20*LOG(BA503*7)</f>
        <v>26.6937523022953</v>
      </c>
    </row>
    <row r="504" customFormat="false" ht="12.75" hidden="false" customHeight="false" outlineLevel="0" collapsed="false">
      <c r="A504" s="0" t="n">
        <f aca="false">A503+5000</f>
        <v>1450000</v>
      </c>
      <c r="B504" s="0" t="n">
        <f aca="false">A504/1000</f>
        <v>1450</v>
      </c>
      <c r="C504" s="0" t="n">
        <f aca="false">SQRT((A504/Fesr)^2+1)</f>
        <v>1.00004150082525</v>
      </c>
      <c r="D504" s="0" t="n">
        <f aca="false">ATAN(A504/Fesr)</f>
        <v>0.00911036662685977</v>
      </c>
      <c r="F504" s="0" t="n">
        <f aca="false">(Ro/(Ro+Rdcr))/SQRT((A504/(Q*Fo))^2+(1-(A504^2/Fo^2))^2)</f>
        <v>0.000886349319485933</v>
      </c>
      <c r="G504" s="0" t="n">
        <f aca="false">-ATAN(A504*Fo/(Q*(Fo^2-A504^2)))</f>
        <v>0.0186869199730307</v>
      </c>
      <c r="H504" s="0" t="n">
        <f aca="false">IF(G504&gt;0,G504-Pi,G504)</f>
        <v>-3.12290573002697</v>
      </c>
      <c r="J504" s="0" t="n">
        <f aca="false">Vin/Vramp</f>
        <v>9</v>
      </c>
      <c r="M504" s="0" t="n">
        <f aca="false">1/(2*Pi*_Rfb1*(Cc1ea_u+Cc2ea_u)*A504)</f>
        <v>0.00406526036459148</v>
      </c>
      <c r="N504" s="0" t="n">
        <f aca="false">-Pi/2</f>
        <v>-1.570796325</v>
      </c>
      <c r="O504" s="0" t="n">
        <f aca="false">SQRT(1+(A504/Fz1_u)^2)</f>
        <v>35.436198123309</v>
      </c>
      <c r="P504" s="0" t="n">
        <f aca="false">ATAN2(Fz1_u,A504)</f>
        <v>1.54257284837185</v>
      </c>
      <c r="Q504" s="0" t="n">
        <f aca="false">SQRT(1+(A504/Fz2_u)^2)</f>
        <v>40194.1546419731</v>
      </c>
      <c r="R504" s="0" t="n">
        <f aca="false">ATAN2(Fz2_u,A504)</f>
        <v>1.57077144755539</v>
      </c>
      <c r="S504" s="0" t="n">
        <f aca="false">1/SQRT(1+(A504/Fp1_u)^2)</f>
        <v>0.00930777435063894</v>
      </c>
      <c r="T504" s="0" t="n">
        <f aca="false">-ATAN2(Fp1_u,A504)</f>
        <v>-1.56148841804304</v>
      </c>
      <c r="U504" s="0" t="n">
        <f aca="false">1/SQRT(1+(A504/Fp2_u)^2)</f>
        <v>0.246254469935202</v>
      </c>
      <c r="V504" s="0" t="n">
        <f aca="false">-ATAN2(Fp2_u,A504)</f>
        <v>-1.32198251814538</v>
      </c>
      <c r="X504" s="0" t="n">
        <f aca="false">20*LOG(C504*J504*O504*Q504*F504*M504*S504*U504)</f>
        <v>-19.5041239454638</v>
      </c>
      <c r="Y504" s="0" t="n">
        <f aca="false">(180/Pi)*(D504+H504+N504+P504+R504+T504+V504)</f>
        <v>-255.236559443513</v>
      </c>
      <c r="Z504" s="0" t="n">
        <f aca="false">Y504+180</f>
        <v>-75.2365594435134</v>
      </c>
      <c r="AC504" s="0" t="n">
        <v>1</v>
      </c>
      <c r="AD504" s="0" t="n">
        <f aca="false">Rcea1_u*Cc1ea_u*A504*2*Pi</f>
        <v>35.42208544728</v>
      </c>
      <c r="AE504" s="0" t="n">
        <f aca="false">-Rcea1_u*Cc1ea_u*Cc2ea_u*(A504*2*Pi)^2</f>
        <v>-0.0484075670306484</v>
      </c>
      <c r="AF504" s="0" t="n">
        <f aca="false">(Cc2ea_u+Cc1ea_u)*A504*2*Pi</f>
        <v>0.01229933522475</v>
      </c>
      <c r="AG504" s="0" t="n">
        <f aca="false">AC504*AE504/(AE504^2+AF504^2)+AD504*AF504/(AE504^2+AF504^2)</f>
        <v>155.241635745452</v>
      </c>
      <c r="AH504" s="0" t="n">
        <f aca="false">AD504*AE504/(AE504^2+AF504^2)-AC504*AF504/(AE504^2+AF504^2)</f>
        <v>-692.30326133082</v>
      </c>
      <c r="AJ504" s="0" t="n">
        <f aca="false">_Rfb1</f>
        <v>20000</v>
      </c>
      <c r="AK504" s="0" t="n">
        <f aca="false">_Rfb1*Rcea2_u*Cc3ea_u*A504*2*Pi</f>
        <v>2148648.3106704</v>
      </c>
      <c r="AL504" s="0" t="n">
        <v>1</v>
      </c>
      <c r="AM504" s="0" t="n">
        <f aca="false">(_Rfb1+Rcea2_u)*Cc3ea_u*A504*2*Pi</f>
        <v>40194.1546295335</v>
      </c>
      <c r="AN504" s="0" t="n">
        <f aca="false">AJ504*AL504/(AL504^2+AM504^2)+AK504*AM504/(AL504^2+AM504^2)</f>
        <v>53.456748294103</v>
      </c>
      <c r="AO504" s="0" t="n">
        <f aca="false">AK504*AL504/(AL504^2+AM504^2)-AJ504*AM504/(AL504^2+AM504^2)</f>
        <v>-0.496254826990434</v>
      </c>
      <c r="AQ504" s="0" t="n">
        <f aca="false">Eadcg/(1+(Eadcg*A504/GBP)^2)</f>
        <v>0.00541506765437307</v>
      </c>
      <c r="AR504" s="0" t="n">
        <f aca="false">-(A504*Eadcg*Eadcg/GBP)/(1+(Eadcg*A504/GBP)^2)</f>
        <v>-4.13792394808918</v>
      </c>
      <c r="AT504" s="0" t="n">
        <f aca="false">-AR504*AH504+AG504*AQ504</f>
        <v>-2863.8576004407</v>
      </c>
      <c r="AU504" s="0" t="n">
        <f aca="false">AQ504*AH504+AG504*AR504</f>
        <v>-646.126951289092</v>
      </c>
      <c r="AV504" s="0" t="n">
        <f aca="false">ATAN2(AT504,AU504)</f>
        <v>-2.91969368051944</v>
      </c>
      <c r="AW504" s="0" t="n">
        <f aca="false">AG504-AH504*AO504/_Rfb2+AG504*AN504/_Rfb2+AN504-AO504*AR504+AQ504*AN504</f>
        <v>210.514210610426</v>
      </c>
      <c r="AX504" s="0" t="n">
        <f aca="false">AH504+AH504*AN504/_Rfb2+AG504*AO504/_Rfb2+AO504+AO504*AQ504+AN504*AR504</f>
        <v>-930.690556632273</v>
      </c>
      <c r="AY504" s="0" t="n">
        <f aca="false">ATAN2(AW504,AX504)</f>
        <v>-1.34834817164833</v>
      </c>
      <c r="BA504" s="0" t="n">
        <f aca="false">SQRT(AT504^2+AU504^2)/SQRT(AW504^2+AX504^2)</f>
        <v>3.07675016883003</v>
      </c>
      <c r="BB504" s="0" t="n">
        <f aca="false">20*LOG(BA504)</f>
        <v>9.76184466200798</v>
      </c>
      <c r="BC504" s="0" t="n">
        <f aca="false">AV504-AY504</f>
        <v>-1.5713455088711</v>
      </c>
      <c r="BD504" s="0" t="n">
        <f aca="false">BC504*180/Pi-180</f>
        <v>-270.031465918027</v>
      </c>
      <c r="BF504" s="0" t="n">
        <f aca="false">20*LOG(BA504*J504*F504*C504)</f>
        <v>-32.2008463731694</v>
      </c>
      <c r="BG504" s="0" t="n">
        <f aca="false">(180/Pi)*(D504+H504+BC504)</f>
        <v>-268.438798712118</v>
      </c>
      <c r="BH504" s="0" t="n">
        <f aca="false">IF(BG504&gt;180,BG504-180,BG504+180)</f>
        <v>-88.4387987121175</v>
      </c>
      <c r="BI504" s="0" t="n">
        <f aca="false">IF(BH504&gt;180,BH504-360,BH504)</f>
        <v>-88.4387987121175</v>
      </c>
      <c r="BJ504" s="0" t="n">
        <f aca="false">SUM((BF505&lt;0)*(BF504&gt;0))*A504</f>
        <v>0</v>
      </c>
      <c r="BK504" s="0" t="n">
        <f aca="false">IF(BJ504&gt;0,BI504,0)</f>
        <v>0</v>
      </c>
      <c r="BM504" s="0" t="n">
        <f aca="false">20*LOG(J504*F504*C504)</f>
        <v>-41.9626910351773</v>
      </c>
      <c r="BN504" s="0" t="n">
        <f aca="false">(H504+D504)*180/Pi</f>
        <v>-178.407332794091</v>
      </c>
      <c r="BQ504" s="347" t="n">
        <f aca="false">20*LOG(BA504*7)</f>
        <v>26.6638054622931</v>
      </c>
    </row>
    <row r="505" customFormat="false" ht="12.75" hidden="false" customHeight="false" outlineLevel="0" collapsed="false">
      <c r="A505" s="0" t="n">
        <f aca="false">A504+5000</f>
        <v>1455000</v>
      </c>
      <c r="B505" s="0" t="n">
        <f aca="false">A505/1000</f>
        <v>1455</v>
      </c>
      <c r="C505" s="0" t="n">
        <f aca="false">SQRT((A505/Fesr)^2+1)</f>
        <v>1.00004178752532</v>
      </c>
      <c r="D505" s="0" t="n">
        <f aca="false">ATAN(A505/Fesr)</f>
        <v>0.00914177993694767</v>
      </c>
      <c r="F505" s="0" t="n">
        <f aca="false">(Ro/(Ro+Rdcr))/SQRT((A505/(Q*Fo))^2+(1-(A505^2/Fo^2))^2)</f>
        <v>0.000880263699647014</v>
      </c>
      <c r="G505" s="0" t="n">
        <f aca="false">-ATAN(A505*Fo/(Q*(Fo^2-A505^2)))</f>
        <v>0.018622604513588</v>
      </c>
      <c r="H505" s="0" t="n">
        <f aca="false">IF(G505&gt;0,G505-Pi,G505)</f>
        <v>-3.12297004548641</v>
      </c>
      <c r="J505" s="0" t="n">
        <f aca="false">Vin/Vramp</f>
        <v>9</v>
      </c>
      <c r="M505" s="0" t="n">
        <f aca="false">1/(2*Pi*_Rfb1*(Cc1ea_u+Cc2ea_u)*A505)</f>
        <v>0.00405129039770285</v>
      </c>
      <c r="N505" s="0" t="n">
        <f aca="false">-Pi/2</f>
        <v>-1.570796325</v>
      </c>
      <c r="O505" s="0" t="n">
        <f aca="false">SQRT(1+(A505/Fz1_u)^2)</f>
        <v>35.5582947675874</v>
      </c>
      <c r="P505" s="0" t="n">
        <f aca="false">ATAN2(Fz1_u,A505)</f>
        <v>1.54266978503863</v>
      </c>
      <c r="Q505" s="0" t="n">
        <f aca="false">SQRT(1+(A505/Fz2_u)^2)</f>
        <v>40332.7551751357</v>
      </c>
      <c r="R505" s="0" t="n">
        <f aca="false">ATAN2(Fz2_u,A505)</f>
        <v>1.57077153305106</v>
      </c>
      <c r="S505" s="0" t="n">
        <f aca="false">1/SQRT(1+(A505/Fp1_u)^2)</f>
        <v>0.00927579162855579</v>
      </c>
      <c r="T505" s="0" t="n">
        <f aca="false">-ATAN2(Fp1_u,A505)</f>
        <v>-1.56152040214586</v>
      </c>
      <c r="U505" s="0" t="n">
        <f aca="false">1/SQRT(1+(A505/Fp2_u)^2)</f>
        <v>0.245459303140877</v>
      </c>
      <c r="V505" s="0" t="n">
        <f aca="false">-ATAN2(Fp2_u,A505)</f>
        <v>-1.32280286456518</v>
      </c>
      <c r="X505" s="0" t="n">
        <f aca="false">20*LOG(C505*J505*O505*Q505*F505*M505*S505*U505)</f>
        <v>-19.5920775694828</v>
      </c>
      <c r="Y505" s="0" t="n">
        <f aca="false">(180/Pi)*(D505+H505+N505+P505+R505+T505+V505)</f>
        <v>-255.281720579129</v>
      </c>
      <c r="Z505" s="0" t="n">
        <f aca="false">Y505+180</f>
        <v>-75.2817205791293</v>
      </c>
      <c r="AC505" s="0" t="n">
        <v>1</v>
      </c>
      <c r="AD505" s="0" t="n">
        <f aca="false">Rcea1_u*Cc1ea_u*A505*2*Pi</f>
        <v>35.544230569512</v>
      </c>
      <c r="AE505" s="0" t="n">
        <f aca="false">-Rcea1_u*Cc1ea_u*Cc2ea_u*(A505*2*Pi)^2</f>
        <v>-0.0487419879158423</v>
      </c>
      <c r="AF505" s="0" t="n">
        <f aca="false">(Cc2ea_u+Cc1ea_u)*A505*2*Pi</f>
        <v>0.012341746725525</v>
      </c>
      <c r="AG505" s="0" t="n">
        <f aca="false">AC505*AE505/(AE505^2+AF505^2)+AD505*AF505/(AE505^2+AF505^2)</f>
        <v>154.240689915916</v>
      </c>
      <c r="AH505" s="0" t="n">
        <f aca="false">AD505*AE505/(AE505^2+AF505^2)-AC505*AF505/(AE505^2+AF505^2)</f>
        <v>-690.177657462049</v>
      </c>
      <c r="AJ505" s="0" t="n">
        <f aca="false">_Rfb1</f>
        <v>20000</v>
      </c>
      <c r="AK505" s="0" t="n">
        <f aca="false">_Rfb1*Rcea2_u*Cc3ea_u*A505*2*Pi</f>
        <v>2156057.44277616</v>
      </c>
      <c r="AL505" s="0" t="n">
        <v>1</v>
      </c>
      <c r="AM505" s="0" t="n">
        <f aca="false">(_Rfb1+Rcea2_u)*Cc3ea_u*A505*2*Pi</f>
        <v>40332.7551627388</v>
      </c>
      <c r="AN505" s="0" t="n">
        <f aca="false">AJ505*AL505/(AL505^2+AM505^2)+AK505*AM505/(AL505^2+AM505^2)</f>
        <v>53.4567482093935</v>
      </c>
      <c r="AO505" s="0" t="n">
        <f aca="false">AK505*AL505/(AL505^2+AM505^2)-AJ505*AM505/(AL505^2+AM505^2)</f>
        <v>-0.494549483944457</v>
      </c>
      <c r="AQ505" s="0" t="n">
        <f aca="false">Eadcg/(1+(Eadcg*A505/GBP)^2)</f>
        <v>0.00537791470440523</v>
      </c>
      <c r="AR505" s="0" t="n">
        <f aca="false">-(A505*Eadcg*Eadcg/GBP)/(1+(Eadcg*A505/GBP)^2)</f>
        <v>-4.12370432661736</v>
      </c>
      <c r="AT505" s="0" t="n">
        <f aca="false">-AR505*AH505+AG505*AQ505</f>
        <v>-2845.25909893657</v>
      </c>
      <c r="AU505" s="0" t="n">
        <f aca="false">AQ505*AH505+AG505*AR505</f>
        <v>-639.754716919428</v>
      </c>
      <c r="AV505" s="0" t="n">
        <f aca="false">ATAN2(AT505,AU505)</f>
        <v>-2.9204215873218</v>
      </c>
      <c r="AW505" s="0" t="n">
        <f aca="false">AG505-AH505*AO505/_Rfb2+AG505*AN505/_Rfb2+AN505-AO505*AR505+AQ505*AN505</f>
        <v>209.502293534954</v>
      </c>
      <c r="AX505" s="0" t="n">
        <f aca="false">AH505+AH505*AN505/_Rfb2+AG505*AO505/_Rfb2+AO505+AO505*AQ505+AN505*AR505</f>
        <v>-927.751610277641</v>
      </c>
      <c r="AY505" s="0" t="n">
        <f aca="false">ATAN2(AW505,AX505)</f>
        <v>-1.34870417479757</v>
      </c>
      <c r="BA505" s="0" t="n">
        <f aca="false">SQRT(AT505^2+AU505^2)/SQRT(AW505^2+AX505^2)</f>
        <v>3.06619637369454</v>
      </c>
      <c r="BB505" s="0" t="n">
        <f aca="false">20*LOG(BA505)</f>
        <v>9.7319993135692</v>
      </c>
      <c r="BC505" s="0" t="n">
        <f aca="false">AV505-AY505</f>
        <v>-1.57171741252423</v>
      </c>
      <c r="BD505" s="0" t="n">
        <f aca="false">BC505*180/Pi-180</f>
        <v>-270.052774427761</v>
      </c>
      <c r="BF505" s="0" t="n">
        <f aca="false">20*LOG(BA505*J505*F505*C505)</f>
        <v>-32.2905316879809</v>
      </c>
      <c r="BG505" s="0" t="n">
        <f aca="false">(180/Pi)*(D505+H505+BC505)</f>
        <v>-268.461992376149</v>
      </c>
      <c r="BH505" s="0" t="n">
        <f aca="false">IF(BG505&gt;180,BG505-180,BG505+180)</f>
        <v>-88.4619923761489</v>
      </c>
      <c r="BI505" s="0" t="n">
        <f aca="false">IF(BH505&gt;180,BH505-360,BH505)</f>
        <v>-88.4619923761489</v>
      </c>
      <c r="BJ505" s="0" t="n">
        <f aca="false">SUM((BF506&lt;0)*(BF505&gt;0))*A505</f>
        <v>0</v>
      </c>
      <c r="BK505" s="0" t="n">
        <f aca="false">IF(BJ505&gt;0,BI505,0)</f>
        <v>0</v>
      </c>
      <c r="BM505" s="0" t="n">
        <f aca="false">20*LOG(J505*F505*C505)</f>
        <v>-42.0225310015501</v>
      </c>
      <c r="BN505" s="0" t="n">
        <f aca="false">(H505+D505)*180/Pi</f>
        <v>-178.409217948388</v>
      </c>
      <c r="BQ505" s="347" t="n">
        <f aca="false">20*LOG(BA505*7)</f>
        <v>26.6339601138543</v>
      </c>
    </row>
    <row r="506" customFormat="false" ht="12.75" hidden="false" customHeight="false" outlineLevel="0" collapsed="false">
      <c r="A506" s="0" t="n">
        <f aca="false">A505+5000</f>
        <v>1460000</v>
      </c>
      <c r="B506" s="0" t="n">
        <f aca="false">A506/1000</f>
        <v>1460</v>
      </c>
      <c r="C506" s="0" t="n">
        <f aca="false">SQRT((A506/Fesr)^2+1)</f>
        <v>1.00004207521222</v>
      </c>
      <c r="D506" s="0" t="n">
        <f aca="false">ATAN(A506/Fesr)</f>
        <v>0.00917319322899294</v>
      </c>
      <c r="F506" s="0" t="n">
        <f aca="false">(Ro/(Ro+Rdcr))/SQRT((A506/(Q*Fo))^2+(1-(A506^2/Fo^2))^2)</f>
        <v>0.00087424055523819</v>
      </c>
      <c r="G506" s="0" t="n">
        <f aca="false">-ATAN(A506*Fo/(Q*(Fo^2-A506^2)))</f>
        <v>0.0185587305862209</v>
      </c>
      <c r="H506" s="0" t="n">
        <f aca="false">IF(G506&gt;0,G506-Pi,G506)</f>
        <v>-3.12303391941378</v>
      </c>
      <c r="J506" s="0" t="n">
        <f aca="false">Vin/Vramp</f>
        <v>9</v>
      </c>
      <c r="M506" s="0" t="n">
        <f aca="false">1/(2*Pi*_Rfb1*(Cc1ea_u+Cc2ea_u)*A506)</f>
        <v>0.00403741611551893</v>
      </c>
      <c r="N506" s="0" t="n">
        <f aca="false">-Pi/2</f>
        <v>-1.570796325</v>
      </c>
      <c r="O506" s="0" t="n">
        <f aca="false">SQRT(1+(A506/Fz1_u)^2)</f>
        <v>35.6803917437103</v>
      </c>
      <c r="P506" s="0" t="n">
        <f aca="false">ATAN2(Fz1_u,A506)</f>
        <v>1.54276605827896</v>
      </c>
      <c r="Q506" s="0" t="n">
        <f aca="false">SQRT(1+(A506/Fz2_u)^2)</f>
        <v>40471.3557082985</v>
      </c>
      <c r="R506" s="0" t="n">
        <f aca="false">ATAN2(Fz2_u,A506)</f>
        <v>1.57077161796114</v>
      </c>
      <c r="S506" s="0" t="n">
        <f aca="false">1/SQRT(1+(A506/Fp1_u)^2)</f>
        <v>0.00924402793803756</v>
      </c>
      <c r="T506" s="0" t="n">
        <f aca="false">-ATAN2(Fp1_u,A506)</f>
        <v>-1.56155216719827</v>
      </c>
      <c r="U506" s="0" t="n">
        <f aca="false">1/SQRT(1+(A506/Fp2_u)^2)</f>
        <v>0.244669092008872</v>
      </c>
      <c r="V506" s="0" t="n">
        <f aca="false">-ATAN2(Fp2_u,A506)</f>
        <v>-1.32361792962138</v>
      </c>
      <c r="X506" s="0" t="n">
        <f aca="false">20*LOG(C506*J506*O506*Q506*F506*M506*S506*U506)</f>
        <v>-19.6797406070645</v>
      </c>
      <c r="Y506" s="0" t="n">
        <f aca="false">(180/Pi)*(D506+H506+N506+P506+R506+T506+V506)</f>
        <v>-255.326579312433</v>
      </c>
      <c r="Z506" s="0" t="n">
        <f aca="false">Y506+180</f>
        <v>-75.3265793124327</v>
      </c>
      <c r="AC506" s="0" t="n">
        <v>1</v>
      </c>
      <c r="AD506" s="0" t="n">
        <f aca="false">Rcea1_u*Cc1ea_u*A506*2*Pi</f>
        <v>35.666375691744</v>
      </c>
      <c r="AE506" s="0" t="n">
        <f aca="false">-Rcea1_u*Cc1ea_u*Cc2ea_u*(A506*2*Pi)^2</f>
        <v>-0.0490775599916909</v>
      </c>
      <c r="AF506" s="0" t="n">
        <f aca="false">(Cc2ea_u+Cc1ea_u)*A506*2*Pi</f>
        <v>0.0123841582263</v>
      </c>
      <c r="AG506" s="0" t="n">
        <f aca="false">AC506*AE506/(AE506^2+AF506^2)+AD506*AF506/(AE506^2+AF506^2)</f>
        <v>153.249189336181</v>
      </c>
      <c r="AH506" s="0" t="n">
        <f aca="false">AD506*AE506/(AE506^2+AF506^2)-AC506*AF506/(AE506^2+AF506^2)</f>
        <v>-688.064229123651</v>
      </c>
      <c r="AJ506" s="0" t="n">
        <f aca="false">_Rfb1</f>
        <v>20000</v>
      </c>
      <c r="AK506" s="0" t="n">
        <f aca="false">_Rfb1*Rcea2_u*Cc3ea_u*A506*2*Pi</f>
        <v>2163466.57488192</v>
      </c>
      <c r="AL506" s="0" t="n">
        <v>1</v>
      </c>
      <c r="AM506" s="0" t="n">
        <f aca="false">(_Rfb1+Rcea2_u)*Cc3ea_u*A506*2*Pi</f>
        <v>40471.3556959441</v>
      </c>
      <c r="AN506" s="0" t="n">
        <f aca="false">AJ506*AL506/(AL506^2+AM506^2)+AK506*AM506/(AL506^2+AM506^2)</f>
        <v>53.4567481255528</v>
      </c>
      <c r="AO506" s="0" t="n">
        <f aca="false">AK506*AL506/(AL506^2+AM506^2)-AJ506*AM506/(AL506^2+AM506^2)</f>
        <v>-0.49285582133028</v>
      </c>
      <c r="AQ506" s="0" t="n">
        <f aca="false">Eadcg/(1+(Eadcg*A506/GBP)^2)</f>
        <v>0.00534114280798253</v>
      </c>
      <c r="AR506" s="0" t="n">
        <f aca="false">-(A506*Eadcg*Eadcg/GBP)/(1+(Eadcg*A506/GBP)^2)</f>
        <v>-4.10958209931792</v>
      </c>
      <c r="AT506" s="0" t="n">
        <f aca="false">-AR506*AH506+AG506*AQ506</f>
        <v>-2826.83791338209</v>
      </c>
      <c r="AU506" s="0" t="n">
        <f aca="false">AQ506*AH506+AG506*AR506</f>
        <v>-633.465174539767</v>
      </c>
      <c r="AV506" s="0" t="n">
        <f aca="false">ATAN2(AT506,AU506)</f>
        <v>-2.92114484538535</v>
      </c>
      <c r="AW506" s="0" t="n">
        <f aca="false">AG506-AH506*AO506/_Rfb2+AG506*AN506/_Rfb2+AN506-AO506*AR506+AQ506*AN506</f>
        <v>208.499915210947</v>
      </c>
      <c r="AX506" s="0" t="n">
        <f aca="false">AH506+AH506*AN506/_Rfb2+AG506*AO506/_Rfb2+AO506+AO506*AQ506+AN506*AR506</f>
        <v>-924.83035521832</v>
      </c>
      <c r="AY506" s="0" t="n">
        <f aca="false">ATAN2(AW506,AX506)</f>
        <v>-1.34905678714093</v>
      </c>
      <c r="BA506" s="0" t="n">
        <f aca="false">SQRT(AT506^2+AU506^2)/SQRT(AW506^2+AX506^2)</f>
        <v>3.05571424249591</v>
      </c>
      <c r="BB506" s="0" t="n">
        <f aca="false">20*LOG(BA506)</f>
        <v>9.70225476829688</v>
      </c>
      <c r="BC506" s="0" t="n">
        <f aca="false">AV506-AY506</f>
        <v>-1.57208805824443</v>
      </c>
      <c r="BD506" s="0" t="n">
        <f aca="false">BC506*180/Pi-180</f>
        <v>-270.074010863247</v>
      </c>
      <c r="BF506" s="0" t="n">
        <f aca="false">20*LOG(BA506*J506*F506*C506)</f>
        <v>-32.379910606877</v>
      </c>
      <c r="BG506" s="0" t="n">
        <f aca="false">(180/Pi)*(D506+H506+BC506)</f>
        <v>-268.485088669041</v>
      </c>
      <c r="BH506" s="0" t="n">
        <f aca="false">IF(BG506&gt;180,BG506-180,BG506+180)</f>
        <v>-88.4850886690413</v>
      </c>
      <c r="BI506" s="0" t="n">
        <f aca="false">IF(BH506&gt;180,BH506-360,BH506)</f>
        <v>-88.4850886690413</v>
      </c>
      <c r="BJ506" s="0" t="n">
        <f aca="false">SUM((BF507&lt;0)*(BF506&gt;0))*A506</f>
        <v>0</v>
      </c>
      <c r="BK506" s="0" t="n">
        <f aca="false">IF(BJ506&gt;0,BI506,0)</f>
        <v>0</v>
      </c>
      <c r="BM506" s="0" t="n">
        <f aca="false">20*LOG(J506*F506*C506)</f>
        <v>-42.0821653751739</v>
      </c>
      <c r="BN506" s="0" t="n">
        <f aca="false">(H506+D506)*180/Pi</f>
        <v>-178.411077805794</v>
      </c>
      <c r="BQ506" s="347" t="n">
        <f aca="false">20*LOG(BA506*7)</f>
        <v>26.604215568582</v>
      </c>
    </row>
    <row r="507" customFormat="false" ht="12.75" hidden="false" customHeight="false" outlineLevel="0" collapsed="false">
      <c r="A507" s="0" t="n">
        <f aca="false">A506+5000</f>
        <v>1465000</v>
      </c>
      <c r="B507" s="0" t="n">
        <f aca="false">A507/1000</f>
        <v>1465</v>
      </c>
      <c r="C507" s="0" t="n">
        <f aca="false">SQRT((A507/Fesr)^2+1)</f>
        <v>1.00004236388597</v>
      </c>
      <c r="D507" s="0" t="n">
        <f aca="false">ATAN(A507/Fesr)</f>
        <v>0.00920460650293359</v>
      </c>
      <c r="F507" s="0" t="n">
        <f aca="false">(Ro/(Ro+Rdcr))/SQRT((A507/(Q*Fo))^2+(1-(A507^2/Fo^2))^2)</f>
        <v>0.000868279033808089</v>
      </c>
      <c r="G507" s="0" t="n">
        <f aca="false">-ATAN(A507*Fo/(Q*(Fo^2-A507^2)))</f>
        <v>0.0184952936563191</v>
      </c>
      <c r="H507" s="0" t="n">
        <f aca="false">IF(G507&gt;0,G507-Pi,G507)</f>
        <v>-3.12309735634368</v>
      </c>
      <c r="J507" s="0" t="n">
        <f aca="false">Vin/Vramp</f>
        <v>9</v>
      </c>
      <c r="M507" s="0" t="n">
        <f aca="false">1/(2*Pi*_Rfb1*(Cc1ea_u+Cc2ea_u)*A507)</f>
        <v>0.00402363653833286</v>
      </c>
      <c r="N507" s="0" t="n">
        <f aca="false">-Pi/2</f>
        <v>-1.570796325</v>
      </c>
      <c r="O507" s="0" t="n">
        <f aca="false">SQRT(1+(A507/Fz1_u)^2)</f>
        <v>35.8024890482826</v>
      </c>
      <c r="P507" s="0" t="n">
        <f aca="false">ATAN2(Fz1_u,A507)</f>
        <v>1.5428616748785</v>
      </c>
      <c r="Q507" s="0" t="n">
        <f aca="false">SQRT(1+(A507/Fz2_u)^2)</f>
        <v>40609.9562414616</v>
      </c>
      <c r="R507" s="0" t="n">
        <f aca="false">ATAN2(Fz2_u,A507)</f>
        <v>1.57077170229163</v>
      </c>
      <c r="S507" s="0" t="n">
        <f aca="false">1/SQRT(1+(A507/Fp1_u)^2)</f>
        <v>0.00921248103682289</v>
      </c>
      <c r="T507" s="0" t="n">
        <f aca="false">-ATAN2(Fp1_u,A507)</f>
        <v>-1.56158371544285</v>
      </c>
      <c r="U507" s="0" t="n">
        <f aca="false">1/SQRT(1+(A507/Fp2_u)^2)</f>
        <v>0.243883791965975</v>
      </c>
      <c r="V507" s="0" t="n">
        <f aca="false">-ATAN2(Fp2_u,A507)</f>
        <v>-1.32442776307964</v>
      </c>
      <c r="X507" s="0" t="n">
        <f aca="false">20*LOG(C507*J507*O507*Q507*F507*M507*S507*U507)</f>
        <v>-19.7671149406364</v>
      </c>
      <c r="Y507" s="0" t="n">
        <f aca="false">(180/Pi)*(D507+H507+N507+P507+R507+T507+V507)</f>
        <v>-255.371138493961</v>
      </c>
      <c r="Z507" s="0" t="n">
        <f aca="false">Y507+180</f>
        <v>-75.3711384939607</v>
      </c>
      <c r="AC507" s="0" t="n">
        <v>1</v>
      </c>
      <c r="AD507" s="0" t="n">
        <f aca="false">Rcea1_u*Cc1ea_u*A507*2*Pi</f>
        <v>35.788520813976</v>
      </c>
      <c r="AE507" s="0" t="n">
        <f aca="false">-Rcea1_u*Cc1ea_u*Cc2ea_u*(A507*2*Pi)^2</f>
        <v>-0.0494142832581942</v>
      </c>
      <c r="AF507" s="0" t="n">
        <f aca="false">(Cc2ea_u+Cc1ea_u)*A507*2*Pi</f>
        <v>0.012426569727075</v>
      </c>
      <c r="AG507" s="0" t="n">
        <f aca="false">AC507*AE507/(AE507^2+AF507^2)+AD507*AF507/(AE507^2+AF507^2)</f>
        <v>152.267018198279</v>
      </c>
      <c r="AH507" s="0" t="n">
        <f aca="false">AD507*AE507/(AE507^2+AF507^2)-AC507*AF507/(AE507^2+AF507^2)</f>
        <v>-685.962880774566</v>
      </c>
      <c r="AJ507" s="0" t="n">
        <f aca="false">_Rfb1</f>
        <v>20000</v>
      </c>
      <c r="AK507" s="0" t="n">
        <f aca="false">_Rfb1*Rcea2_u*Cc3ea_u*A507*2*Pi</f>
        <v>2170875.70698768</v>
      </c>
      <c r="AL507" s="0" t="n">
        <v>1</v>
      </c>
      <c r="AM507" s="0" t="n">
        <f aca="false">(_Rfb1+Rcea2_u)*Cc3ea_u*A507*2*Pi</f>
        <v>40609.9562291494</v>
      </c>
      <c r="AN507" s="0" t="n">
        <f aca="false">AJ507*AL507/(AL507^2+AM507^2)+AK507*AM507/(AL507^2+AM507^2)</f>
        <v>53.4567480425691</v>
      </c>
      <c r="AO507" s="0" t="n">
        <f aca="false">AK507*AL507/(AL507^2+AM507^2)-AJ507*AM507/(AL507^2+AM507^2)</f>
        <v>-0.49117371955304</v>
      </c>
      <c r="AQ507" s="0" t="n">
        <f aca="false">Eadcg/(1+(Eadcg*A507/GBP)^2)</f>
        <v>0.00530474677191082</v>
      </c>
      <c r="AR507" s="0" t="n">
        <f aca="false">-(A507*Eadcg*Eadcg/GBP)/(1+(Eadcg*A507/GBP)^2)</f>
        <v>-4.09555626898761</v>
      </c>
      <c r="AT507" s="0" t="n">
        <f aca="false">-AR507*AH507+AG507*AQ507</f>
        <v>-2808.59183867582</v>
      </c>
      <c r="AU507" s="0" t="n">
        <f aca="false">AQ507*AH507+AG507*AR507</f>
        <v>-627.257000319452</v>
      </c>
      <c r="AV507" s="0" t="n">
        <f aca="false">ATAN2(AT507,AU507)</f>
        <v>-2.92186349800548</v>
      </c>
      <c r="AW507" s="0" t="n">
        <f aca="false">AG507-AH507*AO507/_Rfb2+AG507*AN507/_Rfb2+AN507-AO507*AR507+AQ507*AN507</f>
        <v>207.506958855514</v>
      </c>
      <c r="AX507" s="0" t="n">
        <f aca="false">AH507+AH507*AN507/_Rfb2+AG507*AO507/_Rfb2+AO507+AO507*AQ507+AN507*AR507</f>
        <v>-921.926640110573</v>
      </c>
      <c r="AY507" s="0" t="n">
        <f aca="false">ATAN2(AW507,AX507)</f>
        <v>-1.34940603926924</v>
      </c>
      <c r="BA507" s="0" t="n">
        <f aca="false">SQRT(AT507^2+AU507^2)/SQRT(AW507^2+AX507^2)</f>
        <v>3.04530304843286</v>
      </c>
      <c r="BB507" s="0" t="n">
        <f aca="false">20*LOG(BA507)</f>
        <v>9.67261034471997</v>
      </c>
      <c r="BC507" s="0" t="n">
        <f aca="false">AV507-AY507</f>
        <v>-1.57245745873624</v>
      </c>
      <c r="BD507" s="0" t="n">
        <f aca="false">BC507*180/Pi-180</f>
        <v>-270.095175952402</v>
      </c>
      <c r="BF507" s="0" t="n">
        <f aca="false">20*LOG(BA507*J507*F507*C507)</f>
        <v>-32.4689852200211</v>
      </c>
      <c r="BG507" s="0" t="n">
        <f aca="false">(180/Pi)*(D507+H507+BC507)</f>
        <v>-268.508088578529</v>
      </c>
      <c r="BH507" s="0" t="n">
        <f aca="false">IF(BG507&gt;180,BG507-180,BG507+180)</f>
        <v>-88.5080885785294</v>
      </c>
      <c r="BI507" s="0" t="n">
        <f aca="false">IF(BH507&gt;180,BH507-360,BH507)</f>
        <v>-88.5080885785294</v>
      </c>
      <c r="BJ507" s="0" t="n">
        <f aca="false">SUM((BF508&lt;0)*(BF507&gt;0))*A507</f>
        <v>0</v>
      </c>
      <c r="BK507" s="0" t="n">
        <f aca="false">IF(BJ507&gt;0,BI507,0)</f>
        <v>0</v>
      </c>
      <c r="BM507" s="0" t="n">
        <f aca="false">20*LOG(J507*F507*C507)</f>
        <v>-42.141595564741</v>
      </c>
      <c r="BN507" s="0" t="n">
        <f aca="false">(H507+D507)*180/Pi</f>
        <v>-178.412912626128</v>
      </c>
      <c r="BQ507" s="347" t="n">
        <f aca="false">20*LOG(BA507*7)</f>
        <v>26.5745711450051</v>
      </c>
    </row>
    <row r="508" customFormat="false" ht="12.75" hidden="false" customHeight="false" outlineLevel="0" collapsed="false">
      <c r="A508" s="0" t="n">
        <f aca="false">A507+5000</f>
        <v>1470000</v>
      </c>
      <c r="B508" s="0" t="n">
        <f aca="false">A508/1000</f>
        <v>1470</v>
      </c>
      <c r="C508" s="0" t="n">
        <f aca="false">SQRT((A508/Fesr)^2+1)</f>
        <v>1.00004265354654</v>
      </c>
      <c r="D508" s="0" t="n">
        <f aca="false">ATAN(A508/Fesr)</f>
        <v>0.00923601975870764</v>
      </c>
      <c r="F508" s="0" t="n">
        <f aca="false">(Ro/(Ro+Rdcr))/SQRT((A508/(Q*Fo))^2+(1-(A508^2/Fo^2))^2)</f>
        <v>0.000862378297398433</v>
      </c>
      <c r="G508" s="0" t="n">
        <f aca="false">-ATAN(A508*Fo/(Q*(Fo^2-A508^2)))</f>
        <v>0.0184322892512022</v>
      </c>
      <c r="H508" s="0" t="n">
        <f aca="false">IF(G508&gt;0,G508-Pi,G508)</f>
        <v>-3.1231603607488</v>
      </c>
      <c r="J508" s="0" t="n">
        <f aca="false">Vin/Vramp</f>
        <v>9</v>
      </c>
      <c r="M508" s="0" t="n">
        <f aca="false">1/(2*Pi*_Rfb1*(Cc1ea_u+Cc2ea_u)*A508)</f>
        <v>0.0040099506997671</v>
      </c>
      <c r="N508" s="0" t="n">
        <f aca="false">-Pi/2</f>
        <v>-1.570796325</v>
      </c>
      <c r="O508" s="0" t="n">
        <f aca="false">SQRT(1+(A508/Fz1_u)^2)</f>
        <v>35.9245866779554</v>
      </c>
      <c r="P508" s="0" t="n">
        <f aca="false">ATAN2(Fz1_u,A508)</f>
        <v>1.5429566415307</v>
      </c>
      <c r="Q508" s="0" t="n">
        <f aca="false">SQRT(1+(A508/Fz2_u)^2)</f>
        <v>40748.556774625</v>
      </c>
      <c r="R508" s="0" t="n">
        <f aca="false">ATAN2(Fz2_u,A508)</f>
        <v>1.57077178604844</v>
      </c>
      <c r="S508" s="0" t="n">
        <f aca="false">1/SQRT(1+(A508/Fp1_u)^2)</f>
        <v>0.00918114871315089</v>
      </c>
      <c r="T508" s="0" t="n">
        <f aca="false">-ATAN2(Fp1_u,A508)</f>
        <v>-1.56161504909167</v>
      </c>
      <c r="U508" s="0" t="n">
        <f aca="false">1/SQRT(1+(A508/Fp2_u)^2)</f>
        <v>0.243103358950406</v>
      </c>
      <c r="V508" s="0" t="n">
        <f aca="false">-ATAN2(Fp2_u,A508)</f>
        <v>-1.32523241409625</v>
      </c>
      <c r="X508" s="0" t="n">
        <f aca="false">20*LOG(C508*J508*O508*Q508*F508*M508*S508*U508)</f>
        <v>-19.8542024346528</v>
      </c>
      <c r="Y508" s="0" t="n">
        <f aca="false">(180/Pi)*(D508+H508+N508+P508+R508+T508+V508)</f>
        <v>-255.415400939328</v>
      </c>
      <c r="Z508" s="0" t="n">
        <f aca="false">Y508+180</f>
        <v>-75.4154009393278</v>
      </c>
      <c r="AC508" s="0" t="n">
        <v>1</v>
      </c>
      <c r="AD508" s="0" t="n">
        <f aca="false">Rcea1_u*Cc1ea_u*A508*2*Pi</f>
        <v>35.910665936208</v>
      </c>
      <c r="AE508" s="0" t="n">
        <f aca="false">-Rcea1_u*Cc1ea_u*Cc2ea_u*(A508*2*Pi)^2</f>
        <v>-0.0497521577153522</v>
      </c>
      <c r="AF508" s="0" t="n">
        <f aca="false">(Cc2ea_u+Cc1ea_u)*A508*2*Pi</f>
        <v>0.01246898122785</v>
      </c>
      <c r="AG508" s="0" t="n">
        <f aca="false">AC508*AE508/(AE508^2+AF508^2)+AD508*AF508/(AE508^2+AF508^2)</f>
        <v>151.294062420403</v>
      </c>
      <c r="AH508" s="0" t="n">
        <f aca="false">AD508*AE508/(AE508^2+AF508^2)-AC508*AF508/(AE508^2+AF508^2)</f>
        <v>-683.873517740997</v>
      </c>
      <c r="AJ508" s="0" t="n">
        <f aca="false">_Rfb1</f>
        <v>20000</v>
      </c>
      <c r="AK508" s="0" t="n">
        <f aca="false">_Rfb1*Rcea2_u*Cc3ea_u*A508*2*Pi</f>
        <v>2178284.83909344</v>
      </c>
      <c r="AL508" s="0" t="n">
        <v>1</v>
      </c>
      <c r="AM508" s="0" t="n">
        <f aca="false">(_Rfb1+Rcea2_u)*Cc3ea_u*A508*2*Pi</f>
        <v>40748.5567623547</v>
      </c>
      <c r="AN508" s="0" t="n">
        <f aca="false">AJ508*AL508/(AL508^2+AM508^2)+AK508*AM508/(AL508^2+AM508^2)</f>
        <v>53.4567479604308</v>
      </c>
      <c r="AO508" s="0" t="n">
        <f aca="false">AK508*AL508/(AL508^2+AM508^2)-AJ508*AM508/(AL508^2+AM508^2)</f>
        <v>-0.489503060645011</v>
      </c>
      <c r="AQ508" s="0" t="n">
        <f aca="false">Eadcg/(1+(Eadcg*A508/GBP)^2)</f>
        <v>0.00526872149116483</v>
      </c>
      <c r="AR508" s="0" t="n">
        <f aca="false">-(A508*Eadcg*Eadcg/GBP)/(1+(Eadcg*A508/GBP)^2)</f>
        <v>-4.08162585199048</v>
      </c>
      <c r="AT508" s="0" t="n">
        <f aca="false">-AR508*AH508+AG508*AQ508</f>
        <v>-2790.51870322517</v>
      </c>
      <c r="AU508" s="0" t="n">
        <f aca="false">AQ508*AH508+AG508*AR508</f>
        <v>-621.12889552794</v>
      </c>
      <c r="AV508" s="0" t="n">
        <f aca="false">ATAN2(AT508,AU508)</f>
        <v>-2.92257758795609</v>
      </c>
      <c r="AW508" s="0" t="n">
        <f aca="false">AG508-AH508*AO508/_Rfb2+AG508*AN508/_Rfb2+AN508-AO508*AR508+AQ508*AN508</f>
        <v>206.523309422914</v>
      </c>
      <c r="AX508" s="0" t="n">
        <f aca="false">AH508+AH508*AN508/_Rfb2+AG508*AO508/_Rfb2+AO508+AO508*AQ508+AN508*AR508</f>
        <v>-919.040315227159</v>
      </c>
      <c r="AY508" s="0" t="n">
        <f aca="false">ATAN2(AW508,AX508)</f>
        <v>-1.34975196142285</v>
      </c>
      <c r="BA508" s="0" t="n">
        <f aca="false">SQRT(AT508^2+AU508^2)/SQRT(AW508^2+AX508^2)</f>
        <v>3.03496207447604</v>
      </c>
      <c r="BB508" s="0" t="n">
        <f aca="false">20*LOG(BA508)</f>
        <v>9.64306536820122</v>
      </c>
      <c r="BC508" s="0" t="n">
        <f aca="false">AV508-AY508</f>
        <v>-1.57282562653324</v>
      </c>
      <c r="BD508" s="0" t="n">
        <f aca="false">BC508*180/Pi-180</f>
        <v>-270.116270413347</v>
      </c>
      <c r="BF508" s="0" t="n">
        <f aca="false">20*LOG(BA508*J508*F508*C508)</f>
        <v>-32.5577575963028</v>
      </c>
      <c r="BG508" s="0" t="n">
        <f aca="false">(180/Pi)*(D508+H508+BC508)</f>
        <v>-268.530993079004</v>
      </c>
      <c r="BH508" s="0" t="n">
        <f aca="false">IF(BG508&gt;180,BG508-180,BG508+180)</f>
        <v>-88.5309930790038</v>
      </c>
      <c r="BI508" s="0" t="n">
        <f aca="false">IF(BH508&gt;180,BH508-360,BH508)</f>
        <v>-88.5309930790038</v>
      </c>
      <c r="BJ508" s="0" t="n">
        <f aca="false">SUM((BF509&lt;0)*(BF508&gt;0))*A508</f>
        <v>0</v>
      </c>
      <c r="BK508" s="0" t="n">
        <f aca="false">IF(BJ508&gt;0,BI508,0)</f>
        <v>0</v>
      </c>
      <c r="BM508" s="0" t="n">
        <f aca="false">20*LOG(J508*F508*C508)</f>
        <v>-42.2008229645041</v>
      </c>
      <c r="BN508" s="0" t="n">
        <f aca="false">(H508+D508)*180/Pi</f>
        <v>-178.414722665657</v>
      </c>
      <c r="BQ508" s="347" t="n">
        <f aca="false">20*LOG(BA508*7)</f>
        <v>26.5450261684864</v>
      </c>
    </row>
    <row r="509" customFormat="false" ht="12.75" hidden="false" customHeight="false" outlineLevel="0" collapsed="false">
      <c r="A509" s="0" t="n">
        <f aca="false">A508+5000</f>
        <v>1475000</v>
      </c>
      <c r="B509" s="0" t="n">
        <f aca="false">A509/1000</f>
        <v>1475</v>
      </c>
      <c r="C509" s="0" t="n">
        <f aca="false">SQRT((A509/Fesr)^2+1)</f>
        <v>1.00004294419395</v>
      </c>
      <c r="D509" s="0" t="n">
        <f aca="false">ATAN(A509/Fesr)</f>
        <v>0.00926743299625311</v>
      </c>
      <c r="F509" s="0" t="n">
        <f aca="false">(Ro/(Ro+Rdcr))/SQRT((A509/(Q*Fo))^2+(1-(A509^2/Fo^2))^2)</f>
        <v>0.000856537522249279</v>
      </c>
      <c r="G509" s="0" t="n">
        <f aca="false">-ATAN(A509*Fo/(Q*(Fo^2-A509^2)))</f>
        <v>0.0183697129590641</v>
      </c>
      <c r="H509" s="0" t="n">
        <f aca="false">IF(G509&gt;0,G509-Pi,G509)</f>
        <v>-3.12322293704094</v>
      </c>
      <c r="J509" s="0" t="n">
        <f aca="false">Vin/Vramp</f>
        <v>9</v>
      </c>
      <c r="M509" s="0" t="n">
        <f aca="false">1/(2*Pi*_Rfb1*(Cc1ea_u+Cc2ea_u)*A509)</f>
        <v>0.00399635764654755</v>
      </c>
      <c r="N509" s="0" t="n">
        <f aca="false">-Pi/2</f>
        <v>-1.570796325</v>
      </c>
      <c r="O509" s="0" t="n">
        <f aca="false">SQRT(1+(A509/Fz1_u)^2)</f>
        <v>36.0466846294252</v>
      </c>
      <c r="P509" s="0" t="n">
        <f aca="false">ATAN2(Fz1_u,A509)</f>
        <v>1.54305096483839</v>
      </c>
      <c r="Q509" s="0" t="n">
        <f aca="false">SQRT(1+(A509/Fz2_u)^2)</f>
        <v>40887.1573077887</v>
      </c>
      <c r="R509" s="0" t="n">
        <f aca="false">ATAN2(Fz2_u,A509)</f>
        <v>1.57077186923742</v>
      </c>
      <c r="S509" s="0" t="n">
        <f aca="false">1/SQRT(1+(A509/Fp1_u)^2)</f>
        <v>0.00915002878524434</v>
      </c>
      <c r="T509" s="0" t="n">
        <f aca="false">-ATAN2(Fp1_u,A509)</f>
        <v>-1.56164617032682</v>
      </c>
      <c r="U509" s="0" t="n">
        <f aca="false">1/SQRT(1+(A509/Fp2_u)^2)</f>
        <v>0.242327749404873</v>
      </c>
      <c r="V509" s="0" t="n">
        <f aca="false">-ATAN2(Fp2_u,A509)</f>
        <v>-1.32603193122722</v>
      </c>
      <c r="X509" s="0" t="n">
        <f aca="false">20*LOG(C509*J509*O509*Q509*F509*M509*S509*U509)</f>
        <v>-19.9410049358209</v>
      </c>
      <c r="Y509" s="0" t="n">
        <f aca="false">(180/Pi)*(D509+H509+N509+P509+R509+T509+V509)</f>
        <v>-255.459369429746</v>
      </c>
      <c r="Z509" s="0" t="n">
        <f aca="false">Y509+180</f>
        <v>-75.4593694297465</v>
      </c>
      <c r="AC509" s="0" t="n">
        <v>1</v>
      </c>
      <c r="AD509" s="0" t="n">
        <f aca="false">Rcea1_u*Cc1ea_u*A509*2*Pi</f>
        <v>36.03281105844</v>
      </c>
      <c r="AE509" s="0" t="n">
        <f aca="false">-Rcea1_u*Cc1ea_u*Cc2ea_u*(A509*2*Pi)^2</f>
        <v>-0.050091183363165</v>
      </c>
      <c r="AF509" s="0" t="n">
        <f aca="false">(Cc2ea_u+Cc1ea_u)*A509*2*Pi</f>
        <v>0.012511392728625</v>
      </c>
      <c r="AG509" s="0" t="n">
        <f aca="false">AC509*AE509/(AE509^2+AF509^2)+AD509*AF509/(AE509^2+AF509^2)</f>
        <v>150.330209616976</v>
      </c>
      <c r="AH509" s="0" t="n">
        <f aca="false">AD509*AE509/(AE509^2+AF509^2)-AC509*AF509/(AE509^2+AF509^2)</f>
        <v>-681.796046209191</v>
      </c>
      <c r="AJ509" s="0" t="n">
        <f aca="false">_Rfb1</f>
        <v>20000</v>
      </c>
      <c r="AK509" s="0" t="n">
        <f aca="false">_Rfb1*Rcea2_u*Cc3ea_u*A509*2*Pi</f>
        <v>2185693.9711992</v>
      </c>
      <c r="AL509" s="0" t="n">
        <v>1</v>
      </c>
      <c r="AM509" s="0" t="n">
        <f aca="false">(_Rfb1+Rcea2_u)*Cc3ea_u*A509*2*Pi</f>
        <v>40887.15729556</v>
      </c>
      <c r="AN509" s="0" t="n">
        <f aca="false">AJ509*AL509/(AL509^2+AM509^2)+AK509*AM509/(AL509^2+AM509^2)</f>
        <v>53.4567478791263</v>
      </c>
      <c r="AO509" s="0" t="n">
        <f aca="false">AK509*AL509/(AL509^2+AM509^2)-AJ509*AM509/(AL509^2+AM509^2)</f>
        <v>-0.487843728238033</v>
      </c>
      <c r="AQ509" s="0" t="n">
        <f aca="false">Eadcg/(1+(Eadcg*A509/GBP)^2)</f>
        <v>0.00523306194709796</v>
      </c>
      <c r="AR509" s="0" t="n">
        <f aca="false">-(A509*Eadcg*Eadcg/GBP)/(1+(Eadcg*A509/GBP)^2)</f>
        <v>-4.06778987802792</v>
      </c>
      <c r="AT509" s="0" t="n">
        <f aca="false">-AR509*AH509+AG509*AQ509</f>
        <v>-2772.61636834976</v>
      </c>
      <c r="AU509" s="0" t="n">
        <f aca="false">AQ509*AH509+AG509*AR509</f>
        <v>-615.079585986848</v>
      </c>
      <c r="AV509" s="0" t="n">
        <f aca="false">ATAN2(AT509,AU509)</f>
        <v>-2.92328715749725</v>
      </c>
      <c r="AW509" s="0" t="n">
        <f aca="false">AG509-AH509*AO509/_Rfb2+AG509*AN509/_Rfb2+AN509-AO509*AR509+AQ509*AN509</f>
        <v>205.548853574521</v>
      </c>
      <c r="AX509" s="0" t="n">
        <f aca="false">AH509+AH509*AN509/_Rfb2+AG509*AO509/_Rfb2+AO509+AO509*AQ509+AN509*AR509</f>
        <v>-916.171232437582</v>
      </c>
      <c r="AY509" s="0" t="n">
        <f aca="false">ATAN2(AW509,AX509)</f>
        <v>-1.35009458349633</v>
      </c>
      <c r="BA509" s="0" t="n">
        <f aca="false">SQRT(AT509^2+AU509^2)/SQRT(AW509^2+AX509^2)</f>
        <v>3.02469061320471</v>
      </c>
      <c r="BB509" s="0" t="n">
        <f aca="false">20*LOG(BA509)</f>
        <v>9.61361917084654</v>
      </c>
      <c r="BC509" s="0" t="n">
        <f aca="false">AV509-AY509</f>
        <v>-1.57319257400092</v>
      </c>
      <c r="BD509" s="0" t="n">
        <f aca="false">BC509*180/Pi-180</f>
        <v>-270.137294954572</v>
      </c>
      <c r="BF509" s="0" t="n">
        <f aca="false">20*LOG(BA509*J509*F509*C509)</f>
        <v>-32.6462297836265</v>
      </c>
      <c r="BG509" s="0" t="n">
        <f aca="false">(180/Pi)*(D509+H509+BC509)</f>
        <v>-268.553803131736</v>
      </c>
      <c r="BH509" s="0" t="n">
        <f aca="false">IF(BG509&gt;180,BG509-180,BG509+180)</f>
        <v>-88.5538031317359</v>
      </c>
      <c r="BI509" s="0" t="n">
        <f aca="false">IF(BH509&gt;180,BH509-360,BH509)</f>
        <v>-88.5538031317359</v>
      </c>
      <c r="BJ509" s="0" t="n">
        <f aca="false">SUM((BF510&lt;0)*(BF509&gt;0))*A509</f>
        <v>0</v>
      </c>
      <c r="BK509" s="0" t="n">
        <f aca="false">IF(BJ509&gt;0,BI509,0)</f>
        <v>0</v>
      </c>
      <c r="BM509" s="0" t="n">
        <f aca="false">20*LOG(J509*F509*C509)</f>
        <v>-42.259848954473</v>
      </c>
      <c r="BN509" s="0" t="n">
        <f aca="false">(H509+D509)*180/Pi</f>
        <v>-178.416508177164</v>
      </c>
      <c r="BQ509" s="347" t="n">
        <f aca="false">20*LOG(BA509*7)</f>
        <v>26.5155799711317</v>
      </c>
    </row>
    <row r="510" customFormat="false" ht="12.75" hidden="false" customHeight="false" outlineLevel="0" collapsed="false">
      <c r="A510" s="0" t="n">
        <f aca="false">A509+5000</f>
        <v>1480000</v>
      </c>
      <c r="B510" s="0" t="n">
        <f aca="false">A510/1000</f>
        <v>1480</v>
      </c>
      <c r="C510" s="0" t="n">
        <f aca="false">SQRT((A510/Fesr)^2+1)</f>
        <v>1.00004323582819</v>
      </c>
      <c r="D510" s="0" t="n">
        <f aca="false">ATAN(A510/Fesr)</f>
        <v>0.00929884621550802</v>
      </c>
      <c r="F510" s="0" t="n">
        <f aca="false">(Ro/(Ro+Rdcr))/SQRT((A510/(Q*Fo))^2+(1-(A510^2/Fo^2))^2)</f>
        <v>0.000850755898511243</v>
      </c>
      <c r="G510" s="0" t="n">
        <f aca="false">-ATAN(A510*Fo/(Q*(Fo^2-A510^2)))</f>
        <v>0.0183075604279409</v>
      </c>
      <c r="H510" s="0" t="n">
        <f aca="false">IF(G510&gt;0,G510-Pi,G510)</f>
        <v>-3.12328508957206</v>
      </c>
      <c r="J510" s="0" t="n">
        <f aca="false">Vin/Vramp</f>
        <v>9</v>
      </c>
      <c r="M510" s="0" t="n">
        <f aca="false">1/(2*Pi*_Rfb1*(Cc1ea_u+Cc2ea_u)*A510)</f>
        <v>0.00398285643828219</v>
      </c>
      <c r="N510" s="0" t="n">
        <f aca="false">-Pi/2</f>
        <v>-1.570796325</v>
      </c>
      <c r="O510" s="0" t="n">
        <f aca="false">SQRT(1+(A510/Fz1_u)^2)</f>
        <v>36.1687828994329</v>
      </c>
      <c r="P510" s="0" t="n">
        <f aca="false">ATAN2(Fz1_u,A510)</f>
        <v>1.54314465131527</v>
      </c>
      <c r="Q510" s="0" t="n">
        <f aca="false">SQRT(1+(A510/Fz2_u)^2)</f>
        <v>41025.7578409527</v>
      </c>
      <c r="R510" s="0" t="n">
        <f aca="false">ATAN2(Fz2_u,A510)</f>
        <v>1.5707719518643</v>
      </c>
      <c r="S510" s="0" t="n">
        <f aca="false">1/SQRT(1+(A510/Fp1_u)^2)</f>
        <v>0.0091191191008033</v>
      </c>
      <c r="T510" s="0" t="n">
        <f aca="false">-ATAN2(Fp1_u,A510)</f>
        <v>-1.56167708130091</v>
      </c>
      <c r="U510" s="0" t="n">
        <f aca="false">1/SQRT(1+(A510/Fp2_u)^2)</f>
        <v>0.241556920269727</v>
      </c>
      <c r="V510" s="0" t="n">
        <f aca="false">-ATAN2(Fp2_u,A510)</f>
        <v>-1.3268263624372</v>
      </c>
      <c r="X510" s="0" t="n">
        <f aca="false">20*LOG(C510*J510*O510*Q510*F510*M510*S510*U510)</f>
        <v>-20.027524273322</v>
      </c>
      <c r="Y510" s="0" t="n">
        <f aca="false">(180/Pi)*(D510+H510+N510+P510+R510+T510+V510)</f>
        <v>-255.503046712538</v>
      </c>
      <c r="Z510" s="0" t="n">
        <f aca="false">Y510+180</f>
        <v>-75.5030467125381</v>
      </c>
      <c r="AC510" s="0" t="n">
        <v>1</v>
      </c>
      <c r="AD510" s="0" t="n">
        <f aca="false">Rcea1_u*Cc1ea_u*A510*2*Pi</f>
        <v>36.154956180672</v>
      </c>
      <c r="AE510" s="0" t="n">
        <f aca="false">-Rcea1_u*Cc1ea_u*Cc2ea_u*(A510*2*Pi)^2</f>
        <v>-0.0504313602016324</v>
      </c>
      <c r="AF510" s="0" t="n">
        <f aca="false">(Cc2ea_u+Cc1ea_u)*A510*2*Pi</f>
        <v>0.0125538042294</v>
      </c>
      <c r="AG510" s="0" t="n">
        <f aca="false">AC510*AE510/(AE510^2+AF510^2)+AD510*AF510/(AE510^2+AF510^2)</f>
        <v>149.3753490693</v>
      </c>
      <c r="AH510" s="0" t="n">
        <f aca="false">AD510*AE510/(AE510^2+AF510^2)-AC510*AF510/(AE510^2+AF510^2)</f>
        <v>-679.730373218213</v>
      </c>
      <c r="AJ510" s="0" t="n">
        <f aca="false">_Rfb1</f>
        <v>20000</v>
      </c>
      <c r="AK510" s="0" t="n">
        <f aca="false">_Rfb1*Rcea2_u*Cc3ea_u*A510*2*Pi</f>
        <v>2193103.10330496</v>
      </c>
      <c r="AL510" s="0" t="n">
        <v>1</v>
      </c>
      <c r="AM510" s="0" t="n">
        <f aca="false">(_Rfb1+Rcea2_u)*Cc3ea_u*A510*2*Pi</f>
        <v>41025.7578287652</v>
      </c>
      <c r="AN510" s="0" t="n">
        <f aca="false">AJ510*AL510/(AL510^2+AM510^2)+AK510*AM510/(AL510^2+AM510^2)</f>
        <v>53.4567477986445</v>
      </c>
      <c r="AO510" s="0" t="n">
        <f aca="false">AK510*AL510/(AL510^2+AM510^2)-AJ510*AM510/(AL510^2+AM510^2)</f>
        <v>-0.486195607536488</v>
      </c>
      <c r="AQ510" s="0" t="n">
        <f aca="false">Eadcg/(1+(Eadcg*A510/GBP)^2)</f>
        <v>0.00519776320569429</v>
      </c>
      <c r="AR510" s="0" t="n">
        <f aca="false">-(A510*Eadcg*Eadcg/GBP)/(1+(Eadcg*A510/GBP)^2)</f>
        <v>-4.05404738991332</v>
      </c>
      <c r="AT510" s="0" t="n">
        <f aca="false">-AR510*AH510+AG510*AQ510</f>
        <v>-2754.88272769687</v>
      </c>
      <c r="AU510" s="0" t="n">
        <f aca="false">AQ510*AH510+AG510*AR510</f>
        <v>-609.107821535493</v>
      </c>
      <c r="AV510" s="0" t="n">
        <f aca="false">ATAN2(AT510,AU510)</f>
        <v>-2.92399224838261</v>
      </c>
      <c r="AW510" s="0" t="n">
        <f aca="false">AG510-AH510*AO510/_Rfb2+AG510*AN510/_Rfb2+AN510-AO510*AR510+AQ510*AN510</f>
        <v>204.583479649371</v>
      </c>
      <c r="AX510" s="0" t="n">
        <f aca="false">AH510+AH510*AN510/_Rfb2+AG510*AO510/_Rfb2+AO510+AO510*AQ510+AN510*AR510</f>
        <v>-913.319245188596</v>
      </c>
      <c r="AY510" s="0" t="n">
        <f aca="false">ATAN2(AW510,AX510)</f>
        <v>-1.35043393504316</v>
      </c>
      <c r="BA510" s="0" t="n">
        <f aca="false">SQRT(AT510^2+AU510^2)/SQRT(AW510^2+AX510^2)</f>
        <v>3.01448796664669</v>
      </c>
      <c r="BB510" s="0" t="n">
        <f aca="false">20*LOG(BA510)</f>
        <v>9.58427109141589</v>
      </c>
      <c r="BC510" s="0" t="n">
        <f aca="false">AV510-AY510</f>
        <v>-1.57355831333945</v>
      </c>
      <c r="BD510" s="0" t="n">
        <f aca="false">BC510*180/Pi-180</f>
        <v>-270.158250275096</v>
      </c>
      <c r="BF510" s="0" t="n">
        <f aca="false">20*LOG(BA510*J510*F510*C510)</f>
        <v>-32.7344038091929</v>
      </c>
      <c r="BG510" s="0" t="n">
        <f aca="false">(180/Pi)*(D510+H510+BC510)</f>
        <v>-268.576519685097</v>
      </c>
      <c r="BH510" s="0" t="n">
        <f aca="false">IF(BG510&gt;180,BG510-180,BG510+180)</f>
        <v>-88.5765196850968</v>
      </c>
      <c r="BI510" s="0" t="n">
        <f aca="false">IF(BH510&gt;180,BH510-360,BH510)</f>
        <v>-88.5765196850968</v>
      </c>
      <c r="BJ510" s="0" t="n">
        <f aca="false">SUM((BF511&lt;0)*(BF510&gt;0))*A510</f>
        <v>0</v>
      </c>
      <c r="BK510" s="0" t="n">
        <f aca="false">IF(BJ510&gt;0,BI510,0)</f>
        <v>0</v>
      </c>
      <c r="BM510" s="0" t="n">
        <f aca="false">20*LOG(J510*F510*C510)</f>
        <v>-42.3186749006088</v>
      </c>
      <c r="BN510" s="0" t="n">
        <f aca="false">(H510+D510)*180/Pi</f>
        <v>-178.418269410001</v>
      </c>
      <c r="BQ510" s="347" t="n">
        <f aca="false">20*LOG(BA510*7)</f>
        <v>26.486231891701</v>
      </c>
    </row>
    <row r="511" customFormat="false" ht="12.75" hidden="false" customHeight="false" outlineLevel="0" collapsed="false">
      <c r="A511" s="0" t="n">
        <f aca="false">A510+5000</f>
        <v>1485000</v>
      </c>
      <c r="B511" s="0" t="n">
        <f aca="false">A511/1000</f>
        <v>1485</v>
      </c>
      <c r="C511" s="0" t="n">
        <f aca="false">SQRT((A511/Fesr)^2+1)</f>
        <v>1.00004352844927</v>
      </c>
      <c r="D511" s="0" t="n">
        <f aca="false">ATAN(A511/Fesr)</f>
        <v>0.00933025941641039</v>
      </c>
      <c r="F511" s="0" t="n">
        <f aca="false">(Ro/(Ro+Rdcr))/SQRT((A511/(Q*Fo))^2+(1-(A511^2/Fo^2))^2)</f>
        <v>0.000845032629964497</v>
      </c>
      <c r="G511" s="0" t="n">
        <f aca="false">-ATAN(A511*Fo/(Q*(Fo^2-A511^2)))</f>
        <v>0.0182458273646988</v>
      </c>
      <c r="H511" s="0" t="n">
        <f aca="false">IF(G511&gt;0,G511-Pi,G511)</f>
        <v>-3.1233468226353</v>
      </c>
      <c r="J511" s="0" t="n">
        <f aca="false">Vin/Vramp</f>
        <v>9</v>
      </c>
      <c r="M511" s="0" t="n">
        <f aca="false">1/(2*Pi*_Rfb1*(Cc1ea_u+Cc2ea_u)*A511)</f>
        <v>0.0039694461472442</v>
      </c>
      <c r="N511" s="0" t="n">
        <f aca="false">-Pi/2</f>
        <v>-1.570796325</v>
      </c>
      <c r="O511" s="0" t="n">
        <f aca="false">SQRT(1+(A511/Fz1_u)^2)</f>
        <v>36.2908814847636</v>
      </c>
      <c r="P511" s="0" t="n">
        <f aca="false">ATAN2(Fz1_u,A511)</f>
        <v>1.54323770738742</v>
      </c>
      <c r="Q511" s="0" t="n">
        <f aca="false">SQRT(1+(A511/Fz2_u)^2)</f>
        <v>41164.358374117</v>
      </c>
      <c r="R511" s="0" t="n">
        <f aca="false">ATAN2(Fz2_u,A511)</f>
        <v>1.57077203393477</v>
      </c>
      <c r="S511" s="0" t="n">
        <f aca="false">1/SQRT(1+(A511/Fp1_u)^2)</f>
        <v>0.00908841753650904</v>
      </c>
      <c r="T511" s="0" t="n">
        <f aca="false">-ATAN2(Fp1_u,A511)</f>
        <v>-1.56170778413753</v>
      </c>
      <c r="U511" s="0" t="n">
        <f aca="false">1/SQRT(1+(A511/Fp2_u)^2)</f>
        <v>0.240790828976221</v>
      </c>
      <c r="V511" s="0" t="n">
        <f aca="false">-ATAN2(Fp2_u,A511)</f>
        <v>-1.3276157551082</v>
      </c>
      <c r="X511" s="0" t="n">
        <f aca="false">20*LOG(C511*J511*O511*Q511*F511*M511*S511*U511)</f>
        <v>-20.1137622590309</v>
      </c>
      <c r="Y511" s="0" t="n">
        <f aca="false">(180/Pi)*(D511+H511+N511+P511+R511+T511+V511)</f>
        <v>-255.546435501636</v>
      </c>
      <c r="Z511" s="0" t="n">
        <f aca="false">Y511+180</f>
        <v>-75.5464355016357</v>
      </c>
      <c r="AC511" s="0" t="n">
        <v>1</v>
      </c>
      <c r="AD511" s="0" t="n">
        <f aca="false">Rcea1_u*Cc1ea_u*A511*2*Pi</f>
        <v>36.277101302904</v>
      </c>
      <c r="AE511" s="0" t="n">
        <f aca="false">-Rcea1_u*Cc1ea_u*Cc2ea_u*(A511*2*Pi)^2</f>
        <v>-0.0507726882307546</v>
      </c>
      <c r="AF511" s="0" t="n">
        <f aca="false">(Cc2ea_u+Cc1ea_u)*A511*2*Pi</f>
        <v>0.012596215730175</v>
      </c>
      <c r="AG511" s="0" t="n">
        <f aca="false">AC511*AE511/(AE511^2+AF511^2)+AD511*AF511/(AE511^2+AF511^2)</f>
        <v>148.429371696783</v>
      </c>
      <c r="AH511" s="0" t="n">
        <f aca="false">AD511*AE511/(AE511^2+AF511^2)-AC511*AF511/(AE511^2+AF511^2)</f>
        <v>-677.676406652727</v>
      </c>
      <c r="AJ511" s="0" t="n">
        <f aca="false">_Rfb1</f>
        <v>20000</v>
      </c>
      <c r="AK511" s="0" t="n">
        <f aca="false">_Rfb1*Rcea2_u*Cc3ea_u*A511*2*Pi</f>
        <v>2200512.23541072</v>
      </c>
      <c r="AL511" s="0" t="n">
        <v>1</v>
      </c>
      <c r="AM511" s="0" t="n">
        <f aca="false">(_Rfb1+Rcea2_u)*Cc3ea_u*A511*2*Pi</f>
        <v>41164.3583619705</v>
      </c>
      <c r="AN511" s="0" t="n">
        <f aca="false">AJ511*AL511/(AL511^2+AM511^2)+AK511*AM511/(AL511^2+AM511^2)</f>
        <v>53.4567477189742</v>
      </c>
      <c r="AO511" s="0" t="n">
        <f aca="false">AK511*AL511/(AL511^2+AM511^2)-AJ511*AM511/(AL511^2+AM511^2)</f>
        <v>-0.484558585290826</v>
      </c>
      <c r="AQ511" s="0" t="n">
        <f aca="false">Eadcg/(1+(Eadcg*A511/GBP)^2)</f>
        <v>0.00516282041586184</v>
      </c>
      <c r="AR511" s="0" t="n">
        <f aca="false">-(A511*Eadcg*Eadcg/GBP)/(1+(Eadcg*A511/GBP)^2)</f>
        <v>-4.04039744335139</v>
      </c>
      <c r="AT511" s="0" t="n">
        <f aca="false">-AR511*AH511+AG511*AQ511</f>
        <v>-2737.31570666873</v>
      </c>
      <c r="AU511" s="0" t="n">
        <f aca="false">AQ511*AH511+AG511*AR511</f>
        <v>-603.21237550955</v>
      </c>
      <c r="AV511" s="0" t="n">
        <f aca="false">ATAN2(AT511,AU511)</f>
        <v>-2.92469290186675</v>
      </c>
      <c r="AW511" s="0" t="n">
        <f aca="false">AG511-AH511*AO511/_Rfb2+AG511*AN511/_Rfb2+AN511-AO511*AR511+AQ511*AN511</f>
        <v>203.627077635278</v>
      </c>
      <c r="AX511" s="0" t="n">
        <f aca="false">AH511+AH511*AN511/_Rfb2+AG511*AO511/_Rfb2+AO511+AO511*AQ511+AN511*AR511</f>
        <v>-910.484208484954</v>
      </c>
      <c r="AY511" s="0" t="n">
        <f aca="false">ATAN2(AW511,AX511)</f>
        <v>-1.35077004528031</v>
      </c>
      <c r="BA511" s="0" t="n">
        <f aca="false">SQRT(AT511^2+AU511^2)/SQRT(AW511^2+AX511^2)</f>
        <v>3.00435344612154</v>
      </c>
      <c r="BB511" s="0" t="n">
        <f aca="false">20*LOG(BA511)</f>
        <v>9.55502047523563</v>
      </c>
      <c r="BC511" s="0" t="n">
        <f aca="false">AV511-AY511</f>
        <v>-1.57392285658644</v>
      </c>
      <c r="BD511" s="0" t="n">
        <f aca="false">BC511*180/Pi-180</f>
        <v>-270.179137064622</v>
      </c>
      <c r="BF511" s="0" t="n">
        <f aca="false">20*LOG(BA511*J511*F511*C511)</f>
        <v>-32.8222816797776</v>
      </c>
      <c r="BG511" s="0" t="n">
        <f aca="false">(180/Pi)*(D511+H511+BC511)</f>
        <v>-268.599143674773</v>
      </c>
      <c r="BH511" s="0" t="n">
        <f aca="false">IF(BG511&gt;180,BG511-180,BG511+180)</f>
        <v>-88.5991436747726</v>
      </c>
      <c r="BI511" s="0" t="n">
        <f aca="false">IF(BH511&gt;180,BH511-360,BH511)</f>
        <v>-88.5991436747726</v>
      </c>
      <c r="BJ511" s="0" t="n">
        <f aca="false">SUM((BF512&lt;0)*(BF511&gt;0))*A511</f>
        <v>0</v>
      </c>
      <c r="BK511" s="0" t="n">
        <f aca="false">IF(BJ511&gt;0,BI511,0)</f>
        <v>0</v>
      </c>
      <c r="BM511" s="0" t="n">
        <f aca="false">20*LOG(J511*F511*C511)</f>
        <v>-42.3773021550133</v>
      </c>
      <c r="BN511" s="0" t="n">
        <f aca="false">(H511+D511)*180/Pi</f>
        <v>-178.420006610151</v>
      </c>
      <c r="BQ511" s="347" t="n">
        <f aca="false">20*LOG(BA511*7)</f>
        <v>26.4569812755208</v>
      </c>
    </row>
    <row r="512" customFormat="false" ht="12.75" hidden="false" customHeight="false" outlineLevel="0" collapsed="false">
      <c r="A512" s="0" t="n">
        <f aca="false">A511+5000</f>
        <v>1490000</v>
      </c>
      <c r="B512" s="0" t="n">
        <f aca="false">A512/1000</f>
        <v>1490</v>
      </c>
      <c r="C512" s="0" t="n">
        <f aca="false">SQRT((A512/Fesr)^2+1)</f>
        <v>1.00004382205718</v>
      </c>
      <c r="D512" s="0" t="n">
        <f aca="false">ATAN(A512/Fesr)</f>
        <v>0.00936167259889824</v>
      </c>
      <c r="F512" s="0" t="n">
        <f aca="false">(Ro/(Ro+Rdcr))/SQRT((A512/(Q*Fo))^2+(1-(A512^2/Fo^2))^2)</f>
        <v>0.000839366933744379</v>
      </c>
      <c r="G512" s="0" t="n">
        <f aca="false">-ATAN(A512*Fo/(Q*(Fo^2-A512^2)))</f>
        <v>0.0181845095340423</v>
      </c>
      <c r="H512" s="0" t="n">
        <f aca="false">IF(G512&gt;0,G512-Pi,G512)</f>
        <v>-3.12340814046596</v>
      </c>
      <c r="J512" s="0" t="n">
        <f aca="false">Vin/Vramp</f>
        <v>9</v>
      </c>
      <c r="M512" s="0" t="n">
        <f aca="false">1/(2*Pi*_Rfb1*(Cc1ea_u+Cc2ea_u)*A512)</f>
        <v>0.00395612585815949</v>
      </c>
      <c r="N512" s="0" t="n">
        <f aca="false">-Pi/2</f>
        <v>-1.570796325</v>
      </c>
      <c r="O512" s="0" t="n">
        <f aca="false">SQRT(1+(A512/Fz1_u)^2)</f>
        <v>36.4129803822452</v>
      </c>
      <c r="P512" s="0" t="n">
        <f aca="false">ATAN2(Fz1_u,A512)</f>
        <v>1.54333013939479</v>
      </c>
      <c r="Q512" s="0" t="n">
        <f aca="false">SQRT(1+(A512/Fz2_u)^2)</f>
        <v>41302.9589072815</v>
      </c>
      <c r="R512" s="0" t="n">
        <f aca="false">ATAN2(Fz2_u,A512)</f>
        <v>1.57077211545444</v>
      </c>
      <c r="S512" s="0" t="n">
        <f aca="false">1/SQRT(1+(A512/Fp1_u)^2)</f>
        <v>0.00905792199753783</v>
      </c>
      <c r="T512" s="0" t="n">
        <f aca="false">-ATAN2(Fp1_u,A512)</f>
        <v>-1.56173828093182</v>
      </c>
      <c r="U512" s="0" t="n">
        <f aca="false">1/SQRT(1+(A512/Fp2_u)^2)</f>
        <v>0.240029433439877</v>
      </c>
      <c r="V512" s="0" t="n">
        <f aca="false">-ATAN2(Fp2_u,A512)</f>
        <v>-1.32840015604824</v>
      </c>
      <c r="X512" s="0" t="n">
        <f aca="false">20*LOG(C512*J512*O512*Q512*F512*M512*S512*U512)</f>
        <v>-20.19972068773</v>
      </c>
      <c r="Y512" s="0" t="n">
        <f aca="false">(180/Pi)*(D512+H512+N512+P512+R512+T512+V512)</f>
        <v>-255.589538478078</v>
      </c>
      <c r="Z512" s="0" t="n">
        <f aca="false">Y512+180</f>
        <v>-75.5895384780776</v>
      </c>
      <c r="AC512" s="0" t="n">
        <v>1</v>
      </c>
      <c r="AD512" s="0" t="n">
        <f aca="false">Rcea1_u*Cc1ea_u*A512*2*Pi</f>
        <v>36.399246425136</v>
      </c>
      <c r="AE512" s="0" t="n">
        <f aca="false">-Rcea1_u*Cc1ea_u*Cc2ea_u*(A512*2*Pi)^2</f>
        <v>-0.0511151674505315</v>
      </c>
      <c r="AF512" s="0" t="n">
        <f aca="false">(Cc2ea_u+Cc1ea_u)*A512*2*Pi</f>
        <v>0.01263862723095</v>
      </c>
      <c r="AG512" s="0" t="n">
        <f aca="false">AC512*AE512/(AE512^2+AF512^2)+AD512*AF512/(AE512^2+AF512^2)</f>
        <v>147.492170028719</v>
      </c>
      <c r="AH512" s="0" t="n">
        <f aca="false">AD512*AE512/(AE512^2+AF512^2)-AC512*AF512/(AE512^2+AF512^2)</f>
        <v>-675.634055235792</v>
      </c>
      <c r="AJ512" s="0" t="n">
        <f aca="false">_Rfb1</f>
        <v>20000</v>
      </c>
      <c r="AK512" s="0" t="n">
        <f aca="false">_Rfb1*Rcea2_u*Cc3ea_u*A512*2*Pi</f>
        <v>2207921.36751648</v>
      </c>
      <c r="AL512" s="0" t="n">
        <v>1</v>
      </c>
      <c r="AM512" s="0" t="n">
        <f aca="false">(_Rfb1+Rcea2_u)*Cc3ea_u*A512*2*Pi</f>
        <v>41302.9588951758</v>
      </c>
      <c r="AN512" s="0" t="n">
        <f aca="false">AJ512*AL512/(AL512^2+AM512^2)+AK512*AM512/(AL512^2+AM512^2)</f>
        <v>53.4567476401046</v>
      </c>
      <c r="AO512" s="0" t="n">
        <f aca="false">AK512*AL512/(AL512^2+AM512^2)-AJ512*AM512/(AL512^2+AM512^2)</f>
        <v>-0.482932549771625</v>
      </c>
      <c r="AQ512" s="0" t="n">
        <f aca="false">Eadcg/(1+(Eadcg*A512/GBP)^2)</f>
        <v>0.00512822880776568</v>
      </c>
      <c r="AR512" s="0" t="n">
        <f aca="false">-(A512*Eadcg*Eadcg/GBP)/(1+(Eadcg*A512/GBP)^2)</f>
        <v>-4.02683910672184</v>
      </c>
      <c r="AT512" s="0" t="n">
        <f aca="false">-AR512*AH512+AG512*AQ512</f>
        <v>-2719.91326186129</v>
      </c>
      <c r="AU512" s="0" t="n">
        <f aca="false">AQ512*AH512+AG512*AR512</f>
        <v>-597.392044232482</v>
      </c>
      <c r="AV512" s="0" t="n">
        <f aca="false">ATAN2(AT512,AU512)</f>
        <v>-2.92538915871237</v>
      </c>
      <c r="AW512" s="0" t="n">
        <f aca="false">AG512-AH512*AO512/_Rfb2+AG512*AN512/_Rfb2+AN512-AO512*AR512+AQ512*AN512</f>
        <v>202.679539140511</v>
      </c>
      <c r="AX512" s="0" t="n">
        <f aca="false">AH512+AH512*AN512/_Rfb2+AG512*AO512/_Rfb2+AO512+AO512*AQ512+AN512*AR512</f>
        <v>-907.665978870406</v>
      </c>
      <c r="AY512" s="0" t="n">
        <f aca="false">ATAN2(AW512,AX512)</f>
        <v>-1.35110294309275</v>
      </c>
      <c r="BA512" s="0" t="n">
        <f aca="false">SQRT(AT512^2+AU512^2)/SQRT(AW512^2+AX512^2)</f>
        <v>2.9942863720868</v>
      </c>
      <c r="BB512" s="0" t="n">
        <f aca="false">20*LOG(BA512)</f>
        <v>9.52586667411223</v>
      </c>
      <c r="BC512" s="0" t="n">
        <f aca="false">AV512-AY512</f>
        <v>-1.57428621561962</v>
      </c>
      <c r="BD512" s="0" t="n">
        <f aca="false">BC512*180/Pi-180</f>
        <v>-270.199956003695</v>
      </c>
      <c r="BF512" s="0" t="n">
        <f aca="false">20*LOG(BA512*J512*F512*C512)</f>
        <v>-32.9098653820041</v>
      </c>
      <c r="BG512" s="0" t="n">
        <f aca="false">(180/Pi)*(D512+H512+BC512)</f>
        <v>-268.621676023976</v>
      </c>
      <c r="BH512" s="0" t="n">
        <f aca="false">IF(BG512&gt;180,BG512-180,BG512+180)</f>
        <v>-88.6216760239756</v>
      </c>
      <c r="BI512" s="0" t="n">
        <f aca="false">IF(BH512&gt;180,BH512-360,BH512)</f>
        <v>-88.6216760239756</v>
      </c>
      <c r="BJ512" s="0" t="n">
        <f aca="false">SUM((BF513&lt;0)*(BF512&gt;0))*A512</f>
        <v>0</v>
      </c>
      <c r="BK512" s="0" t="n">
        <f aca="false">IF(BJ512&gt;0,BI512,0)</f>
        <v>0</v>
      </c>
      <c r="BM512" s="0" t="n">
        <f aca="false">20*LOG(J512*F512*C512)</f>
        <v>-42.4357320561163</v>
      </c>
      <c r="BN512" s="0" t="n">
        <f aca="false">(H512+D512)*180/Pi</f>
        <v>-178.42172002028</v>
      </c>
      <c r="BQ512" s="347" t="n">
        <f aca="false">20*LOG(BA512*7)</f>
        <v>26.4278274743974</v>
      </c>
    </row>
    <row r="513" customFormat="false" ht="12.75" hidden="false" customHeight="false" outlineLevel="0" collapsed="false">
      <c r="A513" s="0" t="n">
        <f aca="false">A512+5000</f>
        <v>1495000</v>
      </c>
      <c r="B513" s="0" t="n">
        <f aca="false">A513/1000</f>
        <v>1495</v>
      </c>
      <c r="C513" s="0" t="n">
        <f aca="false">SQRT((A513/Fesr)^2+1)</f>
        <v>1.00004411665191</v>
      </c>
      <c r="D513" s="0" t="n">
        <f aca="false">ATAN(A513/Fesr)</f>
        <v>0.00939308576290958</v>
      </c>
      <c r="F513" s="0" t="n">
        <f aca="false">(Ro/(Ro+Rdcr))/SQRT((A513/(Q*Fo))^2+(1-(A513^2/Fo^2))^2)</f>
        <v>0.000833758040073415</v>
      </c>
      <c r="G513" s="0" t="n">
        <f aca="false">-ATAN(A513*Fo/(Q*(Fo^2-A513^2)))</f>
        <v>0.0181236027575432</v>
      </c>
      <c r="H513" s="0" t="n">
        <f aca="false">IF(G513&gt;0,G513-Pi,G513)</f>
        <v>-3.12346904724246</v>
      </c>
      <c r="J513" s="0" t="n">
        <f aca="false">Vin/Vramp</f>
        <v>9</v>
      </c>
      <c r="M513" s="0" t="n">
        <f aca="false">1/(2*Pi*_Rfb1*(Cc1ea_u+Cc2ea_u)*A513)</f>
        <v>0.00394289466799842</v>
      </c>
      <c r="N513" s="0" t="n">
        <f aca="false">-Pi/2</f>
        <v>-1.570796325</v>
      </c>
      <c r="O513" s="0" t="n">
        <f aca="false">SQRT(1+(A513/Fz1_u)^2)</f>
        <v>36.5350795887482</v>
      </c>
      <c r="P513" s="0" t="n">
        <f aca="false">ATAN2(Fz1_u,A513)</f>
        <v>1.54342195359261</v>
      </c>
      <c r="Q513" s="0" t="n">
        <f aca="false">SQRT(1+(A513/Fz2_u)^2)</f>
        <v>41441.5594404463</v>
      </c>
      <c r="R513" s="0" t="n">
        <f aca="false">ATAN2(Fz2_u,A513)</f>
        <v>1.57077219642882</v>
      </c>
      <c r="S513" s="0" t="n">
        <f aca="false">1/SQRT(1+(A513/Fp1_u)^2)</f>
        <v>0.00902763041708461</v>
      </c>
      <c r="T513" s="0" t="n">
        <f aca="false">-ATAN2(Fp1_u,A513)</f>
        <v>-1.56176857375084</v>
      </c>
      <c r="U513" s="0" t="n">
        <f aca="false">1/SQRT(1+(A513/Fp2_u)^2)</f>
        <v>0.239272692053946</v>
      </c>
      <c r="V513" s="0" t="n">
        <f aca="false">-ATAN2(Fp2_u,A513)</f>
        <v>-1.32917961149981</v>
      </c>
      <c r="X513" s="0" t="n">
        <f aca="false">20*LOG(C513*J513*O513*Q513*F513*M513*S513*U513)</f>
        <v>-20.2854013373219</v>
      </c>
      <c r="Y513" s="0" t="n">
        <f aca="false">(180/Pi)*(D513+H513+N513+P513+R513+T513+V513)</f>
        <v>-255.632358290493</v>
      </c>
      <c r="Z513" s="0" t="n">
        <f aca="false">Y513+180</f>
        <v>-75.6323582904926</v>
      </c>
      <c r="AC513" s="0" t="n">
        <v>1</v>
      </c>
      <c r="AD513" s="0" t="n">
        <f aca="false">Rcea1_u*Cc1ea_u*A513*2*Pi</f>
        <v>36.521391547368</v>
      </c>
      <c r="AE513" s="0" t="n">
        <f aca="false">-Rcea1_u*Cc1ea_u*Cc2ea_u*(A513*2*Pi)^2</f>
        <v>-0.0514587978609631</v>
      </c>
      <c r="AF513" s="0" t="n">
        <f aca="false">(Cc2ea_u+Cc1ea_u)*A513*2*Pi</f>
        <v>0.012681038731725</v>
      </c>
      <c r="AG513" s="0" t="n">
        <f aca="false">AC513*AE513/(AE513^2+AF513^2)+AD513*AF513/(AE513^2+AF513^2)</f>
        <v>146.563638176621</v>
      </c>
      <c r="AH513" s="0" t="n">
        <f aca="false">AD513*AE513/(AE513^2+AF513^2)-AC513*AF513/(AE513^2+AF513^2)</f>
        <v>-673.603228521651</v>
      </c>
      <c r="AJ513" s="0" t="n">
        <f aca="false">_Rfb1</f>
        <v>20000</v>
      </c>
      <c r="AK513" s="0" t="n">
        <f aca="false">_Rfb1*Rcea2_u*Cc3ea_u*A513*2*Pi</f>
        <v>2215330.49962224</v>
      </c>
      <c r="AL513" s="0" t="n">
        <v>1</v>
      </c>
      <c r="AM513" s="0" t="n">
        <f aca="false">(_Rfb1+Rcea2_u)*Cc3ea_u*A513*2*Pi</f>
        <v>41441.5594283811</v>
      </c>
      <c r="AN513" s="0" t="n">
        <f aca="false">AJ513*AL513/(AL513^2+AM513^2)+AK513*AM513/(AL513^2+AM513^2)</f>
        <v>53.4567475620251</v>
      </c>
      <c r="AO513" s="0" t="n">
        <f aca="false">AK513*AL513/(AL513^2+AM513^2)-AJ513*AM513/(AL513^2+AM513^2)</f>
        <v>-0.481317390744173</v>
      </c>
      <c r="AQ513" s="0" t="n">
        <f aca="false">Eadcg/(1+(Eadcg*A513/GBP)^2)</f>
        <v>0.00509398369120017</v>
      </c>
      <c r="AR513" s="0" t="n">
        <f aca="false">-(A513*Eadcg*Eadcg/GBP)/(1+(Eadcg*A513/GBP)^2)</f>
        <v>-4.01337146086742</v>
      </c>
      <c r="AT513" s="0" t="n">
        <f aca="false">-AR513*AH513+AG513*AQ513</f>
        <v>-2702.67338051435</v>
      </c>
      <c r="AU513" s="0" t="n">
        <f aca="false">AQ513*AH513+AG513*AR513</f>
        <v>-591.645646519377</v>
      </c>
      <c r="AV513" s="0" t="n">
        <f aca="false">ATAN2(AT513,AU513)</f>
        <v>-2.92608105919742</v>
      </c>
      <c r="AW513" s="0" t="n">
        <f aca="false">AG513-AH513*AO513/_Rfb2+AG513*AN513/_Rfb2+AN513-AO513*AR513+AQ513*AN513</f>
        <v>201.740757366023</v>
      </c>
      <c r="AX513" s="0" t="n">
        <f aca="false">AH513+AH513*AN513/_Rfb2+AG513*AO513/_Rfb2+AO513+AO513*AQ513+AN513*AR513</f>
        <v>-904.864414408937</v>
      </c>
      <c r="AY513" s="0" t="n">
        <f aca="false">ATAN2(AW513,AX513)</f>
        <v>-1.35143265703792</v>
      </c>
      <c r="BA513" s="0" t="n">
        <f aca="false">SQRT(AT513^2+AU513^2)/SQRT(AW513^2+AX513^2)</f>
        <v>2.98428607398726</v>
      </c>
      <c r="BB513" s="0" t="n">
        <f aca="false">20*LOG(BA513)</f>
        <v>9.49680904624752</v>
      </c>
      <c r="BC513" s="0" t="n">
        <f aca="false">AV513-AY513</f>
        <v>-1.5746484021595</v>
      </c>
      <c r="BD513" s="0" t="n">
        <f aca="false">BC513*180/Pi-180</f>
        <v>-270.22070776385</v>
      </c>
      <c r="BF513" s="0" t="n">
        <f aca="false">20*LOG(BA513*J513*F513*C513)</f>
        <v>-32.9971568826121</v>
      </c>
      <c r="BG513" s="0" t="n">
        <f aca="false">(180/Pi)*(D513+H513+BC513)</f>
        <v>-268.644117643651</v>
      </c>
      <c r="BH513" s="0" t="n">
        <f aca="false">IF(BG513&gt;180,BG513-180,BG513+180)</f>
        <v>-88.6441176436509</v>
      </c>
      <c r="BI513" s="0" t="n">
        <f aca="false">IF(BH513&gt;180,BH513-360,BH513)</f>
        <v>-88.6441176436509</v>
      </c>
      <c r="BJ513" s="0" t="n">
        <f aca="false">SUM((BF514&lt;0)*(BF513&gt;0))*A513</f>
        <v>0</v>
      </c>
      <c r="BK513" s="0" t="n">
        <f aca="false">IF(BJ513&gt;0,BI513,0)</f>
        <v>0</v>
      </c>
      <c r="BM513" s="0" t="n">
        <f aca="false">20*LOG(J513*F513*C513)</f>
        <v>-42.4939659288596</v>
      </c>
      <c r="BN513" s="0" t="n">
        <f aca="false">(H513+D513)*180/Pi</f>
        <v>-178.4234098798</v>
      </c>
      <c r="BQ513" s="347" t="n">
        <f aca="false">20*LOG(BA513*7)</f>
        <v>26.3987698465327</v>
      </c>
    </row>
    <row r="514" customFormat="false" ht="12.75" hidden="false" customHeight="false" outlineLevel="0" collapsed="false">
      <c r="A514" s="0" t="n">
        <f aca="false">A513+5000</f>
        <v>1500000</v>
      </c>
      <c r="B514" s="0" t="n">
        <f aca="false">A514/1000</f>
        <v>1500</v>
      </c>
      <c r="C514" s="0" t="n">
        <f aca="false">SQRT((A514/Fesr)^2+1)</f>
        <v>1.00004441223348</v>
      </c>
      <c r="D514" s="0" t="n">
        <f aca="false">ATAN(A514/Fesr)</f>
        <v>0.00942449890838244</v>
      </c>
      <c r="F514" s="0" t="n">
        <f aca="false">(Ro/(Ro+Rdcr))/SQRT((A514/(Q*Fo))^2+(1-(A514^2/Fo^2))^2)</f>
        <v>0.000828205191999603</v>
      </c>
      <c r="G514" s="0" t="n">
        <f aca="false">-ATAN(A514*Fo/(Q*(Fo^2-A514^2)))</f>
        <v>0.0180631029126885</v>
      </c>
      <c r="H514" s="0" t="n">
        <f aca="false">IF(G514&gt;0,G514-Pi,G514)</f>
        <v>-3.12352954708731</v>
      </c>
      <c r="J514" s="0" t="n">
        <f aca="false">Vin/Vramp</f>
        <v>9</v>
      </c>
      <c r="M514" s="0" t="n">
        <f aca="false">1/(2*Pi*_Rfb1*(Cc1ea_u+Cc2ea_u)*A514)</f>
        <v>0.00392975168577176</v>
      </c>
      <c r="N514" s="0" t="n">
        <f aca="false">-Pi/2</f>
        <v>-1.570796325</v>
      </c>
      <c r="O514" s="0" t="n">
        <f aca="false">SQRT(1+(A514/Fz1_u)^2)</f>
        <v>36.6571791011845</v>
      </c>
      <c r="P514" s="0" t="n">
        <f aca="false">ATAN2(Fz1_u,A514)</f>
        <v>1.54351315615282</v>
      </c>
      <c r="Q514" s="0" t="n">
        <f aca="false">SQRT(1+(A514/Fz2_u)^2)</f>
        <v>41580.1599736114</v>
      </c>
      <c r="R514" s="0" t="n">
        <f aca="false">ATAN2(Fz2_u,A514)</f>
        <v>1.57077227686337</v>
      </c>
      <c r="S514" s="0" t="n">
        <f aca="false">1/SQRT(1+(A514/Fp1_u)^2)</f>
        <v>0.00899754075589612</v>
      </c>
      <c r="T514" s="0" t="n">
        <f aca="false">-ATAN2(Fp1_u,A514)</f>
        <v>-1.56179866463415</v>
      </c>
      <c r="U514" s="0" t="n">
        <f aca="false">1/SQRT(1+(A514/Fp2_u)^2)</f>
        <v>0.23852056368297</v>
      </c>
      <c r="V514" s="0" t="n">
        <f aca="false">-ATAN2(Fp2_u,A514)</f>
        <v>-1.32995416714814</v>
      </c>
      <c r="X514" s="0" t="n">
        <f aca="false">20*LOG(C514*J514*O514*Q514*F514*M514*S514*U514)</f>
        <v>-20.3708059690378</v>
      </c>
      <c r="Y514" s="0" t="n">
        <f aca="false">(180/Pi)*(D514+H514+N514+P514+R514+T514+V514)</f>
        <v>-255.674897555577</v>
      </c>
      <c r="Z514" s="0" t="n">
        <f aca="false">Y514+180</f>
        <v>-75.6748975555773</v>
      </c>
      <c r="AC514" s="0" t="n">
        <v>1</v>
      </c>
      <c r="AD514" s="0" t="n">
        <f aca="false">Rcea1_u*Cc1ea_u*A514*2*Pi</f>
        <v>36.6435366696</v>
      </c>
      <c r="AE514" s="0" t="n">
        <f aca="false">-Rcea1_u*Cc1ea_u*Cc2ea_u*(A514*2*Pi)^2</f>
        <v>-0.0518035794620494</v>
      </c>
      <c r="AF514" s="0" t="n">
        <f aca="false">(Cc2ea_u+Cc1ea_u)*A514*2*Pi</f>
        <v>0.0127234502325</v>
      </c>
      <c r="AG514" s="0" t="n">
        <f aca="false">AC514*AE514/(AE514^2+AF514^2)+AD514*AF514/(AE514^2+AF514^2)</f>
        <v>145.643671807083</v>
      </c>
      <c r="AH514" s="0" t="n">
        <f aca="false">AD514*AE514/(AE514^2+AF514^2)-AC514*AF514/(AE514^2+AF514^2)</f>
        <v>-671.58383688855</v>
      </c>
      <c r="AJ514" s="0" t="n">
        <f aca="false">_Rfb1</f>
        <v>20000</v>
      </c>
      <c r="AK514" s="0" t="n">
        <f aca="false">_Rfb1*Rcea2_u*Cc3ea_u*A514*2*Pi</f>
        <v>2222739.631728</v>
      </c>
      <c r="AL514" s="0" t="n">
        <v>1</v>
      </c>
      <c r="AM514" s="0" t="n">
        <f aca="false">(_Rfb1+Rcea2_u)*Cc3ea_u*A514*2*Pi</f>
        <v>41580.1599615864</v>
      </c>
      <c r="AN514" s="0" t="n">
        <f aca="false">AJ514*AL514/(AL514^2+AM514^2)+AK514*AM514/(AL514^2+AM514^2)</f>
        <v>53.4567474847251</v>
      </c>
      <c r="AO514" s="0" t="n">
        <f aca="false">AK514*AL514/(AL514^2+AM514^2)-AJ514*AM514/(AL514^2+AM514^2)</f>
        <v>-0.479712999443551</v>
      </c>
      <c r="AQ514" s="0" t="n">
        <f aca="false">Eadcg/(1+(Eadcg*A514/GBP)^2)</f>
        <v>0.005060080453999</v>
      </c>
      <c r="AR514" s="0" t="n">
        <f aca="false">-(A514*Eadcg*Eadcg/GBP)/(1+(Eadcg*A514/GBP)^2)</f>
        <v>-3.99999359888621</v>
      </c>
      <c r="AT514" s="0" t="n">
        <f aca="false">-AR514*AH514+AG514*AQ514</f>
        <v>-2685.59407997268</v>
      </c>
      <c r="AU514" s="0" t="n">
        <f aca="false">AQ514*AH514+AG514*AR514</f>
        <v>-585.972023192877</v>
      </c>
      <c r="AV514" s="0" t="n">
        <f aca="false">ATAN2(AT514,AU514)</f>
        <v>-2.92676864312202</v>
      </c>
      <c r="AW514" s="0" t="n">
        <f aca="false">AG514-AH514*AO514/_Rfb2+AG514*AN514/_Rfb2+AN514-AO514*AR514+AQ514*AN514</f>
        <v>200.810627078209</v>
      </c>
      <c r="AX514" s="0" t="n">
        <f aca="false">AH514+AH514*AN514/_Rfb2+AG514*AO514/_Rfb2+AO514+AO514*AQ514+AN514*AR514</f>
        <v>-902.079374666254</v>
      </c>
      <c r="AY514" s="0" t="n">
        <f aca="false">ATAN2(AW514,AX514)</f>
        <v>-1.3517592153501</v>
      </c>
      <c r="BA514" s="0" t="n">
        <f aca="false">SQRT(AT514^2+AU514^2)/SQRT(AW514^2+AX514^2)</f>
        <v>2.97435189010726</v>
      </c>
      <c r="BB514" s="0" t="n">
        <f aca="false">20*LOG(BA514)</f>
        <v>9.46784695615517</v>
      </c>
      <c r="BC514" s="0" t="n">
        <f aca="false">AV514-AY514</f>
        <v>-1.57500942777192</v>
      </c>
      <c r="BD514" s="0" t="n">
        <f aca="false">BC514*180/Pi-180</f>
        <v>-270.241393007762</v>
      </c>
      <c r="BF514" s="0" t="n">
        <f aca="false">20*LOG(BA514*J514*F514*C514)</f>
        <v>-33.0841581287223</v>
      </c>
      <c r="BG514" s="0" t="n">
        <f aca="false">(180/Pi)*(D514+H514+BC514)</f>
        <v>-268.666469432679</v>
      </c>
      <c r="BH514" s="0" t="n">
        <f aca="false">IF(BG514&gt;180,BG514-180,BG514+180)</f>
        <v>-88.6664694326786</v>
      </c>
      <c r="BI514" s="0" t="n">
        <f aca="false">IF(BH514&gt;180,BH514-360,BH514)</f>
        <v>-88.6664694326786</v>
      </c>
      <c r="BJ514" s="0" t="n">
        <f aca="false">SUM((BF515&lt;0)*(BF514&gt;0))*A514</f>
        <v>0</v>
      </c>
      <c r="BK514" s="0" t="n">
        <f aca="false">IF(BJ514&gt;0,BI514,0)</f>
        <v>0</v>
      </c>
      <c r="BM514" s="0" t="n">
        <f aca="false">20*LOG(J514*F514*C514)</f>
        <v>-42.5520050848775</v>
      </c>
      <c r="BN514" s="0" t="n">
        <f aca="false">(H514+D514)*180/Pi</f>
        <v>-178.425076424917</v>
      </c>
      <c r="BQ514" s="347" t="n">
        <f aca="false">20*LOG(BA514*7)</f>
        <v>26.3698077564403</v>
      </c>
    </row>
    <row r="515" customFormat="false" ht="12.75" hidden="false" customHeight="false" outlineLevel="0" collapsed="false">
      <c r="A515" s="0" t="n">
        <f aca="false">A514+5000</f>
        <v>1505000</v>
      </c>
      <c r="B515" s="0" t="n">
        <f aca="false">A515/1000</f>
        <v>1505</v>
      </c>
      <c r="C515" s="0" t="n">
        <f aca="false">SQRT((A515/Fesr)^2+1)</f>
        <v>1.00004470880188</v>
      </c>
      <c r="D515" s="0" t="n">
        <f aca="false">ATAN(A515/Fesr)</f>
        <v>0.00945591203525485</v>
      </c>
      <c r="F515" s="0" t="n">
        <f aca="false">(Ro/(Ro+Rdcr))/SQRT((A515/(Q*Fo))^2+(1-(A515^2/Fo^2))^2)</f>
        <v>0.000822707645140785</v>
      </c>
      <c r="G515" s="0" t="n">
        <f aca="false">-ATAN(A515*Fo/(Q*(Fo^2-A515^2)))</f>
        <v>0.0180030059319475</v>
      </c>
      <c r="H515" s="0" t="n">
        <f aca="false">IF(G515&gt;0,G515-Pi,G515)</f>
        <v>-3.12358964406805</v>
      </c>
      <c r="J515" s="0" t="n">
        <f aca="false">Vin/Vramp</f>
        <v>9</v>
      </c>
      <c r="M515" s="0" t="n">
        <f aca="false">1/(2*Pi*_Rfb1*(Cc1ea_u+Cc2ea_u)*A515)</f>
        <v>0.00391669603233066</v>
      </c>
      <c r="N515" s="0" t="n">
        <f aca="false">-Pi/2</f>
        <v>-1.570796325</v>
      </c>
      <c r="O515" s="0" t="n">
        <f aca="false">SQRT(1+(A515/Fz1_u)^2)</f>
        <v>36.7792789165074</v>
      </c>
      <c r="P515" s="0" t="n">
        <f aca="false">ATAN2(Fz1_u,A515)</f>
        <v>1.54360375316543</v>
      </c>
      <c r="Q515" s="0" t="n">
        <f aca="false">SQRT(1+(A515/Fz2_u)^2)</f>
        <v>41718.7605067767</v>
      </c>
      <c r="R515" s="0" t="n">
        <f aca="false">ATAN2(Fz2_u,A515)</f>
        <v>1.57077235676348</v>
      </c>
      <c r="S515" s="0" t="n">
        <f aca="false">1/SQRT(1+(A515/Fp1_u)^2)</f>
        <v>0.0089676510018133</v>
      </c>
      <c r="T515" s="0" t="n">
        <f aca="false">-ATAN2(Fp1_u,A515)</f>
        <v>-1.56182855559416</v>
      </c>
      <c r="U515" s="0" t="n">
        <f aca="false">1/SQRT(1+(A515/Fp2_u)^2)</f>
        <v>0.237773007656443</v>
      </c>
      <c r="V515" s="0" t="n">
        <f aca="false">-ATAN2(Fp2_u,A515)</f>
        <v>-1.33072386812943</v>
      </c>
      <c r="X515" s="0" t="n">
        <f aca="false">20*LOG(C515*J515*O515*Q515*F515*M515*S515*U515)</f>
        <v>-20.4559363276427</v>
      </c>
      <c r="Y515" s="0" t="n">
        <f aca="false">(180/Pi)*(D515+H515+N515+P515+R515+T515+V515)</f>
        <v>-255.717158858564</v>
      </c>
      <c r="Z515" s="0" t="n">
        <f aca="false">Y515+180</f>
        <v>-75.7171588585643</v>
      </c>
      <c r="AC515" s="0" t="n">
        <v>1</v>
      </c>
      <c r="AD515" s="0" t="n">
        <f aca="false">Rcea1_u*Cc1ea_u*A515*2*Pi</f>
        <v>36.765681791832</v>
      </c>
      <c r="AE515" s="0" t="n">
        <f aca="false">-Rcea1_u*Cc1ea_u*Cc2ea_u*(A515*2*Pi)^2</f>
        <v>-0.0521495122537904</v>
      </c>
      <c r="AF515" s="0" t="n">
        <f aca="false">(Cc2ea_u+Cc1ea_u)*A515*2*Pi</f>
        <v>0.012765861733275</v>
      </c>
      <c r="AG515" s="0" t="n">
        <f aca="false">AC515*AE515/(AE515^2+AF515^2)+AD515*AF515/(AE515^2+AF515^2)</f>
        <v>144.732168115177</v>
      </c>
      <c r="AH515" s="0" t="n">
        <f aca="false">AD515*AE515/(AE515^2+AF515^2)-AC515*AF515/(AE515^2+AF515^2)</f>
        <v>-669.575791531561</v>
      </c>
      <c r="AJ515" s="0" t="n">
        <f aca="false">_Rfb1</f>
        <v>20000</v>
      </c>
      <c r="AK515" s="0" t="n">
        <f aca="false">_Rfb1*Rcea2_u*Cc3ea_u*A515*2*Pi</f>
        <v>2230148.76383376</v>
      </c>
      <c r="AL515" s="0" t="n">
        <v>1</v>
      </c>
      <c r="AM515" s="0" t="n">
        <f aca="false">(_Rfb1+Rcea2_u)*Cc3ea_u*A515*2*Pi</f>
        <v>41718.7604947917</v>
      </c>
      <c r="AN515" s="0" t="n">
        <f aca="false">AJ515*AL515/(AL515^2+AM515^2)+AK515*AM515/(AL515^2+AM515^2)</f>
        <v>53.4567474081942</v>
      </c>
      <c r="AO515" s="0" t="n">
        <f aca="false">AK515*AL515/(AL515^2+AM515^2)-AJ515*AM515/(AL515^2+AM515^2)</f>
        <v>-0.478119268550225</v>
      </c>
      <c r="AQ515" s="0" t="n">
        <f aca="false">Eadcg/(1+(Eadcg*A515/GBP)^2)</f>
        <v>0.00502651456048219</v>
      </c>
      <c r="AR515" s="0" t="n">
        <f aca="false">-(A515*Eadcg*Eadcg/GBP)/(1+(Eadcg*A515/GBP)^2)</f>
        <v>-3.98670462592804</v>
      </c>
      <c r="AT515" s="0" t="n">
        <f aca="false">-AR515*AH515+AG515*AQ515</f>
        <v>-2668.6734071579</v>
      </c>
      <c r="AU515" s="0" t="n">
        <f aca="false">AQ515*AH515+AG515*AR515</f>
        <v>-580.370036610851</v>
      </c>
      <c r="AV515" s="0" t="n">
        <f aca="false">ATAN2(AT515,AU515)</f>
        <v>-2.92745194981536</v>
      </c>
      <c r="AW515" s="0" t="n">
        <f aca="false">AG515-AH515*AO515/_Rfb2+AG515*AN515/_Rfb2+AN515-AO515*AR515+AQ515*AN515</f>
        <v>199.889044582189</v>
      </c>
      <c r="AX515" s="0" t="n">
        <f aca="false">AH515+AH515*AN515/_Rfb2+AG515*AO515/_Rfb2+AO515+AO515*AQ515+AN515*AR515</f>
        <v>-899.310720691495</v>
      </c>
      <c r="AY515" s="0" t="n">
        <f aca="false">ATAN2(AW515,AX515)</f>
        <v>-1.35208264594476</v>
      </c>
      <c r="BA515" s="0" t="n">
        <f aca="false">SQRT(AT515^2+AU515^2)/SQRT(AW515^2+AX515^2)</f>
        <v>2.96448316742578</v>
      </c>
      <c r="BB515" s="0" t="n">
        <f aca="false">20*LOG(BA515)</f>
        <v>9.43897977457865</v>
      </c>
      <c r="BC515" s="0" t="n">
        <f aca="false">AV515-AY515</f>
        <v>-1.5753693038706</v>
      </c>
      <c r="BD515" s="0" t="n">
        <f aca="false">BC515*180/Pi-180</f>
        <v>-270.262012389387</v>
      </c>
      <c r="BF515" s="0" t="n">
        <f aca="false">20*LOG(BA515*J515*F515*C515)</f>
        <v>-33.1708710480959</v>
      </c>
      <c r="BG515" s="0" t="n">
        <f aca="false">(180/Pi)*(D515+H515+BC515)</f>
        <v>-268.688732278073</v>
      </c>
      <c r="BH515" s="0" t="n">
        <f aca="false">IF(BG515&gt;180,BG515-180,BG515+180)</f>
        <v>-88.688732278073</v>
      </c>
      <c r="BI515" s="0" t="n">
        <f aca="false">IF(BH515&gt;180,BH515-360,BH515)</f>
        <v>-88.688732278073</v>
      </c>
      <c r="BJ515" s="0" t="n">
        <f aca="false">SUM((BF516&lt;0)*(BF515&gt;0))*A515</f>
        <v>0</v>
      </c>
      <c r="BK515" s="0" t="n">
        <f aca="false">IF(BJ515&gt;0,BI515,0)</f>
        <v>0</v>
      </c>
      <c r="BM515" s="0" t="n">
        <f aca="false">20*LOG(J515*F515*C515)</f>
        <v>-42.6098508226745</v>
      </c>
      <c r="BN515" s="0" t="n">
        <f aca="false">(H515+D515)*180/Pi</f>
        <v>-178.426719888686</v>
      </c>
      <c r="BQ515" s="347" t="n">
        <f aca="false">20*LOG(BA515*7)</f>
        <v>26.3409405748638</v>
      </c>
    </row>
    <row r="516" customFormat="false" ht="12.75" hidden="false" customHeight="false" outlineLevel="0" collapsed="false">
      <c r="A516" s="0" t="n">
        <f aca="false">A515+5000</f>
        <v>1510000</v>
      </c>
      <c r="B516" s="0" t="n">
        <f aca="false">A516/1000</f>
        <v>1510</v>
      </c>
      <c r="C516" s="0" t="n">
        <f aca="false">SQRT((A516/Fesr)^2+1)</f>
        <v>1.0000450063571</v>
      </c>
      <c r="D516" s="0" t="n">
        <f aca="false">ATAN(A516/Fesr)</f>
        <v>0.00948732514346481</v>
      </c>
      <c r="F516" s="0" t="n">
        <f aca="false">(Ro/(Ro+Rdcr))/SQRT((A516/(Q*Fo))^2+(1-(A516^2/Fo^2))^2)</f>
        <v>0.000817264667434939</v>
      </c>
      <c r="G516" s="0" t="n">
        <f aca="false">-ATAN(A516*Fo/(Q*(Fo^2-A516^2)))</f>
        <v>0.0179433078018575</v>
      </c>
      <c r="H516" s="0" t="n">
        <f aca="false">IF(G516&gt;0,G516-Pi,G516)</f>
        <v>-3.12364934219814</v>
      </c>
      <c r="J516" s="0" t="n">
        <f aca="false">Vin/Vramp</f>
        <v>9</v>
      </c>
      <c r="M516" s="0" t="n">
        <f aca="false">1/(2*Pi*_Rfb1*(Cc1ea_u+Cc2ea_u)*A516)</f>
        <v>0.00390372684017062</v>
      </c>
      <c r="N516" s="0" t="n">
        <f aca="false">-Pi/2</f>
        <v>-1.570796325</v>
      </c>
      <c r="O516" s="0" t="n">
        <f aca="false">SQRT(1+(A516/Fz1_u)^2)</f>
        <v>36.9013790317102</v>
      </c>
      <c r="P516" s="0" t="n">
        <f aca="false">ATAN2(Fz1_u,A516)</f>
        <v>1.5436937506399</v>
      </c>
      <c r="Q516" s="0" t="n">
        <f aca="false">SQRT(1+(A516/Fz2_u)^2)</f>
        <v>41857.3610399423</v>
      </c>
      <c r="R516" s="0" t="n">
        <f aca="false">ATAN2(Fz2_u,A516)</f>
        <v>1.57077243613444</v>
      </c>
      <c r="S516" s="0" t="n">
        <f aca="false">1/SQRT(1+(A516/Fp1_u)^2)</f>
        <v>0.00893795916932284</v>
      </c>
      <c r="T516" s="0" t="n">
        <f aca="false">-ATAN2(Fp1_u,A516)</f>
        <v>-1.56185824861667</v>
      </c>
      <c r="U516" s="0" t="n">
        <f aca="false">1/SQRT(1+(A516/Fp2_u)^2)</f>
        <v>0.237029983762565</v>
      </c>
      <c r="V516" s="0" t="n">
        <f aca="false">-ATAN2(Fp2_u,A516)</f>
        <v>-1.33148875903887</v>
      </c>
      <c r="X516" s="0" t="n">
        <f aca="false">20*LOG(C516*J516*O516*Q516*F516*M516*S516*U516)</f>
        <v>-20.5407941416376</v>
      </c>
      <c r="Y516" s="0" t="n">
        <f aca="false">(180/Pi)*(D516+H516+N516+P516+R516+T516+V516)</f>
        <v>-255.759144753683</v>
      </c>
      <c r="Z516" s="0" t="n">
        <f aca="false">Y516+180</f>
        <v>-75.7591447536831</v>
      </c>
      <c r="AC516" s="0" t="n">
        <v>1</v>
      </c>
      <c r="AD516" s="0" t="n">
        <f aca="false">Rcea1_u*Cc1ea_u*A516*2*Pi</f>
        <v>36.887826914064</v>
      </c>
      <c r="AE516" s="0" t="n">
        <f aca="false">-Rcea1_u*Cc1ea_u*Cc2ea_u*(A516*2*Pi)^2</f>
        <v>-0.0524965962361861</v>
      </c>
      <c r="AF516" s="0" t="n">
        <f aca="false">(Cc2ea_u+Cc1ea_u)*A516*2*Pi</f>
        <v>0.01280827323405</v>
      </c>
      <c r="AG516" s="0" t="n">
        <f aca="false">AC516*AE516/(AE516^2+AF516^2)+AD516*AF516/(AE516^2+AF516^2)</f>
        <v>143.829025798353</v>
      </c>
      <c r="AH516" s="0" t="n">
        <f aca="false">AD516*AE516/(AE516^2+AF516^2)-AC516*AF516/(AE516^2+AF516^2)</f>
        <v>-667.579004455423</v>
      </c>
      <c r="AJ516" s="0" t="n">
        <f aca="false">_Rfb1</f>
        <v>20000</v>
      </c>
      <c r="AK516" s="0" t="n">
        <f aca="false">_Rfb1*Rcea2_u*Cc3ea_u*A516*2*Pi</f>
        <v>2237557.89593952</v>
      </c>
      <c r="AL516" s="0" t="n">
        <v>1</v>
      </c>
      <c r="AM516" s="0" t="n">
        <f aca="false">(_Rfb1+Rcea2_u)*Cc3ea_u*A516*2*Pi</f>
        <v>41857.361027997</v>
      </c>
      <c r="AN516" s="0" t="n">
        <f aca="false">AJ516*AL516/(AL516^2+AM516^2)+AK516*AM516/(AL516^2+AM516^2)</f>
        <v>53.4567473324223</v>
      </c>
      <c r="AO516" s="0" t="n">
        <f aca="false">AK516*AL516/(AL516^2+AM516^2)-AJ516*AM516/(AL516^2+AM516^2)</f>
        <v>-0.476536092166107</v>
      </c>
      <c r="AQ516" s="0" t="n">
        <f aca="false">Eadcg/(1+(Eadcg*A516/GBP)^2)</f>
        <v>0.00499328154993905</v>
      </c>
      <c r="AR516" s="0" t="n">
        <f aca="false">-(A516*Eadcg*Eadcg/GBP)/(1+(Eadcg*A516/GBP)^2)</f>
        <v>-3.973503658995</v>
      </c>
      <c r="AT516" s="0" t="n">
        <f aca="false">-AR516*AH516+AG516*AQ516</f>
        <v>-2651.909438051</v>
      </c>
      <c r="AU516" s="0" t="n">
        <f aca="false">AQ516*AH516+AG516*AR516</f>
        <v>-574.838570205516</v>
      </c>
      <c r="AV516" s="0" t="n">
        <f aca="false">ATAN2(AT516,AU516)</f>
        <v>-2.92813101814241</v>
      </c>
      <c r="AW516" s="0" t="n">
        <f aca="false">AG516-AH516*AO516/_Rfb2+AG516*AN516/_Rfb2+AN516-AO516*AR516+AQ516*AN516</f>
        <v>198.975907695614</v>
      </c>
      <c r="AX516" s="0" t="n">
        <f aca="false">AH516+AH516*AN516/_Rfb2+AG516*AO516/_Rfb2+AO516+AO516*AQ516+AN516*AR516</f>
        <v>-896.558314999191</v>
      </c>
      <c r="AY516" s="0" t="n">
        <f aca="false">ATAN2(AW516,AX516)</f>
        <v>-1.35240297642277</v>
      </c>
      <c r="BA516" s="0" t="n">
        <f aca="false">SQRT(AT516^2+AU516^2)/SQRT(AW516^2+AX516^2)</f>
        <v>2.9546792614745</v>
      </c>
      <c r="BB516" s="0" t="n">
        <f aca="false">20*LOG(BA516)</f>
        <v>9.41020687841039</v>
      </c>
      <c r="BC516" s="0" t="n">
        <f aca="false">AV516-AY516</f>
        <v>-1.57572804171964</v>
      </c>
      <c r="BD516" s="0" t="n">
        <f aca="false">BC516*180/Pi-180</f>
        <v>-270.282566554112</v>
      </c>
      <c r="BF516" s="0" t="n">
        <f aca="false">20*LOG(BA516*J516*F516*C516)</f>
        <v>-33.25729754939</v>
      </c>
      <c r="BG516" s="0" t="n">
        <f aca="false">(180/Pi)*(D516+H516+BC516)</f>
        <v>-268.710907055177</v>
      </c>
      <c r="BH516" s="0" t="n">
        <f aca="false">IF(BG516&gt;180,BG516-180,BG516+180)</f>
        <v>-88.710907055177</v>
      </c>
      <c r="BI516" s="0" t="n">
        <f aca="false">IF(BH516&gt;180,BH516-360,BH516)</f>
        <v>-88.710907055177</v>
      </c>
      <c r="BJ516" s="0" t="n">
        <f aca="false">SUM((BF517&lt;0)*(BF516&gt;0))*A516</f>
        <v>0</v>
      </c>
      <c r="BK516" s="0" t="n">
        <f aca="false">IF(BJ516&gt;0,BI516,0)</f>
        <v>0</v>
      </c>
      <c r="BM516" s="0" t="n">
        <f aca="false">20*LOG(J516*F516*C516)</f>
        <v>-42.6675044278004</v>
      </c>
      <c r="BN516" s="0" t="n">
        <f aca="false">(H516+D516)*180/Pi</f>
        <v>-178.428340501065</v>
      </c>
      <c r="BQ516" s="347" t="n">
        <f aca="false">20*LOG(BA516*7)</f>
        <v>26.3121676786955</v>
      </c>
    </row>
    <row r="517" customFormat="false" ht="12.75" hidden="false" customHeight="false" outlineLevel="0" collapsed="false">
      <c r="A517" s="0" t="n">
        <f aca="false">A516+5000</f>
        <v>1515000</v>
      </c>
      <c r="B517" s="0" t="n">
        <f aca="false">A517/1000</f>
        <v>1515</v>
      </c>
      <c r="C517" s="0" t="n">
        <f aca="false">SQRT((A517/Fesr)^2+1)</f>
        <v>1.00004530489915</v>
      </c>
      <c r="D517" s="0" t="n">
        <f aca="false">ATAN(A517/Fesr)</f>
        <v>0.00951873823295035</v>
      </c>
      <c r="F517" s="0" t="n">
        <f aca="false">(Ro/(Ro+Rdcr))/SQRT((A517/(Q*Fo))^2+(1-(A517^2/Fo^2))^2)</f>
        <v>0.000811875538896243</v>
      </c>
      <c r="G517" s="0" t="n">
        <f aca="false">-ATAN(A517*Fo/(Q*(Fo^2-A517^2)))</f>
        <v>0.0178840045621281</v>
      </c>
      <c r="H517" s="0" t="n">
        <f aca="false">IF(G517&gt;0,G517-Pi,G517)</f>
        <v>-3.12370864543787</v>
      </c>
      <c r="J517" s="0" t="n">
        <f aca="false">Vin/Vramp</f>
        <v>9</v>
      </c>
      <c r="M517" s="0" t="n">
        <f aca="false">1/(2*Pi*_Rfb1*(Cc1ea_u+Cc2ea_u)*A517)</f>
        <v>0.00389084325323937</v>
      </c>
      <c r="N517" s="0" t="n">
        <f aca="false">-Pi/2</f>
        <v>-1.570796325</v>
      </c>
      <c r="O517" s="0" t="n">
        <f aca="false">SQRT(1+(A517/Fz1_u)^2)</f>
        <v>37.0234794438261</v>
      </c>
      <c r="P517" s="0" t="n">
        <f aca="false">ATAN2(Fz1_u,A517)</f>
        <v>1.54378315450644</v>
      </c>
      <c r="Q517" s="0" t="n">
        <f aca="false">SQRT(1+(A517/Fz2_u)^2)</f>
        <v>41995.9615731082</v>
      </c>
      <c r="R517" s="0" t="n">
        <f aca="false">ATAN2(Fz2_u,A517)</f>
        <v>1.57077251498151</v>
      </c>
      <c r="S517" s="0" t="n">
        <f aca="false">1/SQRT(1+(A517/Fp1_u)^2)</f>
        <v>0.00890846329911762</v>
      </c>
      <c r="T517" s="0" t="n">
        <f aca="false">-ATAN2(Fp1_u,A517)</f>
        <v>-1.56188774566123</v>
      </c>
      <c r="U517" s="0" t="n">
        <f aca="false">1/SQRT(1+(A517/Fp2_u)^2)</f>
        <v>0.236291452242089</v>
      </c>
      <c r="V517" s="0" t="n">
        <f aca="false">-ATAN2(Fp2_u,A517)</f>
        <v>-1.33224888393849</v>
      </c>
      <c r="X517" s="0" t="n">
        <f aca="false">20*LOG(C517*J517*O517*Q517*F517*M517*S517*U517)</f>
        <v>-20.6253811234592</v>
      </c>
      <c r="Y517" s="0" t="n">
        <f aca="false">(180/Pi)*(D517+H517+N517+P517+R517+T517+V517)</f>
        <v>-255.800857764613</v>
      </c>
      <c r="Z517" s="0" t="n">
        <f aca="false">Y517+180</f>
        <v>-75.8008577646133</v>
      </c>
      <c r="AC517" s="0" t="n">
        <v>1</v>
      </c>
      <c r="AD517" s="0" t="n">
        <f aca="false">Rcea1_u*Cc1ea_u*A517*2*Pi</f>
        <v>37.009972036296</v>
      </c>
      <c r="AE517" s="0" t="n">
        <f aca="false">-Rcea1_u*Cc1ea_u*Cc2ea_u*(A517*2*Pi)^2</f>
        <v>-0.0528448314092366</v>
      </c>
      <c r="AF517" s="0" t="n">
        <f aca="false">(Cc2ea_u+Cc1ea_u)*A517*2*Pi</f>
        <v>0.012850684734825</v>
      </c>
      <c r="AG517" s="0" t="n">
        <f aca="false">AC517*AE517/(AE517^2+AF517^2)+AD517*AF517/(AE517^2+AF517^2)</f>
        <v>142.934145030849</v>
      </c>
      <c r="AH517" s="0" t="n">
        <f aca="false">AD517*AE517/(AE517^2+AF517^2)-AC517*AF517/(AE517^2+AF517^2)</f>
        <v>-665.59338846741</v>
      </c>
      <c r="AJ517" s="0" t="n">
        <f aca="false">_Rfb1</f>
        <v>20000</v>
      </c>
      <c r="AK517" s="0" t="n">
        <f aca="false">_Rfb1*Rcea2_u*Cc3ea_u*A517*2*Pi</f>
        <v>2244967.02804528</v>
      </c>
      <c r="AL517" s="0" t="n">
        <v>1</v>
      </c>
      <c r="AM517" s="0" t="n">
        <f aca="false">(_Rfb1+Rcea2_u)*Cc3ea_u*A517*2*Pi</f>
        <v>41995.9615612023</v>
      </c>
      <c r="AN517" s="0" t="n">
        <f aca="false">AJ517*AL517/(AL517^2+AM517^2)+AK517*AM517/(AL517^2+AM517^2)</f>
        <v>53.4567472573993</v>
      </c>
      <c r="AO517" s="0" t="n">
        <f aca="false">AK517*AL517/(AL517^2+AM517^2)-AJ517*AM517/(AL517^2+AM517^2)</f>
        <v>-0.474963365791107</v>
      </c>
      <c r="AQ517" s="0" t="n">
        <f aca="false">Eadcg/(1+(Eadcg*A517/GBP)^2)</f>
        <v>0.00496037703514605</v>
      </c>
      <c r="AR517" s="0" t="n">
        <f aca="false">-(A517*Eadcg*Eadcg/GBP)/(1+(Eadcg*A517/GBP)^2)</f>
        <v>-3.96038982674578</v>
      </c>
      <c r="AT517" s="0" t="n">
        <f aca="false">-AR517*AH517+AG517*AQ517</f>
        <v>-2635.30027718503</v>
      </c>
      <c r="AU517" s="0" t="n">
        <f aca="false">AQ517*AH517+AG517*AR517</f>
        <v>-569.37652803368</v>
      </c>
      <c r="AV517" s="0" t="n">
        <f aca="false">ATAN2(AT517,AU517)</f>
        <v>-2.92880588651057</v>
      </c>
      <c r="AW517" s="0" t="n">
        <f aca="false">AG517-AH517*AO517/_Rfb2+AG517*AN517/_Rfb2+AN517-AO517*AR517+AQ517*AN517</f>
        <v>198.071115722961</v>
      </c>
      <c r="AX517" s="0" t="n">
        <f aca="false">AH517+AH517*AN517/_Rfb2+AG517*AO517/_Rfb2+AO517+AO517*AQ517+AN517*AR517</f>
        <v>-893.822021551447</v>
      </c>
      <c r="AY517" s="0" t="n">
        <f aca="false">ATAN2(AW517,AX517)</f>
        <v>-1.35272023407464</v>
      </c>
      <c r="BA517" s="0" t="n">
        <f aca="false">SQRT(AT517^2+AU517^2)/SQRT(AW517^2+AX517^2)</f>
        <v>2.94493953619848</v>
      </c>
      <c r="BB517" s="0" t="n">
        <f aca="false">20*LOG(BA517)</f>
        <v>9.38152765061234</v>
      </c>
      <c r="BC517" s="0" t="n">
        <f aca="false">AV517-AY517</f>
        <v>-1.57608565243593</v>
      </c>
      <c r="BD517" s="0" t="n">
        <f aca="false">BC517*180/Pi-180</f>
        <v>-270.303056138888</v>
      </c>
      <c r="BF517" s="0" t="n">
        <f aca="false">20*LOG(BA517*J517*F517*C517)</f>
        <v>-33.3434395224094</v>
      </c>
      <c r="BG517" s="0" t="n">
        <f aca="false">(180/Pi)*(D517+H517+BC517)</f>
        <v>-268.732994627853</v>
      </c>
      <c r="BH517" s="0" t="n">
        <f aca="false">IF(BG517&gt;180,BG517-180,BG517+180)</f>
        <v>-88.7329946278532</v>
      </c>
      <c r="BI517" s="0" t="n">
        <f aca="false">IF(BH517&gt;180,BH517-360,BH517)</f>
        <v>-88.7329946278532</v>
      </c>
      <c r="BJ517" s="0" t="n">
        <f aca="false">SUM((BF518&lt;0)*(BF517&gt;0))*A517</f>
        <v>0</v>
      </c>
      <c r="BK517" s="0" t="n">
        <f aca="false">IF(BJ517&gt;0,BI517,0)</f>
        <v>0</v>
      </c>
      <c r="BM517" s="0" t="n">
        <f aca="false">20*LOG(J517*F517*C517)</f>
        <v>-42.7249671730217</v>
      </c>
      <c r="BN517" s="0" t="n">
        <f aca="false">(H517+D517)*180/Pi</f>
        <v>-178.429938488965</v>
      </c>
      <c r="BQ517" s="347" t="n">
        <f aca="false">20*LOG(BA517*7)</f>
        <v>26.2834884508975</v>
      </c>
    </row>
    <row r="518" customFormat="false" ht="12.75" hidden="false" customHeight="false" outlineLevel="0" collapsed="false">
      <c r="A518" s="0" t="n">
        <f aca="false">A517+5000</f>
        <v>1520000</v>
      </c>
      <c r="B518" s="0" t="n">
        <f aca="false">A518/1000</f>
        <v>1520</v>
      </c>
      <c r="C518" s="0" t="n">
        <f aca="false">SQRT((A518/Fesr)^2+1)</f>
        <v>1.00004560442803</v>
      </c>
      <c r="D518" s="0" t="n">
        <f aca="false">ATAN(A518/Fesr)</f>
        <v>0.00955015130364949</v>
      </c>
      <c r="F518" s="0" t="n">
        <f aca="false">(Ro/(Ro+Rdcr))/SQRT((A518/(Q*Fo))^2+(1-(A518^2/Fo^2))^2)</f>
        <v>0.000806539551376762</v>
      </c>
      <c r="G518" s="0" t="n">
        <f aca="false">-ATAN(A518*Fo/(Q*(Fo^2-A518^2)))</f>
        <v>0.0178250923047627</v>
      </c>
      <c r="H518" s="0" t="n">
        <f aca="false">IF(G518&gt;0,G518-Pi,G518)</f>
        <v>-3.12376755769524</v>
      </c>
      <c r="J518" s="0" t="n">
        <f aca="false">Vin/Vramp</f>
        <v>9</v>
      </c>
      <c r="M518" s="0" t="n">
        <f aca="false">1/(2*Pi*_Rfb1*(Cc1ea_u+Cc2ea_u)*A518)</f>
        <v>0.00387804442674845</v>
      </c>
      <c r="N518" s="0" t="n">
        <f aca="false">-Pi/2</f>
        <v>-1.570796325</v>
      </c>
      <c r="O518" s="0" t="n">
        <f aca="false">SQRT(1+(A518/Fz1_u)^2)</f>
        <v>37.145580149927</v>
      </c>
      <c r="P518" s="0" t="n">
        <f aca="false">ATAN2(Fz1_u,A518)</f>
        <v>1.54387197061735</v>
      </c>
      <c r="Q518" s="0" t="n">
        <f aca="false">SQRT(1+(A518/Fz2_u)^2)</f>
        <v>42134.5621062743</v>
      </c>
      <c r="R518" s="0" t="n">
        <f aca="false">ATAN2(Fz2_u,A518)</f>
        <v>1.57077259330984</v>
      </c>
      <c r="S518" s="0" t="n">
        <f aca="false">1/SQRT(1+(A518/Fp1_u)^2)</f>
        <v>0.00887916145766575</v>
      </c>
      <c r="T518" s="0" t="n">
        <f aca="false">-ATAN2(Fp1_u,A518)</f>
        <v>-1.56191704866164</v>
      </c>
      <c r="U518" s="0" t="n">
        <f aca="false">1/SQRT(1+(A518/Fp2_u)^2)</f>
        <v>0.235557373782267</v>
      </c>
      <c r="V518" s="0" t="n">
        <f aca="false">-ATAN2(Fp2_u,A518)</f>
        <v>-1.33300428636499</v>
      </c>
      <c r="X518" s="0" t="n">
        <f aca="false">20*LOG(C518*J518*O518*Q518*F518*M518*S518*U518)</f>
        <v>-20.7096989696756</v>
      </c>
      <c r="Y518" s="0" t="n">
        <f aca="false">(180/Pi)*(D518+H518+N518+P518+R518+T518+V518)</f>
        <v>-255.842300384929</v>
      </c>
      <c r="Z518" s="0" t="n">
        <f aca="false">Y518+180</f>
        <v>-75.842300384929</v>
      </c>
      <c r="AC518" s="0" t="n">
        <v>1</v>
      </c>
      <c r="AD518" s="0" t="n">
        <f aca="false">Rcea1_u*Cc1ea_u*A518*2*Pi</f>
        <v>37.132117158528</v>
      </c>
      <c r="AE518" s="0" t="n">
        <f aca="false">-Rcea1_u*Cc1ea_u*Cc2ea_u*(A518*2*Pi)^2</f>
        <v>-0.0531942177729417</v>
      </c>
      <c r="AF518" s="0" t="n">
        <f aca="false">(Cc2ea_u+Cc1ea_u)*A518*2*Pi</f>
        <v>0.0128930962356</v>
      </c>
      <c r="AG518" s="0" t="n">
        <f aca="false">AC518*AE518/(AE518^2+AF518^2)+AD518*AF518/(AE518^2+AF518^2)</f>
        <v>142.047427438588</v>
      </c>
      <c r="AH518" s="0" t="n">
        <f aca="false">AD518*AE518/(AE518^2+AF518^2)-AC518*AF518/(AE518^2+AF518^2)</f>
        <v>-663.61885717021</v>
      </c>
      <c r="AJ518" s="0" t="n">
        <f aca="false">_Rfb1</f>
        <v>20000</v>
      </c>
      <c r="AK518" s="0" t="n">
        <f aca="false">_Rfb1*Rcea2_u*Cc3ea_u*A518*2*Pi</f>
        <v>2252376.16015104</v>
      </c>
      <c r="AL518" s="0" t="n">
        <v>1</v>
      </c>
      <c r="AM518" s="0" t="n">
        <f aca="false">(_Rfb1+Rcea2_u)*Cc3ea_u*A518*2*Pi</f>
        <v>42134.5620944076</v>
      </c>
      <c r="AN518" s="0" t="n">
        <f aca="false">AJ518*AL518/(AL518^2+AM518^2)+AK518*AM518/(AL518^2+AM518^2)</f>
        <v>53.4567471831155</v>
      </c>
      <c r="AO518" s="0" t="n">
        <f aca="false">AK518*AL518/(AL518^2+AM518^2)-AJ518*AM518/(AL518^2+AM518^2)</f>
        <v>-0.473400986300137</v>
      </c>
      <c r="AQ518" s="0" t="n">
        <f aca="false">Eadcg/(1+(Eadcg*A518/GBP)^2)</f>
        <v>0.00492779670091884</v>
      </c>
      <c r="AR518" s="0" t="n">
        <f aca="false">-(A518*Eadcg*Eadcg/GBP)/(1+(Eadcg*A518/GBP)^2)</f>
        <v>-3.94736226930403</v>
      </c>
      <c r="AT518" s="0" t="n">
        <f aca="false">-AR518*AH518+AG518*AQ518</f>
        <v>-2618.84405714804</v>
      </c>
      <c r="AU518" s="0" t="n">
        <f aca="false">AQ518*AH518+AG518*AR518</f>
        <v>-563.982834337816</v>
      </c>
      <c r="AV518" s="0" t="n">
        <f aca="false">ATAN2(AT518,AU518)</f>
        <v>-2.92947659287619</v>
      </c>
      <c r="AW518" s="0" t="n">
        <f aca="false">AG518-AH518*AO518/_Rfb2+AG518*AN518/_Rfb2+AN518-AO518*AR518+AQ518*AN518</f>
        <v>197.17456943033</v>
      </c>
      <c r="AX518" s="0" t="n">
        <f aca="false">AH518+AH518*AN518/_Rfb2+AG518*AO518/_Rfb2+AO518+AO518*AQ518+AN518*AR518</f>
        <v>-891.101705740359</v>
      </c>
      <c r="AY518" s="0" t="n">
        <f aca="false">ATAN2(AW518,AX518)</f>
        <v>-1.35303444588464</v>
      </c>
      <c r="BA518" s="0" t="n">
        <f aca="false">SQRT(AT518^2+AU518^2)/SQRT(AW518^2+AX518^2)</f>
        <v>2.93526336381966</v>
      </c>
      <c r="BB518" s="0" t="n">
        <f aca="false">20*LOG(BA518)</f>
        <v>9.35294148013776</v>
      </c>
      <c r="BC518" s="0" t="n">
        <f aca="false">AV518-AY518</f>
        <v>-1.57644214699155</v>
      </c>
      <c r="BD518" s="0" t="n">
        <f aca="false">BC518*180/Pi-180</f>
        <v>-270.323481772367</v>
      </c>
      <c r="BF518" s="0" t="n">
        <f aca="false">20*LOG(BA518*J518*F518*C518)</f>
        <v>-33.4292988383534</v>
      </c>
      <c r="BG518" s="0" t="n">
        <f aca="false">(180/Pi)*(D518+H518+BC518)</f>
        <v>-268.754995848671</v>
      </c>
      <c r="BH518" s="0" t="n">
        <f aca="false">IF(BG518&gt;180,BG518-180,BG518+180)</f>
        <v>-88.7549958486707</v>
      </c>
      <c r="BI518" s="0" t="n">
        <f aca="false">IF(BH518&gt;180,BH518-360,BH518)</f>
        <v>-88.7549958486707</v>
      </c>
      <c r="BJ518" s="0" t="n">
        <f aca="false">SUM((BF519&lt;0)*(BF518&gt;0))*A518</f>
        <v>0</v>
      </c>
      <c r="BK518" s="0" t="n">
        <f aca="false">IF(BJ518&gt;0,BI518,0)</f>
        <v>0</v>
      </c>
      <c r="BM518" s="0" t="n">
        <f aca="false">20*LOG(J518*F518*C518)</f>
        <v>-42.7822403184912</v>
      </c>
      <c r="BN518" s="0" t="n">
        <f aca="false">(H518+D518)*180/Pi</f>
        <v>-178.431514076303</v>
      </c>
      <c r="BQ518" s="347" t="n">
        <f aca="false">20*LOG(BA518*7)</f>
        <v>26.2549022804229</v>
      </c>
    </row>
    <row r="519" customFormat="false" ht="12.75" hidden="false" customHeight="false" outlineLevel="0" collapsed="false">
      <c r="A519" s="0" t="n">
        <f aca="false">A518+5000</f>
        <v>1525000</v>
      </c>
      <c r="B519" s="0" t="n">
        <f aca="false">A519/1000</f>
        <v>1525</v>
      </c>
      <c r="C519" s="0" t="n">
        <f aca="false">SQRT((A519/Fesr)^2+1)</f>
        <v>1.00004590494373</v>
      </c>
      <c r="D519" s="0" t="n">
        <f aca="false">ATAN(A519/Fesr)</f>
        <v>0.00958156435550026</v>
      </c>
      <c r="F519" s="0" t="n">
        <f aca="false">(Ro/(Ro+Rdcr))/SQRT((A519/(Q*Fo))^2+(1-(A519^2/Fo^2))^2)</f>
        <v>0.000801256008333592</v>
      </c>
      <c r="G519" s="0" t="n">
        <f aca="false">-ATAN(A519*Fo/(Q*(Fo^2-A519^2)))</f>
        <v>0.0177665671731973</v>
      </c>
      <c r="H519" s="0" t="n">
        <f aca="false">IF(G519&gt;0,G519-Pi,G519)</f>
        <v>-3.1238260828268</v>
      </c>
      <c r="J519" s="0" t="n">
        <f aca="false">Vin/Vramp</f>
        <v>9</v>
      </c>
      <c r="M519" s="0" t="n">
        <f aca="false">1/(2*Pi*_Rfb1*(Cc1ea_u+Cc2ea_u)*A519)</f>
        <v>0.00386532952698862</v>
      </c>
      <c r="N519" s="0" t="n">
        <f aca="false">-Pi/2</f>
        <v>-1.570796325</v>
      </c>
      <c r="O519" s="0" t="n">
        <f aca="false">SQRT(1+(A519/Fz1_u)^2)</f>
        <v>37.2676811471234</v>
      </c>
      <c r="P519" s="0" t="n">
        <f aca="false">ATAN2(Fz1_u,A519)</f>
        <v>1.54396020474824</v>
      </c>
      <c r="Q519" s="0" t="n">
        <f aca="false">SQRT(1+(A519/Fz2_u)^2)</f>
        <v>42273.1626394407</v>
      </c>
      <c r="R519" s="0" t="n">
        <f aca="false">ATAN2(Fz2_u,A519)</f>
        <v>1.57077267112455</v>
      </c>
      <c r="S519" s="0" t="n">
        <f aca="false">1/SQRT(1+(A519/Fp1_u)^2)</f>
        <v>0.00885005173678813</v>
      </c>
      <c r="T519" s="0" t="n">
        <f aca="false">-ATAN2(Fp1_u,A519)</f>
        <v>-1.56194615952632</v>
      </c>
      <c r="U519" s="0" t="n">
        <f aca="false">1/SQRT(1+(A519/Fp2_u)^2)</f>
        <v>0.234827709510878</v>
      </c>
      <c r="V519" s="0" t="n">
        <f aca="false">-ATAN2(Fp2_u,A519)</f>
        <v>-1.33375500933733</v>
      </c>
      <c r="X519" s="0" t="n">
        <f aca="false">20*LOG(C519*J519*O519*Q519*F519*M519*S519*U519)</f>
        <v>-20.7937493611797</v>
      </c>
      <c r="Y519" s="0" t="n">
        <f aca="false">(180/Pi)*(D519+H519+N519+P519+R519+T519+V519)</f>
        <v>-255.883475078538</v>
      </c>
      <c r="Z519" s="0" t="n">
        <f aca="false">Y519+180</f>
        <v>-75.8834750785375</v>
      </c>
      <c r="AC519" s="0" t="n">
        <v>1</v>
      </c>
      <c r="AD519" s="0" t="n">
        <f aca="false">Rcea1_u*Cc1ea_u*A519*2*Pi</f>
        <v>37.25426228076</v>
      </c>
      <c r="AE519" s="0" t="n">
        <f aca="false">-Rcea1_u*Cc1ea_u*Cc2ea_u*(A519*2*Pi)^2</f>
        <v>-0.0535447553273016</v>
      </c>
      <c r="AF519" s="0" t="n">
        <f aca="false">(Cc2ea_u+Cc1ea_u)*A519*2*Pi</f>
        <v>0.012935507736375</v>
      </c>
      <c r="AG519" s="0" t="n">
        <f aca="false">AC519*AE519/(AE519^2+AF519^2)+AD519*AF519/(AE519^2+AF519^2)</f>
        <v>141.168776074561</v>
      </c>
      <c r="AH519" s="0" t="n">
        <f aca="false">AD519*AE519/(AE519^2+AF519^2)-AC519*AF519/(AE519^2+AF519^2)</f>
        <v>-661.655324954836</v>
      </c>
      <c r="AJ519" s="0" t="n">
        <f aca="false">_Rfb1</f>
        <v>20000</v>
      </c>
      <c r="AK519" s="0" t="n">
        <f aca="false">_Rfb1*Rcea2_u*Cc3ea_u*A519*2*Pi</f>
        <v>2259785.2922568</v>
      </c>
      <c r="AL519" s="0" t="n">
        <v>1</v>
      </c>
      <c r="AM519" s="0" t="n">
        <f aca="false">(_Rfb1+Rcea2_u)*Cc3ea_u*A519*2*Pi</f>
        <v>42273.1626276128</v>
      </c>
      <c r="AN519" s="0" t="n">
        <f aca="false">AJ519*AL519/(AL519^2+AM519^2)+AK519*AM519/(AL519^2+AM519^2)</f>
        <v>53.4567471095612</v>
      </c>
      <c r="AO519" s="0" t="n">
        <f aca="false">AK519*AL519/(AL519^2+AM519^2)-AJ519*AM519/(AL519^2+AM519^2)</f>
        <v>-0.471848851920565</v>
      </c>
      <c r="AQ519" s="0" t="n">
        <f aca="false">Eadcg/(1+(Eadcg*A519/GBP)^2)</f>
        <v>0.00489553630269744</v>
      </c>
      <c r="AR519" s="0" t="n">
        <f aca="false">-(A519*Eadcg*Eadcg/GBP)/(1+(Eadcg*A519/GBP)^2)</f>
        <v>-3.93442013807036</v>
      </c>
      <c r="AT519" s="0" t="n">
        <f aca="false">-AR519*AH519+AG519*AQ519</f>
        <v>-2602.53893809572</v>
      </c>
      <c r="AU519" s="0" t="n">
        <f aca="false">AQ519*AH519+AG519*AR519</f>
        <v>-558.656433117688</v>
      </c>
      <c r="AV519" s="0" t="n">
        <f aca="false">ATAN2(AT519,AU519)</f>
        <v>-2.93014317475099</v>
      </c>
      <c r="AW519" s="0" t="n">
        <f aca="false">AG519-AH519*AO519/_Rfb2+AG519*AN519/_Rfb2+AN519-AO519*AR519+AQ519*AN519</f>
        <v>196.286171020721</v>
      </c>
      <c r="AX519" s="0" t="n">
        <f aca="false">AH519+AH519*AN519/_Rfb2+AG519*AO519/_Rfb2+AO519+AO519*AQ519+AN519*AR519</f>
        <v>-888.397234370658</v>
      </c>
      <c r="AY519" s="0" t="n">
        <f aca="false">ATAN2(AW519,AX519)</f>
        <v>-1.35334563853488</v>
      </c>
      <c r="BA519" s="0" t="n">
        <f aca="false">SQRT(AT519^2+AU519^2)/SQRT(AW519^2+AX519^2)</f>
        <v>2.92565012470298</v>
      </c>
      <c r="BB519" s="0" t="n">
        <f aca="false">20*LOG(BA519)</f>
        <v>9.32444776185425</v>
      </c>
      <c r="BC519" s="0" t="n">
        <f aca="false">AV519-AY519</f>
        <v>-1.57679753621611</v>
      </c>
      <c r="BD519" s="0" t="n">
        <f aca="false">BC519*180/Pi-180</f>
        <v>-270.343844075043</v>
      </c>
      <c r="BF519" s="0" t="n">
        <f aca="false">20*LOG(BA519*J519*F519*C519)</f>
        <v>-33.5148773500593</v>
      </c>
      <c r="BG519" s="0" t="n">
        <f aca="false">(180/Pi)*(D519+H519+BC519)</f>
        <v>-268.776911559089</v>
      </c>
      <c r="BH519" s="0" t="n">
        <f aca="false">IF(BG519&gt;180,BG519-180,BG519+180)</f>
        <v>-88.776911559089</v>
      </c>
      <c r="BI519" s="0" t="n">
        <f aca="false">IF(BH519&gt;180,BH519-360,BH519)</f>
        <v>-88.776911559089</v>
      </c>
      <c r="BJ519" s="0" t="n">
        <f aca="false">SUM((BF520&lt;0)*(BF519&gt;0))*A519</f>
        <v>0</v>
      </c>
      <c r="BK519" s="0" t="n">
        <f aca="false">IF(BJ519&gt;0,BI519,0)</f>
        <v>0</v>
      </c>
      <c r="BM519" s="0" t="n">
        <f aca="false">20*LOG(J519*F519*C519)</f>
        <v>-42.8393251119136</v>
      </c>
      <c r="BN519" s="0" t="n">
        <f aca="false">(H519+D519)*180/Pi</f>
        <v>-178.433067484046</v>
      </c>
      <c r="BQ519" s="347" t="n">
        <f aca="false">20*LOG(BA519*7)</f>
        <v>26.2264085621394</v>
      </c>
    </row>
    <row r="520" customFormat="false" ht="12.75" hidden="false" customHeight="false" outlineLevel="0" collapsed="false">
      <c r="A520" s="0" t="n">
        <f aca="false">A519+5000</f>
        <v>1530000</v>
      </c>
      <c r="B520" s="0" t="n">
        <f aca="false">A520/1000</f>
        <v>1530</v>
      </c>
      <c r="C520" s="0" t="n">
        <f aca="false">SQRT((A520/Fesr)^2+1)</f>
        <v>1.00004620644626</v>
      </c>
      <c r="D520" s="0" t="n">
        <f aca="false">ATAN(A520/Fesr)</f>
        <v>0.00961297738844067</v>
      </c>
      <c r="F520" s="0" t="n">
        <f aca="false">(Ro/(Ro+Rdcr))/SQRT((A520/(Q*Fo))^2+(1-(A520^2/Fo^2))^2)</f>
        <v>0.000796024224601347</v>
      </c>
      <c r="G520" s="0" t="n">
        <f aca="false">-ATAN(A520*Fo/(Q*(Fo^2-A520^2)))</f>
        <v>0.0177084253614573</v>
      </c>
      <c r="H520" s="0" t="n">
        <f aca="false">IF(G520&gt;0,G520-Pi,G520)</f>
        <v>-3.12388422463854</v>
      </c>
      <c r="J520" s="0" t="n">
        <f aca="false">Vin/Vramp</f>
        <v>9</v>
      </c>
      <c r="M520" s="0" t="n">
        <f aca="false">1/(2*Pi*_Rfb1*(Cc1ea_u+Cc2ea_u)*A520)</f>
        <v>0.00385269773114879</v>
      </c>
      <c r="N520" s="0" t="n">
        <f aca="false">-Pi/2</f>
        <v>-1.570796325</v>
      </c>
      <c r="O520" s="0" t="n">
        <f aca="false">SQRT(1+(A520/Fz1_u)^2)</f>
        <v>37.3897824325635</v>
      </c>
      <c r="P520" s="0" t="n">
        <f aca="false">ATAN2(Fz1_u,A520)</f>
        <v>1.54404786259933</v>
      </c>
      <c r="Q520" s="0" t="n">
        <f aca="false">SQRT(1+(A520/Fz2_u)^2)</f>
        <v>42411.7631726073</v>
      </c>
      <c r="R520" s="0" t="n">
        <f aca="false">ATAN2(Fz2_u,A520)</f>
        <v>1.57077274843066</v>
      </c>
      <c r="S520" s="0" t="n">
        <f aca="false">1/SQRT(1+(A520/Fp1_u)^2)</f>
        <v>0.00882113225324429</v>
      </c>
      <c r="T520" s="0" t="n">
        <f aca="false">-ATAN2(Fp1_u,A520)</f>
        <v>-1.56197508013877</v>
      </c>
      <c r="U520" s="0" t="n">
        <f aca="false">1/SQRT(1+(A520/Fp2_u)^2)</f>
        <v>0.234102420990355</v>
      </c>
      <c r="V520" s="0" t="n">
        <f aca="false">-ATAN2(Fp2_u,A520)</f>
        <v>-1.33450109536425</v>
      </c>
      <c r="X520" s="0" t="n">
        <f aca="false">20*LOG(C520*J520*O520*Q520*F520*M520*S520*U520)</f>
        <v>-20.8775339633795</v>
      </c>
      <c r="Y520" s="0" t="n">
        <f aca="false">(180/Pi)*(D520+H520+N520+P520+R520+T520+V520)</f>
        <v>-255.924384280108</v>
      </c>
      <c r="Z520" s="0" t="n">
        <f aca="false">Y520+180</f>
        <v>-75.9243842801082</v>
      </c>
      <c r="AC520" s="0" t="n">
        <v>1</v>
      </c>
      <c r="AD520" s="0" t="n">
        <f aca="false">Rcea1_u*Cc1ea_u*A520*2*Pi</f>
        <v>37.376407402992</v>
      </c>
      <c r="AE520" s="0" t="n">
        <f aca="false">-Rcea1_u*Cc1ea_u*Cc2ea_u*(A520*2*Pi)^2</f>
        <v>-0.0538964440723162</v>
      </c>
      <c r="AF520" s="0" t="n">
        <f aca="false">(Cc2ea_u+Cc1ea_u)*A520*2*Pi</f>
        <v>0.01297791923715</v>
      </c>
      <c r="AG520" s="0" t="n">
        <f aca="false">AC520*AE520/(AE520^2+AF520^2)+AD520*AF520/(AE520^2+AF520^2)</f>
        <v>140.298095394676</v>
      </c>
      <c r="AH520" s="0" t="n">
        <f aca="false">AD520*AE520/(AE520^2+AF520^2)-AC520*AF520/(AE520^2+AF520^2)</f>
        <v>-659.702706993559</v>
      </c>
      <c r="AJ520" s="0" t="n">
        <f aca="false">_Rfb1</f>
        <v>20000</v>
      </c>
      <c r="AK520" s="0" t="n">
        <f aca="false">_Rfb1*Rcea2_u*Cc3ea_u*A520*2*Pi</f>
        <v>2267194.42436256</v>
      </c>
      <c r="AL520" s="0" t="n">
        <v>1</v>
      </c>
      <c r="AM520" s="0" t="n">
        <f aca="false">(_Rfb1+Rcea2_u)*Cc3ea_u*A520*2*Pi</f>
        <v>42411.7631608181</v>
      </c>
      <c r="AN520" s="0" t="n">
        <f aca="false">AJ520*AL520/(AL520^2+AM520^2)+AK520*AM520/(AL520^2+AM520^2)</f>
        <v>53.4567470367268</v>
      </c>
      <c r="AO520" s="0" t="n">
        <f aca="false">AK520*AL520/(AL520^2+AM520^2)-AJ520*AM520/(AL520^2+AM520^2)</f>
        <v>-0.470306862210123</v>
      </c>
      <c r="AQ520" s="0" t="n">
        <f aca="false">Eadcg/(1+(Eadcg*A520/GBP)^2)</f>
        <v>0.00486359166516366</v>
      </c>
      <c r="AR520" s="0" t="n">
        <f aca="false">-(A520*Eadcg*Eadcg/GBP)/(1+(Eadcg*A520/GBP)^2)</f>
        <v>-3.92156259553811</v>
      </c>
      <c r="AT520" s="0" t="n">
        <f aca="false">-AR520*AH520+AG520*AQ520</f>
        <v>-2586.38310727378</v>
      </c>
      <c r="AU520" s="0" t="n">
        <f aca="false">AQ520*AH520+AG520*AR520</f>
        <v>-553.396287712219</v>
      </c>
      <c r="AV520" s="0" t="n">
        <f aca="false">ATAN2(AT520,AU520)</f>
        <v>-2.93080566920834</v>
      </c>
      <c r="AW520" s="0" t="n">
        <f aca="false">AG520-AH520*AO520/_Rfb2+AG520*AN520/_Rfb2+AN520-AO520*AR520+AQ520*AN520</f>
        <v>195.405824109778</v>
      </c>
      <c r="AX520" s="0" t="n">
        <f aca="false">AH520+AH520*AN520/_Rfb2+AG520*AO520/_Rfb2+AO520+AO520*AQ520+AN520*AR520</f>
        <v>-885.708475642572</v>
      </c>
      <c r="AY520" s="0" t="n">
        <f aca="false">ATAN2(AW520,AX520)</f>
        <v>-1.35365383840928</v>
      </c>
      <c r="BA520" s="0" t="n">
        <f aca="false">SQRT(AT520^2+AU520^2)/SQRT(AW520^2+AX520^2)</f>
        <v>2.91609920722501</v>
      </c>
      <c r="BB520" s="0" t="n">
        <f aca="false">20*LOG(BA520)</f>
        <v>9.29604589646804</v>
      </c>
      <c r="BC520" s="0" t="n">
        <f aca="false">AV520-AY520</f>
        <v>-1.57715183079906</v>
      </c>
      <c r="BD520" s="0" t="n">
        <f aca="false">BC520*180/Pi-180</f>
        <v>-270.364143659373</v>
      </c>
      <c r="BF520" s="0" t="n">
        <f aca="false">20*LOG(BA520*J520*F520*C520)</f>
        <v>-33.6001768922415</v>
      </c>
      <c r="BG520" s="0" t="n">
        <f aca="false">(180/Pi)*(D520+H520+BC520)</f>
        <v>-268.798742589638</v>
      </c>
      <c r="BH520" s="0" t="n">
        <f aca="false">IF(BG520&gt;180,BG520-180,BG520+180)</f>
        <v>-88.7987425896379</v>
      </c>
      <c r="BI520" s="0" t="n">
        <f aca="false">IF(BH520&gt;180,BH520-360,BH520)</f>
        <v>-88.7987425896379</v>
      </c>
      <c r="BJ520" s="0" t="n">
        <f aca="false">SUM((BF521&lt;0)*(BF520&gt;0))*A520</f>
        <v>0</v>
      </c>
      <c r="BK520" s="0" t="n">
        <f aca="false">IF(BJ520&gt;0,BI520,0)</f>
        <v>0</v>
      </c>
      <c r="BM520" s="0" t="n">
        <f aca="false">20*LOG(J520*F520*C520)</f>
        <v>-42.8962227887095</v>
      </c>
      <c r="BN520" s="0" t="n">
        <f aca="false">(H520+D520)*180/Pi</f>
        <v>-178.434598930265</v>
      </c>
      <c r="BQ520" s="347" t="n">
        <f aca="false">20*LOG(BA520*7)</f>
        <v>26.1980066967532</v>
      </c>
    </row>
    <row r="521" customFormat="false" ht="12.75" hidden="false" customHeight="false" outlineLevel="0" collapsed="false">
      <c r="A521" s="0" t="n">
        <f aca="false">A520+5000</f>
        <v>1535000</v>
      </c>
      <c r="B521" s="0" t="n">
        <f aca="false">A521/1000</f>
        <v>1535</v>
      </c>
      <c r="C521" s="0" t="n">
        <f aca="false">SQRT((A521/Fesr)^2+1)</f>
        <v>1.00004650893561</v>
      </c>
      <c r="D521" s="0" t="n">
        <f aca="false">ATAN(A521/Fesr)</f>
        <v>0.00964439040240874</v>
      </c>
      <c r="F521" s="0" t="n">
        <f aca="false">(Ro/(Ro+Rdcr))/SQRT((A521/(Q*Fo))^2+(1-(A521^2/Fo^2))^2)</f>
        <v>0.00079084352616982</v>
      </c>
      <c r="G521" s="0" t="n">
        <f aca="false">-ATAN(A521*Fo/(Q*(Fo^2-A521^2)))</f>
        <v>0.0176506631133295</v>
      </c>
      <c r="H521" s="0" t="n">
        <f aca="false">IF(G521&gt;0,G521-Pi,G521)</f>
        <v>-3.12394198688667</v>
      </c>
      <c r="J521" s="0" t="n">
        <f aca="false">Vin/Vramp</f>
        <v>9</v>
      </c>
      <c r="M521" s="0" t="n">
        <f aca="false">1/(2*Pi*_Rfb1*(Cc1ea_u+Cc2ea_u)*A521)</f>
        <v>0.00384014822713853</v>
      </c>
      <c r="N521" s="0" t="n">
        <f aca="false">-Pi/2</f>
        <v>-1.570796325</v>
      </c>
      <c r="O521" s="0" t="n">
        <f aca="false">SQRT(1+(A521/Fz1_u)^2)</f>
        <v>37.5118840034326</v>
      </c>
      <c r="P521" s="0" t="n">
        <f aca="false">ATAN2(Fz1_u,A521)</f>
        <v>1.54413494979666</v>
      </c>
      <c r="Q521" s="0" t="n">
        <f aca="false">SQRT(1+(A521/Fz2_u)^2)</f>
        <v>42550.3637057742</v>
      </c>
      <c r="R521" s="0" t="n">
        <f aca="false">ATAN2(Fz2_u,A521)</f>
        <v>1.57077282523315</v>
      </c>
      <c r="S521" s="0" t="n">
        <f aca="false">1/SQRT(1+(A521/Fp1_u)^2)</f>
        <v>0.00879240114832633</v>
      </c>
      <c r="T521" s="0" t="n">
        <f aca="false">-ATAN2(Fp1_u,A521)</f>
        <v>-1.56200381235794</v>
      </c>
      <c r="U521" s="0" t="n">
        <f aca="false">1/SQRT(1+(A521/Fp2_u)^2)</f>
        <v>0.233381470211991</v>
      </c>
      <c r="V521" s="0" t="n">
        <f aca="false">-ATAN2(Fp2_u,A521)</f>
        <v>-1.3352425864516</v>
      </c>
      <c r="X521" s="0" t="n">
        <f aca="false">20*LOG(C521*J521*O521*Q521*F521*M521*S521*U521)</f>
        <v>-20.9610544263855</v>
      </c>
      <c r="Y521" s="0" t="n">
        <f aca="false">(180/Pi)*(D521+H521+N521+P521+R521+T521+V521)</f>
        <v>-255.965030395496</v>
      </c>
      <c r="Z521" s="0" t="n">
        <f aca="false">Y521+180</f>
        <v>-75.9650303954965</v>
      </c>
      <c r="AC521" s="0" t="n">
        <v>1</v>
      </c>
      <c r="AD521" s="0" t="n">
        <f aca="false">Rcea1_u*Cc1ea_u*A521*2*Pi</f>
        <v>37.498552525224</v>
      </c>
      <c r="AE521" s="0" t="n">
        <f aca="false">-Rcea1_u*Cc1ea_u*Cc2ea_u*(A521*2*Pi)^2</f>
        <v>-0.0542492840079855</v>
      </c>
      <c r="AF521" s="0" t="n">
        <f aca="false">(Cc2ea_u+Cc1ea_u)*A521*2*Pi</f>
        <v>0.013020330737925</v>
      </c>
      <c r="AG521" s="0" t="n">
        <f aca="false">AC521*AE521/(AE521^2+AF521^2)+AD521*AF521/(AE521^2+AF521^2)</f>
        <v>139.435291234075</v>
      </c>
      <c r="AH521" s="0" t="n">
        <f aca="false">AD521*AE521/(AE521^2+AF521^2)-AC521*AF521/(AE521^2+AF521^2)</f>
        <v>-657.760919232868</v>
      </c>
      <c r="AJ521" s="0" t="n">
        <f aca="false">_Rfb1</f>
        <v>20000</v>
      </c>
      <c r="AK521" s="0" t="n">
        <f aca="false">_Rfb1*Rcea2_u*Cc3ea_u*A521*2*Pi</f>
        <v>2274603.55646832</v>
      </c>
      <c r="AL521" s="0" t="n">
        <v>1</v>
      </c>
      <c r="AM521" s="0" t="n">
        <f aca="false">(_Rfb1+Rcea2_u)*Cc3ea_u*A521*2*Pi</f>
        <v>42550.3636940234</v>
      </c>
      <c r="AN521" s="0" t="n">
        <f aca="false">AJ521*AL521/(AL521^2+AM521^2)+AK521*AM521/(AL521^2+AM521^2)</f>
        <v>53.4567469646029</v>
      </c>
      <c r="AO521" s="0" t="n">
        <f aca="false">AK521*AL521/(AL521^2+AM521^2)-AJ521*AM521/(AL521^2+AM521^2)</f>
        <v>-0.468774918035238</v>
      </c>
      <c r="AQ521" s="0" t="n">
        <f aca="false">Eadcg/(1+(Eadcg*A521/GBP)^2)</f>
        <v>0.00483195868089013</v>
      </c>
      <c r="AR521" s="0" t="n">
        <f aca="false">-(A521*Eadcg*Eadcg/GBP)/(1+(Eadcg*A521/GBP)^2)</f>
        <v>-3.90878881511267</v>
      </c>
      <c r="AT521" s="0" t="n">
        <f aca="false">-AR521*AH521+AG521*AQ521</f>
        <v>-2570.37477854976</v>
      </c>
      <c r="AU521" s="0" t="n">
        <f aca="false">AQ521*AH521+AG521*AR521</f>
        <v>-548.201380391368</v>
      </c>
      <c r="AV521" s="0" t="n">
        <f aca="false">ATAN2(AT521,AU521)</f>
        <v>-2.93146411288951</v>
      </c>
      <c r="AW521" s="0" t="n">
        <f aca="false">AG521-AH521*AO521/_Rfb2+AG521*AN521/_Rfb2+AN521-AO521*AR521+AQ521*AN521</f>
        <v>194.533433702</v>
      </c>
      <c r="AX521" s="0" t="n">
        <f aca="false">AH521+AH521*AN521/_Rfb2+AG521*AO521/_Rfb2+AO521+AO521*AQ521+AN521*AR521</f>
        <v>-883.035299134921</v>
      </c>
      <c r="AY521" s="0" t="n">
        <f aca="false">ATAN2(AW521,AX521)</f>
        <v>-1.3539590715976</v>
      </c>
      <c r="BA521" s="0" t="n">
        <f aca="false">SQRT(AT521^2+AU521^2)/SQRT(AW521^2+AX521^2)</f>
        <v>2.90661000764523</v>
      </c>
      <c r="BB521" s="0" t="n">
        <f aca="false">20*LOG(BA521)</f>
        <v>9.26773529044946</v>
      </c>
      <c r="BC521" s="0" t="n">
        <f aca="false">AV521-AY521</f>
        <v>-1.57750504129191</v>
      </c>
      <c r="BD521" s="0" t="n">
        <f aca="false">BC521*180/Pi-180</f>
        <v>-270.384381129916</v>
      </c>
      <c r="BF521" s="0" t="n">
        <f aca="false">20*LOG(BA521*J521*F521*C521)</f>
        <v>-33.6851992817267</v>
      </c>
      <c r="BG521" s="0" t="n">
        <f aca="false">(180/Pi)*(D521+H521+BC521)</f>
        <v>-268.820489760094</v>
      </c>
      <c r="BH521" s="0" t="n">
        <f aca="false">IF(BG521&gt;180,BG521-180,BG521+180)</f>
        <v>-88.8204897600938</v>
      </c>
      <c r="BI521" s="0" t="n">
        <f aca="false">IF(BH521&gt;180,BH521-360,BH521)</f>
        <v>-88.8204897600938</v>
      </c>
      <c r="BJ521" s="0" t="n">
        <f aca="false">SUM((BF522&lt;0)*(BF521&gt;0))*A521</f>
        <v>0</v>
      </c>
      <c r="BK521" s="0" t="n">
        <f aca="false">IF(BJ521&gt;0,BI521,0)</f>
        <v>0</v>
      </c>
      <c r="BM521" s="0" t="n">
        <f aca="false">20*LOG(J521*F521*C521)</f>
        <v>-42.9529345721762</v>
      </c>
      <c r="BN521" s="0" t="n">
        <f aca="false">(H521+D521)*180/Pi</f>
        <v>-178.436108630177</v>
      </c>
      <c r="BQ521" s="347" t="n">
        <f aca="false">20*LOG(BA521*7)</f>
        <v>26.1696960907346</v>
      </c>
    </row>
    <row r="522" customFormat="false" ht="12.75" hidden="false" customHeight="false" outlineLevel="0" collapsed="false">
      <c r="A522" s="0" t="n">
        <f aca="false">A521+5000</f>
        <v>1540000</v>
      </c>
      <c r="B522" s="0" t="n">
        <f aca="false">A522/1000</f>
        <v>1540</v>
      </c>
      <c r="C522" s="0" t="n">
        <f aca="false">SQRT((A522/Fesr)^2+1)</f>
        <v>1.00004681241179</v>
      </c>
      <c r="D522" s="0" t="n">
        <f aca="false">ATAN(A522/Fesr)</f>
        <v>0.0096758033973425</v>
      </c>
      <c r="F522" s="0" t="n">
        <f aca="false">(Ro/(Ro+Rdcr))/SQRT((A522/(Q*Fo))^2+(1-(A522^2/Fo^2))^2)</f>
        <v>0.00078571324996671</v>
      </c>
      <c r="G522" s="0" t="n">
        <f aca="false">-ATAN(A522*Fo/(Q*(Fo^2-A522^2)))</f>
        <v>0.0175932767215513</v>
      </c>
      <c r="H522" s="0" t="n">
        <f aca="false">IF(G522&gt;0,G522-Pi,G522)</f>
        <v>-3.12399937327845</v>
      </c>
      <c r="J522" s="0" t="n">
        <f aca="false">Vin/Vramp</f>
        <v>9</v>
      </c>
      <c r="M522" s="0" t="n">
        <f aca="false">1/(2*Pi*_Rfb1*(Cc1ea_u+Cc2ea_u)*A522)</f>
        <v>0.00382768021341405</v>
      </c>
      <c r="N522" s="0" t="n">
        <f aca="false">-Pi/2</f>
        <v>-1.570796325</v>
      </c>
      <c r="O522" s="0" t="n">
        <f aca="false">SQRT(1+(A522/Fz1_u)^2)</f>
        <v>37.6339858569525</v>
      </c>
      <c r="P522" s="0" t="n">
        <f aca="false">ATAN2(Fz1_u,A522)</f>
        <v>1.54422147189329</v>
      </c>
      <c r="Q522" s="0" t="n">
        <f aca="false">SQRT(1+(A522/Fz2_u)^2)</f>
        <v>42688.9642389413</v>
      </c>
      <c r="R522" s="0" t="n">
        <f aca="false">ATAN2(Fz2_u,A522)</f>
        <v>1.57077290153692</v>
      </c>
      <c r="S522" s="0" t="n">
        <f aca="false">1/SQRT(1+(A522/Fp1_u)^2)</f>
        <v>0.00876385658746076</v>
      </c>
      <c r="T522" s="0" t="n">
        <f aca="false">-ATAN2(Fp1_u,A522)</f>
        <v>-1.56203235801862</v>
      </c>
      <c r="U522" s="0" t="n">
        <f aca="false">1/SQRT(1+(A522/Fp2_u)^2)</f>
        <v>0.232664819590243</v>
      </c>
      <c r="V522" s="0" t="n">
        <f aca="false">-ATAN2(Fp2_u,A522)</f>
        <v>-1.33597952410968</v>
      </c>
      <c r="X522" s="0" t="n">
        <f aca="false">20*LOG(C522*J522*O522*Q522*F522*M522*S522*U522)</f>
        <v>-21.0443123851955</v>
      </c>
      <c r="Y522" s="0" t="n">
        <f aca="false">(180/Pi)*(D522+H522+N522+P522+R522+T522+V522)</f>
        <v>-256.005415802159</v>
      </c>
      <c r="Z522" s="0" t="n">
        <f aca="false">Y522+180</f>
        <v>-76.0054158021586</v>
      </c>
      <c r="AC522" s="0" t="n">
        <v>1</v>
      </c>
      <c r="AD522" s="0" t="n">
        <f aca="false">Rcea1_u*Cc1ea_u*A522*2*Pi</f>
        <v>37.620697647456</v>
      </c>
      <c r="AE522" s="0" t="n">
        <f aca="false">-Rcea1_u*Cc1ea_u*Cc2ea_u*(A522*2*Pi)^2</f>
        <v>-0.0546032751343095</v>
      </c>
      <c r="AF522" s="0" t="n">
        <f aca="false">(Cc2ea_u+Cc1ea_u)*A522*2*Pi</f>
        <v>0.0130627422387</v>
      </c>
      <c r="AG522" s="0" t="n">
        <f aca="false">AC522*AE522/(AE522^2+AF522^2)+AD522*AF522/(AE522^2+AF522^2)</f>
        <v>138.580270783899</v>
      </c>
      <c r="AH522" s="0" t="n">
        <f aca="false">AD522*AE522/(AE522^2+AF522^2)-AC522*AF522/(AE522^2+AF522^2)</f>
        <v>-655.829878386462</v>
      </c>
      <c r="AJ522" s="0" t="n">
        <f aca="false">_Rfb1</f>
        <v>20000</v>
      </c>
      <c r="AK522" s="0" t="n">
        <f aca="false">_Rfb1*Rcea2_u*Cc3ea_u*A522*2*Pi</f>
        <v>2282012.68857408</v>
      </c>
      <c r="AL522" s="0" t="n">
        <v>1</v>
      </c>
      <c r="AM522" s="0" t="n">
        <f aca="false">(_Rfb1+Rcea2_u)*Cc3ea_u*A522*2*Pi</f>
        <v>42688.9642272287</v>
      </c>
      <c r="AN522" s="0" t="n">
        <f aca="false">AJ522*AL522/(AL522^2+AM522^2)+AK522*AM522/(AL522^2+AM522^2)</f>
        <v>53.4567468931805</v>
      </c>
      <c r="AO522" s="0" t="n">
        <f aca="false">AK522*AL522/(AL522^2+AM522^2)-AJ522*AM522/(AL522^2+AM522^2)</f>
        <v>-0.467252921549784</v>
      </c>
      <c r="AQ522" s="0" t="n">
        <f aca="false">Eadcg/(1+(Eadcg*A522/GBP)^2)</f>
        <v>0.00480063330901986</v>
      </c>
      <c r="AR522" s="0" t="n">
        <f aca="false">-(A522*Eadcg*Eadcg/GBP)/(1+(Eadcg*A522/GBP)^2)</f>
        <v>-3.89609798093434</v>
      </c>
      <c r="AT522" s="0" t="n">
        <f aca="false">-AR522*AH522+AG522*AQ522</f>
        <v>-2554.51219195401</v>
      </c>
      <c r="AU522" s="0" t="n">
        <f aca="false">AQ522*AH522+AG522*AR522</f>
        <v>-543.070711957714</v>
      </c>
      <c r="AV522" s="0" t="n">
        <f aca="false">ATAN2(AT522,AU522)</f>
        <v>-2.93211854200973</v>
      </c>
      <c r="AW522" s="0" t="n">
        <f aca="false">AG522-AH522*AO522/_Rfb2+AG522*AN522/_Rfb2+AN522-AO522*AR522+AQ522*AN522</f>
        <v>193.668906167406</v>
      </c>
      <c r="AX522" s="0" t="n">
        <f aca="false">AH522+AH522*AN522/_Rfb2+AG522*AO522/_Rfb2+AO522+AO522*AQ522+AN522*AR522</f>
        <v>-880.377575788416</v>
      </c>
      <c r="AY522" s="0" t="n">
        <f aca="false">ATAN2(AW522,AX522)</f>
        <v>-1.35426136389924</v>
      </c>
      <c r="BA522" s="0" t="n">
        <f aca="false">SQRT(AT522^2+AU522^2)/SQRT(AW522^2+AX522^2)</f>
        <v>2.89718192997969</v>
      </c>
      <c r="BB522" s="0" t="n">
        <f aca="false">20*LOG(BA522)</f>
        <v>9.23951535595956</v>
      </c>
      <c r="BC522" s="0" t="n">
        <f aca="false">AV522-AY522</f>
        <v>-1.57785717811049</v>
      </c>
      <c r="BD522" s="0" t="n">
        <f aca="false">BC522*180/Pi-180</f>
        <v>-270.404557083455</v>
      </c>
      <c r="BF522" s="0" t="n">
        <f aca="false">20*LOG(BA522*J522*F522*C522)</f>
        <v>-33.7699463176859</v>
      </c>
      <c r="BG522" s="0" t="n">
        <f aca="false">(180/Pi)*(D522+H522+BC522)</f>
        <v>-268.842153879653</v>
      </c>
      <c r="BH522" s="0" t="n">
        <f aca="false">IF(BG522&gt;180,BG522-180,BG522+180)</f>
        <v>-88.8421538796529</v>
      </c>
      <c r="BI522" s="0" t="n">
        <f aca="false">IF(BH522&gt;180,BH522-360,BH522)</f>
        <v>-88.8421538796529</v>
      </c>
      <c r="BJ522" s="0" t="n">
        <f aca="false">SUM((BF523&lt;0)*(BF522&gt;0))*A522</f>
        <v>0</v>
      </c>
      <c r="BK522" s="0" t="n">
        <f aca="false">IF(BJ522&gt;0,BI522,0)</f>
        <v>0</v>
      </c>
      <c r="BM522" s="0" t="n">
        <f aca="false">20*LOG(J522*F522*C522)</f>
        <v>-43.0094616736455</v>
      </c>
      <c r="BN522" s="0" t="n">
        <f aca="false">(H522+D522)*180/Pi</f>
        <v>-178.437596796198</v>
      </c>
      <c r="BQ522" s="347" t="n">
        <f aca="false">20*LOG(BA522*7)</f>
        <v>26.1414761562447</v>
      </c>
    </row>
    <row r="523" customFormat="false" ht="12.75" hidden="false" customHeight="false" outlineLevel="0" collapsed="false">
      <c r="A523" s="0" t="n">
        <f aca="false">A522+5000</f>
        <v>1545000</v>
      </c>
      <c r="B523" s="0" t="n">
        <f aca="false">A523/1000</f>
        <v>1545</v>
      </c>
      <c r="C523" s="0" t="n">
        <f aca="false">SQRT((A523/Fesr)^2+1)</f>
        <v>1.00004711687478</v>
      </c>
      <c r="D523" s="0" t="n">
        <f aca="false">ATAN(A523/Fesr)</f>
        <v>0.00970721637317997</v>
      </c>
      <c r="F523" s="0" t="n">
        <f aca="false">(Ro/(Ro+Rdcr))/SQRT((A523/(Q*Fo))^2+(1-(A523^2/Fo^2))^2)</f>
        <v>0.000780632743645258</v>
      </c>
      <c r="G523" s="0" t="n">
        <f aca="false">-ATAN(A523*Fo/(Q*(Fo^2-A523^2)))</f>
        <v>0.0175362625270151</v>
      </c>
      <c r="H523" s="0" t="n">
        <f aca="false">IF(G523&gt;0,G523-Pi,G523)</f>
        <v>-3.12405638747299</v>
      </c>
      <c r="J523" s="0" t="n">
        <f aca="false">Vin/Vramp</f>
        <v>9</v>
      </c>
      <c r="M523" s="0" t="n">
        <f aca="false">1/(2*Pi*_Rfb1*(Cc1ea_u+Cc2ea_u)*A523)</f>
        <v>0.00381529289880754</v>
      </c>
      <c r="N523" s="0" t="n">
        <f aca="false">-Pi/2</f>
        <v>-1.570796325</v>
      </c>
      <c r="O523" s="0" t="n">
        <f aca="false">SQRT(1+(A523/Fz1_u)^2)</f>
        <v>37.756087990381</v>
      </c>
      <c r="P523" s="0" t="n">
        <f aca="false">ATAN2(Fz1_u,A523)</f>
        <v>1.54430743437048</v>
      </c>
      <c r="Q523" s="0" t="n">
        <f aca="false">SQRT(1+(A523/Fz2_u)^2)</f>
        <v>42827.5647721087</v>
      </c>
      <c r="R523" s="0" t="n">
        <f aca="false">ATAN2(Fz2_u,A523)</f>
        <v>1.57077297734682</v>
      </c>
      <c r="S523" s="0" t="n">
        <f aca="false">1/SQRT(1+(A523/Fp1_u)^2)</f>
        <v>0.00873549675981802</v>
      </c>
      <c r="T523" s="0" t="n">
        <f aca="false">-ATAN2(Fp1_u,A523)</f>
        <v>-1.5620607189319</v>
      </c>
      <c r="U523" s="0" t="n">
        <f aca="false">1/SQRT(1+(A523/Fp2_u)^2)</f>
        <v>0.231952431957108</v>
      </c>
      <c r="V523" s="0" t="n">
        <f aca="false">-ATAN2(Fp2_u,A523)</f>
        <v>-1.33671194936027</v>
      </c>
      <c r="X523" s="0" t="n">
        <f aca="false">20*LOG(C523*J523*O523*Q523*F523*M523*S523*U523)</f>
        <v>-21.1273094598764</v>
      </c>
      <c r="Y523" s="0" t="n">
        <f aca="false">(180/Pi)*(D523+H523+N523+P523+R523+T523+V523)</f>
        <v>-256.045542849561</v>
      </c>
      <c r="Z523" s="0" t="n">
        <f aca="false">Y523+180</f>
        <v>-76.0455428495613</v>
      </c>
      <c r="AC523" s="0" t="n">
        <v>1</v>
      </c>
      <c r="AD523" s="0" t="n">
        <f aca="false">Rcea1_u*Cc1ea_u*A523*2*Pi</f>
        <v>37.742842769688</v>
      </c>
      <c r="AE523" s="0" t="n">
        <f aca="false">-Rcea1_u*Cc1ea_u*Cc2ea_u*(A523*2*Pi)^2</f>
        <v>-0.0549584174512882</v>
      </c>
      <c r="AF523" s="0" t="n">
        <f aca="false">(Cc2ea_u+Cc1ea_u)*A523*2*Pi</f>
        <v>0.013105153739475</v>
      </c>
      <c r="AG523" s="0" t="n">
        <f aca="false">AC523*AE523/(AE523^2+AF523^2)+AD523*AF523/(AE523^2+AF523^2)</f>
        <v>137.732942568492</v>
      </c>
      <c r="AH523" s="0" t="n">
        <f aca="false">AD523*AE523/(AE523^2+AF523^2)-AC523*AF523/(AE523^2+AF523^2)</f>
        <v>-653.909501928267</v>
      </c>
      <c r="AJ523" s="0" t="n">
        <f aca="false">_Rfb1</f>
        <v>20000</v>
      </c>
      <c r="AK523" s="0" t="n">
        <f aca="false">_Rfb1*Rcea2_u*Cc3ea_u*A523*2*Pi</f>
        <v>2289421.82067984</v>
      </c>
      <c r="AL523" s="0" t="n">
        <v>1</v>
      </c>
      <c r="AM523" s="0" t="n">
        <f aca="false">(_Rfb1+Rcea2_u)*Cc3ea_u*A523*2*Pi</f>
        <v>42827.564760434</v>
      </c>
      <c r="AN523" s="0" t="n">
        <f aca="false">AJ523*AL523/(AL523^2+AM523^2)+AK523*AM523/(AL523^2+AM523^2)</f>
        <v>53.4567468224503</v>
      </c>
      <c r="AO523" s="0" t="n">
        <f aca="false">AK523*AL523/(AL523^2+AM523^2)-AJ523*AM523/(AL523^2+AM523^2)</f>
        <v>-0.465740776174252</v>
      </c>
      <c r="AQ523" s="0" t="n">
        <f aca="false">Eadcg/(1+(Eadcg*A523/GBP)^2)</f>
        <v>0.00476961157397571</v>
      </c>
      <c r="AR523" s="0" t="n">
        <f aca="false">-(A523*Eadcg*Eadcg/GBP)/(1+(Eadcg*A523/GBP)^2)</f>
        <v>-3.88348928770463</v>
      </c>
      <c r="AT523" s="0" t="n">
        <f aca="false">-AR523*AH523+AG523*AQ523</f>
        <v>-2538.7936132297</v>
      </c>
      <c r="AU523" s="0" t="n">
        <f aca="false">AQ523*AH523+AG523*AR523</f>
        <v>-538.003301357504</v>
      </c>
      <c r="AV523" s="0" t="n">
        <f aca="false">ATAN2(AT523,AU523)</f>
        <v>-2.93276899236421</v>
      </c>
      <c r="AW523" s="0" t="n">
        <f aca="false">AG523-AH523*AO523/_Rfb2+AG523*AN523/_Rfb2+AN523-AO523*AR523+AQ523*AN523</f>
        <v>192.812149218632</v>
      </c>
      <c r="AX523" s="0" t="n">
        <f aca="false">AH523+AH523*AN523/_Rfb2+AG523*AO523/_Rfb2+AO523+AO523*AQ523+AN523*AR523</f>
        <v>-877.73517788919</v>
      </c>
      <c r="AY523" s="0" t="n">
        <f aca="false">ATAN2(AW523,AX523)</f>
        <v>-1.35456074082716</v>
      </c>
      <c r="BA523" s="0" t="n">
        <f aca="false">SQRT(AT523^2+AU523^2)/SQRT(AW523^2+AX523^2)</f>
        <v>2.88781438587708</v>
      </c>
      <c r="BB523" s="0" t="n">
        <f aca="false">20*LOG(BA523)</f>
        <v>9.21138551077797</v>
      </c>
      <c r="BC523" s="0" t="n">
        <f aca="false">AV523-AY523</f>
        <v>-1.57820825153705</v>
      </c>
      <c r="BD523" s="0" t="n">
        <f aca="false">BC523*180/Pi-180</f>
        <v>-270.42467210912</v>
      </c>
      <c r="BF523" s="0" t="n">
        <f aca="false">20*LOG(BA523*J523*F523*C523)</f>
        <v>-33.8544197818618</v>
      </c>
      <c r="BG523" s="0" t="n">
        <f aca="false">(180/Pi)*(D523+H523+BC523)</f>
        <v>-268.863735747101</v>
      </c>
      <c r="BH523" s="0" t="n">
        <f aca="false">IF(BG523&gt;180,BG523-180,BG523+180)</f>
        <v>-88.863735747101</v>
      </c>
      <c r="BI523" s="0" t="n">
        <f aca="false">IF(BH523&gt;180,BH523-360,BH523)</f>
        <v>-88.863735747101</v>
      </c>
      <c r="BJ523" s="0" t="n">
        <f aca="false">SUM((BF524&lt;0)*(BF523&gt;0))*A523</f>
        <v>0</v>
      </c>
      <c r="BK523" s="0" t="n">
        <f aca="false">IF(BJ523&gt;0,BI523,0)</f>
        <v>0</v>
      </c>
      <c r="BM523" s="0" t="n">
        <f aca="false">20*LOG(J523*F523*C523)</f>
        <v>-43.0658052926398</v>
      </c>
      <c r="BN523" s="0" t="n">
        <f aca="false">(H523+D523)*180/Pi</f>
        <v>-178.439063637982</v>
      </c>
      <c r="BQ523" s="347" t="n">
        <f aca="false">20*LOG(BA523*7)</f>
        <v>26.1133463110631</v>
      </c>
    </row>
    <row r="524" customFormat="false" ht="12.75" hidden="false" customHeight="false" outlineLevel="0" collapsed="false">
      <c r="A524" s="0" t="n">
        <f aca="false">A523+5000</f>
        <v>1550000</v>
      </c>
      <c r="B524" s="0" t="n">
        <f aca="false">A524/1000</f>
        <v>1550</v>
      </c>
      <c r="C524" s="0" t="n">
        <f aca="false">SQRT((A524/Fesr)^2+1)</f>
        <v>1.0000474223246</v>
      </c>
      <c r="D524" s="0" t="n">
        <f aca="false">ATAN(A524/Fesr)</f>
        <v>0.00973862932985917</v>
      </c>
      <c r="F524" s="0" t="n">
        <f aca="false">(Ro/(Ro+Rdcr))/SQRT((A524/(Q*Fo))^2+(1-(A524^2/Fo^2))^2)</f>
        <v>0.000775601365376694</v>
      </c>
      <c r="G524" s="0" t="n">
        <f aca="false">-ATAN(A524*Fo/(Q*(Fo^2-A524^2)))</f>
        <v>0.0174796169179886</v>
      </c>
      <c r="H524" s="0" t="n">
        <f aca="false">IF(G524&gt;0,G524-Pi,G524)</f>
        <v>-3.12411303308201</v>
      </c>
      <c r="J524" s="0" t="n">
        <f aca="false">Vin/Vramp</f>
        <v>9</v>
      </c>
      <c r="M524" s="0" t="n">
        <f aca="false">1/(2*Pi*_Rfb1*(Cc1ea_u+Cc2ea_u)*A524)</f>
        <v>0.00380298550235977</v>
      </c>
      <c r="N524" s="0" t="n">
        <f aca="false">-Pi/2</f>
        <v>-1.570796325</v>
      </c>
      <c r="O524" s="0" t="n">
        <f aca="false">SQRT(1+(A524/Fz1_u)^2)</f>
        <v>37.8781904010111</v>
      </c>
      <c r="P524" s="0" t="n">
        <f aca="false">ATAN2(Fz1_u,A524)</f>
        <v>1.54439284263883</v>
      </c>
      <c r="Q524" s="0" t="n">
        <f aca="false">SQRT(1+(A524/Fz2_u)^2)</f>
        <v>42966.1653052763</v>
      </c>
      <c r="R524" s="0" t="n">
        <f aca="false">ATAN2(Fz2_u,A524)</f>
        <v>1.57077305266762</v>
      </c>
      <c r="S524" s="0" t="n">
        <f aca="false">1/SQRT(1+(A524/Fp1_u)^2)</f>
        <v>0.00870731987792967</v>
      </c>
      <c r="T524" s="0" t="n">
        <f aca="false">-ATAN2(Fp1_u,A524)</f>
        <v>-1.56208889688546</v>
      </c>
      <c r="U524" s="0" t="n">
        <f aca="false">1/SQRT(1+(A524/Fp2_u)^2)</f>
        <v>0.231244270556598</v>
      </c>
      <c r="V524" s="0" t="n">
        <f aca="false">-ATAN2(Fp2_u,A524)</f>
        <v>-1.33743990274369</v>
      </c>
      <c r="X524" s="0" t="n">
        <f aca="false">20*LOG(C524*J524*O524*Q524*F524*M524*S524*U524)</f>
        <v>-21.2100472557433</v>
      </c>
      <c r="Y524" s="0" t="n">
        <f aca="false">(180/Pi)*(D524+H524+N524+P524+R524+T524+V524)</f>
        <v>-256.085413859583</v>
      </c>
      <c r="Z524" s="0" t="n">
        <f aca="false">Y524+180</f>
        <v>-76.0854138595828</v>
      </c>
      <c r="AC524" s="0" t="n">
        <v>1</v>
      </c>
      <c r="AD524" s="0" t="n">
        <f aca="false">Rcea1_u*Cc1ea_u*A524*2*Pi</f>
        <v>37.86498789192</v>
      </c>
      <c r="AE524" s="0" t="n">
        <f aca="false">-Rcea1_u*Cc1ea_u*Cc2ea_u*(A524*2*Pi)^2</f>
        <v>-0.0553147109589216</v>
      </c>
      <c r="AF524" s="0" t="n">
        <f aca="false">(Cc2ea_u+Cc1ea_u)*A524*2*Pi</f>
        <v>0.01314756524025</v>
      </c>
      <c r="AG524" s="0" t="n">
        <f aca="false">AC524*AE524/(AE524^2+AF524^2)+AD524*AF524/(AE524^2+AF524^2)</f>
        <v>136.893216423048</v>
      </c>
      <c r="AH524" s="0" t="n">
        <f aca="false">AD524*AE524/(AE524^2+AF524^2)-AC524*AF524/(AE524^2+AF524^2)</f>
        <v>-651.999708085493</v>
      </c>
      <c r="AJ524" s="0" t="n">
        <f aca="false">_Rfb1</f>
        <v>20000</v>
      </c>
      <c r="AK524" s="0" t="n">
        <f aca="false">_Rfb1*Rcea2_u*Cc3ea_u*A524*2*Pi</f>
        <v>2296830.9527856</v>
      </c>
      <c r="AL524" s="0" t="n">
        <v>1</v>
      </c>
      <c r="AM524" s="0" t="n">
        <f aca="false">(_Rfb1+Rcea2_u)*Cc3ea_u*A524*2*Pi</f>
        <v>42966.1652936393</v>
      </c>
      <c r="AN524" s="0" t="n">
        <f aca="false">AJ524*AL524/(AL524^2+AM524^2)+AK524*AM524/(AL524^2+AM524^2)</f>
        <v>53.4567467524036</v>
      </c>
      <c r="AO524" s="0" t="n">
        <f aca="false">AK524*AL524/(AL524^2+AM524^2)-AJ524*AM524/(AL524^2+AM524^2)</f>
        <v>-0.46423838657532</v>
      </c>
      <c r="AQ524" s="0" t="n">
        <f aca="false">Eadcg/(1+(Eadcg*A524/GBP)^2)</f>
        <v>0.00473888956419897</v>
      </c>
      <c r="AR524" s="0" t="n">
        <f aca="false">-(A524*Eadcg*Eadcg/GBP)/(1+(Eadcg*A524/GBP)^2)</f>
        <v>-3.87096194051593</v>
      </c>
      <c r="AT524" s="0" t="n">
        <f aca="false">-AR524*AH524+AG524*AQ524</f>
        <v>-2523.21733339172</v>
      </c>
      <c r="AU524" s="0" t="n">
        <f aca="false">AQ524*AH524+AG524*AR524</f>
        <v>-532.998185300934</v>
      </c>
      <c r="AV524" s="0" t="n">
        <f aca="false">ATAN2(AT524,AU524)</f>
        <v>-2.93341549933408</v>
      </c>
      <c r="AW524" s="0" t="n">
        <f aca="false">AG524-AH524*AO524/_Rfb2+AG524*AN524/_Rfb2+AN524-AO524*AR524+AQ524*AN524</f>
        <v>191.963071888476</v>
      </c>
      <c r="AX524" s="0" t="n">
        <f aca="false">AH524+AH524*AN524/_Rfb2+AG524*AO524/_Rfb2+AO524+AO524*AQ524+AN524*AR524</f>
        <v>-875.107979052528</v>
      </c>
      <c r="AY524" s="0" t="n">
        <f aca="false">ATAN2(AW524,AX524)</f>
        <v>-1.35485722761161</v>
      </c>
      <c r="BA524" s="0" t="n">
        <f aca="false">SQRT(AT524^2+AU524^2)/SQRT(AW524^2+AX524^2)</f>
        <v>2.87850679449725</v>
      </c>
      <c r="BB524" s="0" t="n">
        <f aca="false">20*LOG(BA524)</f>
        <v>9.18334517823182</v>
      </c>
      <c r="BC524" s="0" t="n">
        <f aca="false">AV524-AY524</f>
        <v>-1.57855827172247</v>
      </c>
      <c r="BD524" s="0" t="n">
        <f aca="false">BC524*180/Pi-180</f>
        <v>-270.444726788511</v>
      </c>
      <c r="BF524" s="0" t="n">
        <f aca="false">20*LOG(BA524*J524*F524*C524)</f>
        <v>-33.9386214387932</v>
      </c>
      <c r="BG524" s="0" t="n">
        <f aca="false">(180/Pi)*(D524+H524+BC524)</f>
        <v>-268.88523615098</v>
      </c>
      <c r="BH524" s="0" t="n">
        <f aca="false">IF(BG524&gt;180,BG524-180,BG524+180)</f>
        <v>-88.8852361509798</v>
      </c>
      <c r="BI524" s="0" t="n">
        <f aca="false">IF(BH524&gt;180,BH524-360,BH524)</f>
        <v>-88.8852361509798</v>
      </c>
      <c r="BJ524" s="0" t="n">
        <f aca="false">SUM((BF525&lt;0)*(BF524&gt;0))*A524</f>
        <v>0</v>
      </c>
      <c r="BK524" s="0" t="n">
        <f aca="false">IF(BJ524&gt;0,BI524,0)</f>
        <v>0</v>
      </c>
      <c r="BM524" s="0" t="n">
        <f aca="false">20*LOG(J524*F524*C524)</f>
        <v>-43.121966617025</v>
      </c>
      <c r="BN524" s="0" t="n">
        <f aca="false">(H524+D524)*180/Pi</f>
        <v>-178.440509362469</v>
      </c>
      <c r="BQ524" s="347" t="n">
        <f aca="false">20*LOG(BA524*7)</f>
        <v>26.085305978517</v>
      </c>
    </row>
    <row r="525" customFormat="false" ht="12.75" hidden="false" customHeight="false" outlineLevel="0" collapsed="false">
      <c r="A525" s="0" t="n">
        <f aca="false">A524+5000</f>
        <v>1555000</v>
      </c>
      <c r="B525" s="0" t="n">
        <f aca="false">A525/1000</f>
        <v>1555</v>
      </c>
      <c r="C525" s="0" t="n">
        <f aca="false">SQRT((A525/Fesr)^2+1)</f>
        <v>1.00004772876124</v>
      </c>
      <c r="D525" s="0" t="n">
        <f aca="false">ATAN(A525/Fesr)</f>
        <v>0.00977004226731813</v>
      </c>
      <c r="F525" s="0" t="n">
        <f aca="false">(Ro/(Ro+Rdcr))/SQRT((A525/(Q*Fo))^2+(1-(A525^2/Fo^2))^2)</f>
        <v>0.000770618483647339</v>
      </c>
      <c r="G525" s="0" t="n">
        <f aca="false">-ATAN(A525*Fo/(Q*(Fo^2-A525^2)))</f>
        <v>0.01742333632935</v>
      </c>
      <c r="H525" s="0" t="n">
        <f aca="false">IF(G525&gt;0,G525-Pi,G525)</f>
        <v>-3.12416931367065</v>
      </c>
      <c r="J525" s="0" t="n">
        <f aca="false">Vin/Vramp</f>
        <v>9</v>
      </c>
      <c r="M525" s="0" t="n">
        <f aca="false">1/(2*Pi*_Rfb1*(Cc1ea_u+Cc2ea_u)*A525)</f>
        <v>0.00379075725315604</v>
      </c>
      <c r="N525" s="0" t="n">
        <f aca="false">-Pi/2</f>
        <v>-1.570796325</v>
      </c>
      <c r="O525" s="0" t="n">
        <f aca="false">SQRT(1+(A525/Fz1_u)^2)</f>
        <v>38.0002930861708</v>
      </c>
      <c r="P525" s="0" t="n">
        <f aca="false">ATAN2(Fz1_u,A525)</f>
        <v>1.54447770203946</v>
      </c>
      <c r="Q525" s="0" t="n">
        <f aca="false">SQRT(1+(A525/Fz2_u)^2)</f>
        <v>43104.7658384442</v>
      </c>
      <c r="R525" s="0" t="n">
        <f aca="false">ATAN2(Fz2_u,A525)</f>
        <v>1.57077312750404</v>
      </c>
      <c r="S525" s="0" t="n">
        <f aca="false">1/SQRT(1+(A525/Fp1_u)^2)</f>
        <v>0.00867932417731283</v>
      </c>
      <c r="T525" s="0" t="n">
        <f aca="false">-ATAN2(Fp1_u,A525)</f>
        <v>-1.56211689364401</v>
      </c>
      <c r="U525" s="0" t="n">
        <f aca="false">1/SQRT(1+(A525/Fp2_u)^2)</f>
        <v>0.230540299039282</v>
      </c>
      <c r="V525" s="0" t="n">
        <f aca="false">-ATAN2(Fp2_u,A525)</f>
        <v>-1.3381634243257</v>
      </c>
      <c r="X525" s="0" t="n">
        <f aca="false">20*LOG(C525*J525*O525*Q525*F525*M525*S525*U525)</f>
        <v>-21.2925273635362</v>
      </c>
      <c r="Y525" s="0" t="n">
        <f aca="false">(180/Pi)*(D525+H525+N525+P525+R525+T525+V525)</f>
        <v>-256.125031126909</v>
      </c>
      <c r="Z525" s="0" t="n">
        <f aca="false">Y525+180</f>
        <v>-76.1250311269089</v>
      </c>
      <c r="AC525" s="0" t="n">
        <v>1</v>
      </c>
      <c r="AD525" s="0" t="n">
        <f aca="false">Rcea1_u*Cc1ea_u*A525*2*Pi</f>
        <v>37.987133014152</v>
      </c>
      <c r="AE525" s="0" t="n">
        <f aca="false">-Rcea1_u*Cc1ea_u*Cc2ea_u*(A525*2*Pi)^2</f>
        <v>-0.0556721556572098</v>
      </c>
      <c r="AF525" s="0" t="n">
        <f aca="false">(Cc2ea_u+Cc1ea_u)*A525*2*Pi</f>
        <v>0.013189976741025</v>
      </c>
      <c r="AG525" s="0" t="n">
        <f aca="false">AC525*AE525/(AE525^2+AF525^2)+AD525*AF525/(AE525^2+AF525^2)</f>
        <v>136.061003471671</v>
      </c>
      <c r="AH525" s="0" t="n">
        <f aca="false">AD525*AE525/(AE525^2+AF525^2)-AC525*AF525/(AE525^2+AF525^2)</f>
        <v>-650.100415831717</v>
      </c>
      <c r="AJ525" s="0" t="n">
        <f aca="false">_Rfb1</f>
        <v>20000</v>
      </c>
      <c r="AK525" s="0" t="n">
        <f aca="false">_Rfb1*Rcea2_u*Cc3ea_u*A525*2*Pi</f>
        <v>2304240.08489136</v>
      </c>
      <c r="AL525" s="0" t="n">
        <v>1</v>
      </c>
      <c r="AM525" s="0" t="n">
        <f aca="false">(_Rfb1+Rcea2_u)*Cc3ea_u*A525*2*Pi</f>
        <v>43104.7658268446</v>
      </c>
      <c r="AN525" s="0" t="n">
        <f aca="false">AJ525*AL525/(AL525^2+AM525^2)+AK525*AM525/(AL525^2+AM525^2)</f>
        <v>53.4567466830314</v>
      </c>
      <c r="AO525" s="0" t="n">
        <f aca="false">AK525*AL525/(AL525^2+AM525^2)-AJ525*AM525/(AL525^2+AM525^2)</f>
        <v>-0.462745658645819</v>
      </c>
      <c r="AQ525" s="0" t="n">
        <f aca="false">Eadcg/(1+(Eadcg*A525/GBP)^2)</f>
        <v>0.00470846343091628</v>
      </c>
      <c r="AR525" s="0" t="n">
        <f aca="false">-(A525*Eadcg*Eadcg/GBP)/(1+(Eadcg*A525/GBP)^2)</f>
        <v>-3.85851515468443</v>
      </c>
      <c r="AT525" s="0" t="n">
        <f aca="false">-AR525*AH525+AG525*AQ525</f>
        <v>-2507.78166829411</v>
      </c>
      <c r="AU525" s="0" t="n">
        <f aca="false">AQ525*AH525+AG525*AR525</f>
        <v>-528.054417891381</v>
      </c>
      <c r="AV525" s="0" t="n">
        <f aca="false">ATAN2(AT525,AU525)</f>
        <v>-2.93405809789213</v>
      </c>
      <c r="AW525" s="0" t="n">
        <f aca="false">AG525-AH525*AO525/_Rfb2+AG525*AN525/_Rfb2+AN525-AO525*AR525+AQ525*AN525</f>
        <v>191.121584507857</v>
      </c>
      <c r="AX525" s="0" t="n">
        <f aca="false">AH525+AH525*AN525/_Rfb2+AG525*AO525/_Rfb2+AO525+AO525*AQ525+AN525*AR525</f>
        <v>-872.49585420682</v>
      </c>
      <c r="AY525" s="0" t="n">
        <f aca="false">ATAN2(AW525,AX525)</f>
        <v>-1.35515084920386</v>
      </c>
      <c r="BA525" s="0" t="n">
        <f aca="false">SQRT(AT525^2+AU525^2)/SQRT(AW525^2+AX525^2)</f>
        <v>2.86925858239197</v>
      </c>
      <c r="BB525" s="0" t="n">
        <f aca="false">20*LOG(BA525)</f>
        <v>9.15539378712579</v>
      </c>
      <c r="BC525" s="0" t="n">
        <f aca="false">AV525-AY525</f>
        <v>-1.57890724868827</v>
      </c>
      <c r="BD525" s="0" t="n">
        <f aca="false">BC525*180/Pi-180</f>
        <v>-270.464721695821</v>
      </c>
      <c r="BF525" s="0" t="n">
        <f aca="false">20*LOG(BA525*J525*F525*C525)</f>
        <v>-34.0225530360354</v>
      </c>
      <c r="BG525" s="0" t="n">
        <f aca="false">(180/Pi)*(D525+H525+BC525)</f>
        <v>-268.90665586975</v>
      </c>
      <c r="BH525" s="0" t="n">
        <f aca="false">IF(BG525&gt;180,BG525-180,BG525+180)</f>
        <v>-88.9066558697505</v>
      </c>
      <c r="BI525" s="0" t="n">
        <f aca="false">IF(BH525&gt;180,BH525-360,BH525)</f>
        <v>-88.9066558697505</v>
      </c>
      <c r="BJ525" s="0" t="n">
        <f aca="false">SUM((BF526&lt;0)*(BF525&gt;0))*A525</f>
        <v>0</v>
      </c>
      <c r="BK525" s="0" t="n">
        <f aca="false">IF(BJ525&gt;0,BI525,0)</f>
        <v>0</v>
      </c>
      <c r="BM525" s="0" t="n">
        <f aca="false">20*LOG(J525*F525*C525)</f>
        <v>-43.1779468231612</v>
      </c>
      <c r="BN525" s="0" t="n">
        <f aca="false">(H525+D525)*180/Pi</f>
        <v>-178.441934173929</v>
      </c>
      <c r="BQ525" s="347" t="n">
        <f aca="false">20*LOG(BA525*7)</f>
        <v>26.0573545874109</v>
      </c>
    </row>
    <row r="526" customFormat="false" ht="12.75" hidden="false" customHeight="false" outlineLevel="0" collapsed="false">
      <c r="A526" s="0" t="n">
        <f aca="false">A525+5000</f>
        <v>1560000</v>
      </c>
      <c r="B526" s="0" t="n">
        <f aca="false">A526/1000</f>
        <v>1560</v>
      </c>
      <c r="C526" s="0" t="n">
        <f aca="false">SQRT((A526/Fesr)^2+1)</f>
        <v>1.00004803618469</v>
      </c>
      <c r="D526" s="0" t="n">
        <f aca="false">ATAN(A526/Fesr)</f>
        <v>0.00980145518549487</v>
      </c>
      <c r="F526" s="0" t="n">
        <f aca="false">(Ro/(Ro+Rdcr))/SQRT((A526/(Q*Fo))^2+(1-(A526^2/Fo^2))^2)</f>
        <v>0.000765683477060276</v>
      </c>
      <c r="G526" s="0" t="n">
        <f aca="false">-ATAN(A526*Fo/(Q*(Fo^2-A526^2)))</f>
        <v>0.0173674172418381</v>
      </c>
      <c r="H526" s="0" t="n">
        <f aca="false">IF(G526&gt;0,G526-Pi,G526)</f>
        <v>-3.12422523275816</v>
      </c>
      <c r="J526" s="0" t="n">
        <f aca="false">Vin/Vramp</f>
        <v>9</v>
      </c>
      <c r="M526" s="0" t="n">
        <f aca="false">1/(2*Pi*_Rfb1*(Cc1ea_u+Cc2ea_u)*A526)</f>
        <v>0.00377860739016516</v>
      </c>
      <c r="N526" s="0" t="n">
        <f aca="false">-Pi/2</f>
        <v>-1.570796325</v>
      </c>
      <c r="O526" s="0" t="n">
        <f aca="false">SQRT(1+(A526/Fz1_u)^2)</f>
        <v>38.1223960432221</v>
      </c>
      <c r="P526" s="0" t="n">
        <f aca="false">ATAN2(Fz1_u,A526)</f>
        <v>1.54456201784508</v>
      </c>
      <c r="Q526" s="0" t="n">
        <f aca="false">SQRT(1+(A526/Fz2_u)^2)</f>
        <v>43243.3663716123</v>
      </c>
      <c r="R526" s="0" t="n">
        <f aca="false">ATAN2(Fz2_u,A526)</f>
        <v>1.57077320186074</v>
      </c>
      <c r="S526" s="0" t="n">
        <f aca="false">1/SQRT(1+(A526/Fp1_u)^2)</f>
        <v>0.00865150791610196</v>
      </c>
      <c r="T526" s="0" t="n">
        <f aca="false">-ATAN2(Fp1_u,A526)</f>
        <v>-1.56214471094963</v>
      </c>
      <c r="U526" s="0" t="n">
        <f aca="false">1/SQRT(1+(A526/Fp2_u)^2)</f>
        <v>0.229840481456925</v>
      </c>
      <c r="V526" s="0" t="n">
        <f aca="false">-ATAN2(Fp2_u,A526)</f>
        <v>-1.33888255370426</v>
      </c>
      <c r="X526" s="0" t="n">
        <f aca="false">20*LOG(C526*J526*O526*Q526*F526*M526*S526*U526)</f>
        <v>-21.374751359594</v>
      </c>
      <c r="Y526" s="0" t="n">
        <f aca="false">(180/Pi)*(D526+H526+N526+P526+R526+T526+V526)</f>
        <v>-256.16439691942</v>
      </c>
      <c r="Z526" s="0" t="n">
        <f aca="false">Y526+180</f>
        <v>-76.1643969194203</v>
      </c>
      <c r="AC526" s="0" t="n">
        <v>1</v>
      </c>
      <c r="AD526" s="0" t="n">
        <f aca="false">Rcea1_u*Cc1ea_u*A526*2*Pi</f>
        <v>38.109278136384</v>
      </c>
      <c r="AE526" s="0" t="n">
        <f aca="false">-Rcea1_u*Cc1ea_u*Cc2ea_u*(A526*2*Pi)^2</f>
        <v>-0.0560307515461526</v>
      </c>
      <c r="AF526" s="0" t="n">
        <f aca="false">(Cc2ea_u+Cc1ea_u)*A526*2*Pi</f>
        <v>0.0132323882418</v>
      </c>
      <c r="AG526" s="0" t="n">
        <f aca="false">AC526*AE526/(AE526^2+AF526^2)+AD526*AF526/(AE526^2+AF526^2)</f>
        <v>135.236216105859</v>
      </c>
      <c r="AH526" s="0" t="n">
        <f aca="false">AD526*AE526/(AE526^2+AF526^2)-AC526*AF526/(AE526^2+AF526^2)</f>
        <v>-648.211544880005</v>
      </c>
      <c r="AJ526" s="0" t="n">
        <f aca="false">_Rfb1</f>
        <v>20000</v>
      </c>
      <c r="AK526" s="0" t="n">
        <f aca="false">_Rfb1*Rcea2_u*Cc3ea_u*A526*2*Pi</f>
        <v>2311649.21699712</v>
      </c>
      <c r="AL526" s="0" t="n">
        <v>1</v>
      </c>
      <c r="AM526" s="0" t="n">
        <f aca="false">(_Rfb1+Rcea2_u)*Cc3ea_u*A526*2*Pi</f>
        <v>43243.3663600499</v>
      </c>
      <c r="AN526" s="0" t="n">
        <f aca="false">AJ526*AL526/(AL526^2+AM526^2)+AK526*AM526/(AL526^2+AM526^2)</f>
        <v>53.4567466143252</v>
      </c>
      <c r="AO526" s="0" t="n">
        <f aca="false">AK526*AL526/(AL526^2+AM526^2)-AJ526*AM526/(AL526^2+AM526^2)</f>
        <v>-0.461262499485081</v>
      </c>
      <c r="AQ526" s="0" t="n">
        <f aca="false">Eadcg/(1+(Eadcg*A526/GBP)^2)</f>
        <v>0.00467832938693415</v>
      </c>
      <c r="AR526" s="0" t="n">
        <f aca="false">-(A526*Eadcg*Eadcg/GBP)/(1+(Eadcg*A526/GBP)^2)</f>
        <v>-3.8461481555863</v>
      </c>
      <c r="AT526" s="0" t="n">
        <f aca="false">-AR526*AH526+AG526*AQ526</f>
        <v>-2492.48495820599</v>
      </c>
      <c r="AU526" s="0" t="n">
        <f aca="false">AQ526*AH526+AG526*AR526</f>
        <v>-523.171070263383</v>
      </c>
      <c r="AV526" s="0" t="n">
        <f aca="false">ATAN2(AT526,AU526)</f>
        <v>-2.93469682260859</v>
      </c>
      <c r="AW526" s="0" t="n">
        <f aca="false">AG526-AH526*AO526/_Rfb2+AG526*AN526/_Rfb2+AN526-AO526*AR526+AQ526*AN526</f>
        <v>190.287598684193</v>
      </c>
      <c r="AX526" s="0" t="n">
        <f aca="false">AH526+AH526*AN526/_Rfb2+AG526*AO526/_Rfb2+AO526+AO526*AQ526+AN526*AR526</f>
        <v>-869.898679577715</v>
      </c>
      <c r="AY526" s="0" t="n">
        <f aca="false">ATAN2(AW526,AX526)</f>
        <v>-1.35544163027991</v>
      </c>
      <c r="BA526" s="0" t="n">
        <f aca="false">SQRT(AT526^2+AU526^2)/SQRT(AW526^2+AX526^2)</f>
        <v>2.86006918338793</v>
      </c>
      <c r="BB526" s="0" t="n">
        <f aca="false">20*LOG(BA526)</f>
        <v>9.12753077167329</v>
      </c>
      <c r="BC526" s="0" t="n">
        <f aca="false">AV526-AY526</f>
        <v>-1.57925519232868</v>
      </c>
      <c r="BD526" s="0" t="n">
        <f aca="false">BC526*180/Pi-180</f>
        <v>-270.484657397948</v>
      </c>
      <c r="BF526" s="0" t="n">
        <f aca="false">20*LOG(BA526*J526*F526*C526)</f>
        <v>-34.1062163043774</v>
      </c>
      <c r="BG526" s="0" t="n">
        <f aca="false">(180/Pi)*(D526+H526+BC526)</f>
        <v>-268.927995671954</v>
      </c>
      <c r="BH526" s="0" t="n">
        <f aca="false">IF(BG526&gt;180,BG526-180,BG526+180)</f>
        <v>-88.9279956719538</v>
      </c>
      <c r="BI526" s="0" t="n">
        <f aca="false">IF(BH526&gt;180,BH526-360,BH526)</f>
        <v>-88.9279956719538</v>
      </c>
      <c r="BJ526" s="0" t="n">
        <f aca="false">SUM((BF527&lt;0)*(BF526&gt;0))*A526</f>
        <v>0</v>
      </c>
      <c r="BK526" s="0" t="n">
        <f aca="false">IF(BJ526&gt;0,BI526,0)</f>
        <v>0</v>
      </c>
      <c r="BM526" s="0" t="n">
        <f aca="false">20*LOG(J526*F526*C526)</f>
        <v>-43.2337470760507</v>
      </c>
      <c r="BN526" s="0" t="n">
        <f aca="false">(H526+D526)*180/Pi</f>
        <v>-178.443338274006</v>
      </c>
      <c r="BQ526" s="347" t="n">
        <f aca="false">20*LOG(BA526*7)</f>
        <v>26.0294915719584</v>
      </c>
    </row>
    <row r="527" customFormat="false" ht="12.75" hidden="false" customHeight="false" outlineLevel="0" collapsed="false">
      <c r="A527" s="0" t="n">
        <f aca="false">A526+5000</f>
        <v>1565000</v>
      </c>
      <c r="B527" s="0" t="n">
        <f aca="false">A527/1000</f>
        <v>1565</v>
      </c>
      <c r="C527" s="0" t="n">
        <f aca="false">SQRT((A527/Fesr)^2+1)</f>
        <v>1.00004834459497</v>
      </c>
      <c r="D527" s="0" t="n">
        <f aca="false">ATAN(A527/Fesr)</f>
        <v>0.0098328680843274</v>
      </c>
      <c r="F527" s="0" t="n">
        <f aca="false">(Ro/(Ro+Rdcr))/SQRT((A527/(Q*Fo))^2+(1-(A527^2/Fo^2))^2)</f>
        <v>0.000760795734141444</v>
      </c>
      <c r="G527" s="0" t="n">
        <f aca="false">-ATAN(A527*Fo/(Q*(Fo^2-A527^2)))</f>
        <v>0.0173118561813166</v>
      </c>
      <c r="H527" s="0" t="n">
        <f aca="false">IF(G527&gt;0,G527-Pi,G527)</f>
        <v>-3.12428079381868</v>
      </c>
      <c r="J527" s="0" t="n">
        <f aca="false">Vin/Vramp</f>
        <v>9</v>
      </c>
      <c r="M527" s="0" t="n">
        <f aca="false">1/(2*Pi*_Rfb1*(Cc1ea_u+Cc2ea_u)*A527)</f>
        <v>0.00376653516208156</v>
      </c>
      <c r="N527" s="0" t="n">
        <f aca="false">-Pi/2</f>
        <v>-1.570796325</v>
      </c>
      <c r="O527" s="0" t="n">
        <f aca="false">SQRT(1+(A527/Fz1_u)^2)</f>
        <v>38.2444992695609</v>
      </c>
      <c r="P527" s="0" t="n">
        <f aca="false">ATAN2(Fz1_u,A527)</f>
        <v>1.54464579526108</v>
      </c>
      <c r="Q527" s="0" t="n">
        <f aca="false">SQRT(1+(A527/Fz2_u)^2)</f>
        <v>43381.9669047807</v>
      </c>
      <c r="R527" s="0" t="n">
        <f aca="false">ATAN2(Fz2_u,A527)</f>
        <v>1.57077327574232</v>
      </c>
      <c r="S527" s="0" t="n">
        <f aca="false">1/SQRT(1+(A527/Fp1_u)^2)</f>
        <v>0.0086238693746876</v>
      </c>
      <c r="T527" s="0" t="n">
        <f aca="false">-ATAN2(Fp1_u,A527)</f>
        <v>-1.56217235052216</v>
      </c>
      <c r="U527" s="0" t="n">
        <f aca="false">1/SQRT(1+(A527/Fp2_u)^2)</f>
        <v>0.229144782257197</v>
      </c>
      <c r="V527" s="0" t="n">
        <f aca="false">-ATAN2(Fp2_u,A527)</f>
        <v>-1.33959733001616</v>
      </c>
      <c r="X527" s="0" t="n">
        <f aca="false">20*LOG(C527*J527*O527*Q527*F527*M527*S527*U527)</f>
        <v>-21.4567208060256</v>
      </c>
      <c r="Y527" s="0" t="n">
        <f aca="false">(180/Pi)*(D527+H527+N527+P527+R527+T527+V527)</f>
        <v>-256.203513478576</v>
      </c>
      <c r="Z527" s="0" t="n">
        <f aca="false">Y527+180</f>
        <v>-76.2035134785756</v>
      </c>
      <c r="AC527" s="0" t="n">
        <v>1</v>
      </c>
      <c r="AD527" s="0" t="n">
        <f aca="false">Rcea1_u*Cc1ea_u*A527*2*Pi</f>
        <v>38.231423258616</v>
      </c>
      <c r="AE527" s="0" t="n">
        <f aca="false">-Rcea1_u*Cc1ea_u*Cc2ea_u*(A527*2*Pi)^2</f>
        <v>-0.0563904986257502</v>
      </c>
      <c r="AF527" s="0" t="n">
        <f aca="false">(Cc2ea_u+Cc1ea_u)*A527*2*Pi</f>
        <v>0.013274799742575</v>
      </c>
      <c r="AG527" s="0" t="n">
        <f aca="false">AC527*AE527/(AE527^2+AF527^2)+AD527*AF527/(AE527^2+AF527^2)</f>
        <v>134.418767963387</v>
      </c>
      <c r="AH527" s="0" t="n">
        <f aca="false">AD527*AE527/(AE527^2+AF527^2)-AC527*AF527/(AE527^2+AF527^2)</f>
        <v>-646.33301567607</v>
      </c>
      <c r="AJ527" s="0" t="n">
        <f aca="false">_Rfb1</f>
        <v>20000</v>
      </c>
      <c r="AK527" s="0" t="n">
        <f aca="false">_Rfb1*Rcea2_u*Cc3ea_u*A527*2*Pi</f>
        <v>2319058.34910288</v>
      </c>
      <c r="AL527" s="0" t="n">
        <v>1</v>
      </c>
      <c r="AM527" s="0" t="n">
        <f aca="false">(_Rfb1+Rcea2_u)*Cc3ea_u*A527*2*Pi</f>
        <v>43381.9668932551</v>
      </c>
      <c r="AN527" s="0" t="n">
        <f aca="false">AJ527*AL527/(AL527^2+AM527^2)+AK527*AM527/(AL527^2+AM527^2)</f>
        <v>53.4567465462765</v>
      </c>
      <c r="AO527" s="0" t="n">
        <f aca="false">AK527*AL527/(AL527^2+AM527^2)-AJ527*AM527/(AL527^2+AM527^2)</f>
        <v>-0.459788817379669</v>
      </c>
      <c r="AQ527" s="0" t="n">
        <f aca="false">Eadcg/(1+(Eadcg*A527/GBP)^2)</f>
        <v>0.00464848370546041</v>
      </c>
      <c r="AR527" s="0" t="n">
        <f aca="false">-(A527*Eadcg*Eadcg/GBP)/(1+(Eadcg*A527/GBP)^2)</f>
        <v>-3.833860178497</v>
      </c>
      <c r="AT527" s="0" t="n">
        <f aca="false">-AR527*AH527+AG527*AQ527</f>
        <v>-2477.32556739578</v>
      </c>
      <c r="AU527" s="0" t="n">
        <f aca="false">AQ527*AH527+AG527*AR527</f>
        <v>-518.34723022913</v>
      </c>
      <c r="AV527" s="0" t="n">
        <f aca="false">ATAN2(AT527,AU527)</f>
        <v>-2.93533170765671</v>
      </c>
      <c r="AW527" s="0" t="n">
        <f aca="false">AG527-AH527*AO527/_Rfb2+AG527*AN527/_Rfb2+AN527-AO527*AR527+AQ527*AN527</f>
        <v>189.461027280188</v>
      </c>
      <c r="AX527" s="0" t="n">
        <f aca="false">AH527+AH527*AN527/_Rfb2+AG527*AO527/_Rfb2+AO527+AO527*AQ527+AN527*AR527</f>
        <v>-867.31633267248</v>
      </c>
      <c r="AY527" s="0" t="n">
        <f aca="false">ATAN2(AW527,AX527)</f>
        <v>-1.35572959524404</v>
      </c>
      <c r="BA527" s="0" t="n">
        <f aca="false">SQRT(AT527^2+AU527^2)/SQRT(AW527^2+AX527^2)</f>
        <v>2.85093803847201</v>
      </c>
      <c r="BB527" s="0" t="n">
        <f aca="false">20*LOG(BA527)</f>
        <v>9.09975557142865</v>
      </c>
      <c r="BC527" s="0" t="n">
        <f aca="false">AV527-AY527</f>
        <v>-1.57960211241267</v>
      </c>
      <c r="BD527" s="0" t="n">
        <f aca="false">BC527*180/Pi-180</f>
        <v>-270.504534454612</v>
      </c>
      <c r="BF527" s="0" t="n">
        <f aca="false">20*LOG(BA527*J527*F527*C527)</f>
        <v>-34.1896129580555</v>
      </c>
      <c r="BG527" s="0" t="n">
        <f aca="false">(180/Pi)*(D527+H527+BC527)</f>
        <v>-268.949256316367</v>
      </c>
      <c r="BH527" s="0" t="n">
        <f aca="false">IF(BG527&gt;180,BG527-180,BG527+180)</f>
        <v>-88.9492563163671</v>
      </c>
      <c r="BI527" s="0" t="n">
        <f aca="false">IF(BH527&gt;180,BH527-360,BH527)</f>
        <v>-88.9492563163671</v>
      </c>
      <c r="BJ527" s="0" t="n">
        <f aca="false">SUM((BF528&lt;0)*(BF527&gt;0))*A527</f>
        <v>0</v>
      </c>
      <c r="BK527" s="0" t="n">
        <f aca="false">IF(BJ527&gt;0,BI527,0)</f>
        <v>0</v>
      </c>
      <c r="BM527" s="0" t="n">
        <f aca="false">20*LOG(J527*F527*C527)</f>
        <v>-43.2893685294842</v>
      </c>
      <c r="BN527" s="0" t="n">
        <f aca="false">(H527+D527)*180/Pi</f>
        <v>-178.444721861755</v>
      </c>
      <c r="BQ527" s="347" t="n">
        <f aca="false">20*LOG(BA527*7)</f>
        <v>26.0017163717138</v>
      </c>
    </row>
    <row r="528" customFormat="false" ht="12.75" hidden="false" customHeight="false" outlineLevel="0" collapsed="false">
      <c r="A528" s="0" t="n">
        <f aca="false">A527+5000</f>
        <v>1570000</v>
      </c>
      <c r="B528" s="0" t="n">
        <f aca="false">A528/1000</f>
        <v>1570</v>
      </c>
      <c r="C528" s="0" t="n">
        <f aca="false">SQRT((A528/Fesr)^2+1)</f>
        <v>1.00004865399206</v>
      </c>
      <c r="D528" s="0" t="n">
        <f aca="false">ATAN(A528/Fesr)</f>
        <v>0.00986428096375376</v>
      </c>
      <c r="F528" s="0" t="n">
        <f aca="false">(Ro/(Ro+Rdcr))/SQRT((A528/(Q*Fo))^2+(1-(A528^2/Fo^2))^2)</f>
        <v>0.000755954653150062</v>
      </c>
      <c r="G528" s="0" t="n">
        <f aca="false">-ATAN(A528*Fo/(Q*(Fo^2-A528^2)))</f>
        <v>0.0172566497180528</v>
      </c>
      <c r="H528" s="0" t="n">
        <f aca="false">IF(G528&gt;0,G528-Pi,G528)</f>
        <v>-3.12433600028195</v>
      </c>
      <c r="J528" s="0" t="n">
        <f aca="false">Vin/Vramp</f>
        <v>9</v>
      </c>
      <c r="M528" s="0" t="n">
        <f aca="false">1/(2*Pi*_Rfb1*(Cc1ea_u+Cc2ea_u)*A528)</f>
        <v>0.00375453982717047</v>
      </c>
      <c r="N528" s="0" t="n">
        <f aca="false">-Pi/2</f>
        <v>-1.570796325</v>
      </c>
      <c r="O528" s="0" t="n">
        <f aca="false">SQRT(1+(A528/Fz1_u)^2)</f>
        <v>38.3666027626161</v>
      </c>
      <c r="P528" s="0" t="n">
        <f aca="false">ATAN2(Fz1_u,A528)</f>
        <v>1.54472903942663</v>
      </c>
      <c r="Q528" s="0" t="n">
        <f aca="false">SQRT(1+(A528/Fz2_u)^2)</f>
        <v>43520.5674379493</v>
      </c>
      <c r="R528" s="0" t="n">
        <f aca="false">ATAN2(Fz2_u,A528)</f>
        <v>1.57077334915331</v>
      </c>
      <c r="S528" s="0" t="n">
        <f aca="false">1/SQRT(1+(A528/Fp1_u)^2)</f>
        <v>0.00859640685536208</v>
      </c>
      <c r="T528" s="0" t="n">
        <f aca="false">-ATAN2(Fp1_u,A528)</f>
        <v>-1.5621998140595</v>
      </c>
      <c r="U528" s="0" t="n">
        <f aca="false">1/SQRT(1+(A528/Fp2_u)^2)</f>
        <v>0.228453166278461</v>
      </c>
      <c r="V528" s="0" t="n">
        <f aca="false">-ATAN2(Fp2_u,A528)</f>
        <v>-1.34030779194363</v>
      </c>
      <c r="X528" s="0" t="n">
        <f aca="false">20*LOG(C528*J528*O528*Q528*F528*M528*S528*U528)</f>
        <v>-21.5384372508788</v>
      </c>
      <c r="Y528" s="0" t="n">
        <f aca="false">(180/Pi)*(D528+H528+N528+P528+R528+T528+V528)</f>
        <v>-256.242383019787</v>
      </c>
      <c r="Z528" s="0" t="n">
        <f aca="false">Y528+180</f>
        <v>-76.2423830197868</v>
      </c>
      <c r="AC528" s="0" t="n">
        <v>1</v>
      </c>
      <c r="AD528" s="0" t="n">
        <f aca="false">Rcea1_u*Cc1ea_u*A528*2*Pi</f>
        <v>38.353568380848</v>
      </c>
      <c r="AE528" s="0" t="n">
        <f aca="false">-Rcea1_u*Cc1ea_u*Cc2ea_u*(A528*2*Pi)^2</f>
        <v>-0.0567513968960025</v>
      </c>
      <c r="AF528" s="0" t="n">
        <f aca="false">(Cc2ea_u+Cc1ea_u)*A528*2*Pi</f>
        <v>0.01331721124335</v>
      </c>
      <c r="AG528" s="0" t="n">
        <f aca="false">AC528*AE528/(AE528^2+AF528^2)+AD528*AF528/(AE528^2+AF528^2)</f>
        <v>133.608573907594</v>
      </c>
      <c r="AH528" s="0" t="n">
        <f aca="false">AD528*AE528/(AE528^2+AF528^2)-AC528*AF528/(AE528^2+AF528^2)</f>
        <v>-644.464749391466</v>
      </c>
      <c r="AJ528" s="0" t="n">
        <f aca="false">_Rfb1</f>
        <v>20000</v>
      </c>
      <c r="AK528" s="0" t="n">
        <f aca="false">_Rfb1*Rcea2_u*Cc3ea_u*A528*2*Pi</f>
        <v>2326467.48120864</v>
      </c>
      <c r="AL528" s="0" t="n">
        <v>1</v>
      </c>
      <c r="AM528" s="0" t="n">
        <f aca="false">(_Rfb1+Rcea2_u)*Cc3ea_u*A528*2*Pi</f>
        <v>43520.5674264604</v>
      </c>
      <c r="AN528" s="0" t="n">
        <f aca="false">AJ528*AL528/(AL528^2+AM528^2)+AK528*AM528/(AL528^2+AM528^2)</f>
        <v>53.4567464788769</v>
      </c>
      <c r="AO528" s="0" t="n">
        <f aca="false">AK528*AL528/(AL528^2+AM528^2)-AJ528*AM528/(AL528^2+AM528^2)</f>
        <v>-0.458324521784467</v>
      </c>
      <c r="AQ528" s="0" t="n">
        <f aca="false">Eadcg/(1+(Eadcg*A528/GBP)^2)</f>
        <v>0.00461892271895189</v>
      </c>
      <c r="AR528" s="0" t="n">
        <f aca="false">-(A528*Eadcg*Eadcg/GBP)/(1+(Eadcg*A528/GBP)^2)</f>
        <v>-3.82165046843361</v>
      </c>
      <c r="AT528" s="0" t="n">
        <f aca="false">-AR528*AH528+AG528*AQ528</f>
        <v>-2462.30188372337</v>
      </c>
      <c r="AU528" s="0" t="n">
        <f aca="false">AQ528*AH528+AG528*AR528</f>
        <v>-513.582001933232</v>
      </c>
      <c r="AV528" s="0" t="n">
        <f aca="false">ATAN2(AT528,AU528)</f>
        <v>-2.93596278681833</v>
      </c>
      <c r="AW528" s="0" t="n">
        <f aca="false">AG528-AH528*AO528/_Rfb2+AG528*AN528/_Rfb2+AN528-AO528*AR528+AQ528*AN528</f>
        <v>188.641784393011</v>
      </c>
      <c r="AX528" s="0" t="n">
        <f aca="false">AH528+AH528*AN528/_Rfb2+AG528*AO528/_Rfb2+AO528+AO528*AQ528+AN528*AR528</f>
        <v>-864.748692264574</v>
      </c>
      <c r="AY528" s="0" t="n">
        <f aca="false">ATAN2(AW528,AX528)</f>
        <v>-1.35601476823241</v>
      </c>
      <c r="BA528" s="0" t="n">
        <f aca="false">SQRT(AT528^2+AU528^2)/SQRT(AW528^2+AX528^2)</f>
        <v>2.8418645956787</v>
      </c>
      <c r="BB528" s="0" t="n">
        <f aca="false">20*LOG(BA528)</f>
        <v>9.07206763122048</v>
      </c>
      <c r="BC528" s="0" t="n">
        <f aca="false">AV528-AY528</f>
        <v>-1.57994801858591</v>
      </c>
      <c r="BD528" s="0" t="n">
        <f aca="false">BC528*180/Pi-180</f>
        <v>-270.524353418469</v>
      </c>
      <c r="BF528" s="0" t="n">
        <f aca="false">20*LOG(BA528*J528*F528*C528)</f>
        <v>-34.2727446949635</v>
      </c>
      <c r="BG528" s="0" t="n">
        <f aca="false">(180/Pi)*(D528+H528+BC528)</f>
        <v>-268.970438552159</v>
      </c>
      <c r="BH528" s="0" t="n">
        <f aca="false">IF(BG528&gt;180,BG528-180,BG528+180)</f>
        <v>-88.9704385521588</v>
      </c>
      <c r="BI528" s="0" t="n">
        <f aca="false">IF(BH528&gt;180,BH528-360,BH528)</f>
        <v>-88.9704385521588</v>
      </c>
      <c r="BJ528" s="0" t="n">
        <f aca="false">SUM((BF529&lt;0)*(BF528&gt;0))*A528</f>
        <v>0</v>
      </c>
      <c r="BK528" s="0" t="n">
        <f aca="false">IF(BJ528&gt;0,BI528,0)</f>
        <v>0</v>
      </c>
      <c r="BM528" s="0" t="n">
        <f aca="false">20*LOG(J528*F528*C528)</f>
        <v>-43.344812326184</v>
      </c>
      <c r="BN528" s="0" t="n">
        <f aca="false">(H528+D528)*180/Pi</f>
        <v>-178.44608513369</v>
      </c>
      <c r="BQ528" s="347" t="n">
        <f aca="false">20*LOG(BA528*7)</f>
        <v>25.9740284315056</v>
      </c>
    </row>
    <row r="529" customFormat="false" ht="12.75" hidden="false" customHeight="false" outlineLevel="0" collapsed="false">
      <c r="A529" s="0" t="n">
        <f aca="false">A528+5000</f>
        <v>1575000</v>
      </c>
      <c r="B529" s="0" t="n">
        <f aca="false">A529/1000</f>
        <v>1575</v>
      </c>
      <c r="C529" s="0" t="n">
        <f aca="false">SQRT((A529/Fesr)^2+1)</f>
        <v>1.00004896437597</v>
      </c>
      <c r="D529" s="0" t="n">
        <f aca="false">ATAN(A529/Fesr)</f>
        <v>0.00989569382371197</v>
      </c>
      <c r="F529" s="0" t="n">
        <f aca="false">(Ro/(Ro+Rdcr))/SQRT((A529/(Q*Fo))^2+(1-(A529^2/Fo^2))^2)</f>
        <v>0.000751159641893264</v>
      </c>
      <c r="G529" s="0" t="n">
        <f aca="false">-ATAN(A529*Fo/(Q*(Fo^2-A529^2)))</f>
        <v>0.01720179446601</v>
      </c>
      <c r="H529" s="0" t="n">
        <f aca="false">IF(G529&gt;0,G529-Pi,G529)</f>
        <v>-3.12439085553399</v>
      </c>
      <c r="J529" s="0" t="n">
        <f aca="false">Vin/Vramp</f>
        <v>9</v>
      </c>
      <c r="M529" s="0" t="n">
        <f aca="false">1/(2*Pi*_Rfb1*(Cc1ea_u+Cc2ea_u)*A529)</f>
        <v>0.00374262065311596</v>
      </c>
      <c r="N529" s="0" t="n">
        <f aca="false">-Pi/2</f>
        <v>-1.570796325</v>
      </c>
      <c r="O529" s="0" t="n">
        <f aca="false">SQRT(1+(A529/Fz1_u)^2)</f>
        <v>38.4887065198493</v>
      </c>
      <c r="P529" s="0" t="n">
        <f aca="false">ATAN2(Fz1_u,A529)</f>
        <v>1.54481175541573</v>
      </c>
      <c r="Q529" s="0" t="n">
        <f aca="false">SQRT(1+(A529/Fz2_u)^2)</f>
        <v>43659.1679711181</v>
      </c>
      <c r="R529" s="0" t="n">
        <f aca="false">ATAN2(Fz2_u,A529)</f>
        <v>1.57077342209821</v>
      </c>
      <c r="S529" s="0" t="n">
        <f aca="false">1/SQRT(1+(A529/Fp1_u)^2)</f>
        <v>0.00856911868197193</v>
      </c>
      <c r="T529" s="0" t="n">
        <f aca="false">-ATAN2(Fp1_u,A529)</f>
        <v>-1.56222710323802</v>
      </c>
      <c r="U529" s="0" t="n">
        <f aca="false">1/SQRT(1+(A529/Fp2_u)^2)</f>
        <v>0.227765598744645</v>
      </c>
      <c r="V529" s="0" t="n">
        <f aca="false">-ATAN2(Fp2_u,A529)</f>
        <v>-1.34101397772075</v>
      </c>
      <c r="X529" s="0" t="n">
        <f aca="false">20*LOG(C529*J529*O529*Q529*F529*M529*S529*U529)</f>
        <v>-21.6199022283069</v>
      </c>
      <c r="Y529" s="0" t="n">
        <f aca="false">(180/Pi)*(D529+H529+N529+P529+R529+T529+V529)</f>
        <v>-256.281007732788</v>
      </c>
      <c r="Z529" s="0" t="n">
        <f aca="false">Y529+180</f>
        <v>-76.2810077327883</v>
      </c>
      <c r="AC529" s="0" t="n">
        <v>1</v>
      </c>
      <c r="AD529" s="0" t="n">
        <f aca="false">Rcea1_u*Cc1ea_u*A529*2*Pi</f>
        <v>38.47571350308</v>
      </c>
      <c r="AE529" s="0" t="n">
        <f aca="false">-Rcea1_u*Cc1ea_u*Cc2ea_u*(A529*2*Pi)^2</f>
        <v>-0.0571134463569094</v>
      </c>
      <c r="AF529" s="0" t="n">
        <f aca="false">(Cc2ea_u+Cc1ea_u)*A529*2*Pi</f>
        <v>0.013359622744125</v>
      </c>
      <c r="AG529" s="0" t="n">
        <f aca="false">AC529*AE529/(AE529^2+AF529^2)+AD529*AF529/(AE529^2+AF529^2)</f>
        <v>132.805550007058</v>
      </c>
      <c r="AH529" s="0" t="n">
        <f aca="false">AD529*AE529/(AE529^2+AF529^2)-AC529*AF529/(AE529^2+AF529^2)</f>
        <v>-642.606667916821</v>
      </c>
      <c r="AJ529" s="0" t="n">
        <f aca="false">_Rfb1</f>
        <v>20000</v>
      </c>
      <c r="AK529" s="0" t="n">
        <f aca="false">_Rfb1*Rcea2_u*Cc3ea_u*A529*2*Pi</f>
        <v>2333876.6133144</v>
      </c>
      <c r="AL529" s="0" t="n">
        <v>1</v>
      </c>
      <c r="AM529" s="0" t="n">
        <f aca="false">(_Rfb1+Rcea2_u)*Cc3ea_u*A529*2*Pi</f>
        <v>43659.1679596657</v>
      </c>
      <c r="AN529" s="0" t="n">
        <f aca="false">AJ529*AL529/(AL529^2+AM529^2)+AK529*AM529/(AL529^2+AM529^2)</f>
        <v>53.4567464121181</v>
      </c>
      <c r="AO529" s="0" t="n">
        <f aca="false">AK529*AL529/(AL529^2+AM529^2)-AJ529*AM529/(AL529^2+AM529^2)</f>
        <v>-0.456869523304141</v>
      </c>
      <c r="AQ529" s="0" t="n">
        <f aca="false">Eadcg/(1+(Eadcg*A529/GBP)^2)</f>
        <v>0.00458964281798767</v>
      </c>
      <c r="AR529" s="0" t="n">
        <f aca="false">-(A529*Eadcg*Eadcg/GBP)/(1+(Eadcg*A529/GBP)^2)</f>
        <v>-3.80951828000022</v>
      </c>
      <c r="AT529" s="0" t="n">
        <f aca="false">-AR529*AH529+AG529*AQ529</f>
        <v>-2447.41231824038</v>
      </c>
      <c r="AU529" s="0" t="n">
        <f aca="false">AQ529*AH529+AG529*AR529</f>
        <v>-508.874505515565</v>
      </c>
      <c r="AV529" s="0" t="n">
        <f aca="false">ATAN2(AT529,AU529)</f>
        <v>-2.93659009348927</v>
      </c>
      <c r="AW529" s="0" t="n">
        <f aca="false">AG529-AH529*AO529/_Rfb2+AG529*AN529/_Rfb2+AN529-AO529*AR529+AQ529*AN529</f>
        <v>187.82978533388</v>
      </c>
      <c r="AX529" s="0" t="n">
        <f aca="false">AH529+AH529*AN529/_Rfb2+AG529*AO529/_Rfb2+AO529+AO529*AQ529+AN529*AR529</f>
        <v>-862.195638378402</v>
      </c>
      <c r="AY529" s="0" t="n">
        <f aca="false">ATAN2(AW529,AX529)</f>
        <v>-1.35629717311659</v>
      </c>
      <c r="BA529" s="0" t="n">
        <f aca="false">SQRT(AT529^2+AU529^2)/SQRT(AW529^2+AX529^2)</f>
        <v>2.83284830997957</v>
      </c>
      <c r="BB529" s="0" t="n">
        <f aca="false">20*LOG(BA529)</f>
        <v>9.04446640108588</v>
      </c>
      <c r="BC529" s="0" t="n">
        <f aca="false">AV529-AY529</f>
        <v>-1.58029292037268</v>
      </c>
      <c r="BD529" s="0" t="n">
        <f aca="false">BC529*180/Pi-180</f>
        <v>-270.54411483522</v>
      </c>
      <c r="BF529" s="0" t="n">
        <f aca="false">20*LOG(BA529*J529*F529*C529)</f>
        <v>-34.3556131968595</v>
      </c>
      <c r="BG529" s="0" t="n">
        <f aca="false">(180/Pi)*(D529+H529+BC529)</f>
        <v>-268.991543119039</v>
      </c>
      <c r="BH529" s="0" t="n">
        <f aca="false">IF(BG529&gt;180,BG529-180,BG529+180)</f>
        <v>-88.9915431190394</v>
      </c>
      <c r="BI529" s="0" t="n">
        <f aca="false">IF(BH529&gt;180,BH529-360,BH529)</f>
        <v>-88.9915431190394</v>
      </c>
      <c r="BJ529" s="0" t="n">
        <f aca="false">SUM((BF530&lt;0)*(BF529&gt;0))*A529</f>
        <v>0</v>
      </c>
      <c r="BK529" s="0" t="n">
        <f aca="false">IF(BJ529&gt;0,BI529,0)</f>
        <v>0</v>
      </c>
      <c r="BM529" s="0" t="n">
        <f aca="false">20*LOG(J529*F529*C529)</f>
        <v>-43.4000795979454</v>
      </c>
      <c r="BN529" s="0" t="n">
        <f aca="false">(H529+D529)*180/Pi</f>
        <v>-178.44742828382</v>
      </c>
      <c r="BQ529" s="347" t="n">
        <f aca="false">20*LOG(BA529*7)</f>
        <v>25.946427201371</v>
      </c>
    </row>
    <row r="530" customFormat="false" ht="12.75" hidden="false" customHeight="false" outlineLevel="0" collapsed="false">
      <c r="A530" s="0" t="n">
        <f aca="false">A529+5000</f>
        <v>1580000</v>
      </c>
      <c r="B530" s="0" t="n">
        <f aca="false">A530/1000</f>
        <v>1580</v>
      </c>
      <c r="C530" s="0" t="n">
        <f aca="false">SQRT((A530/Fesr)^2+1)</f>
        <v>1.00004927574669</v>
      </c>
      <c r="D530" s="0" t="n">
        <f aca="false">ATAN(A530/Fesr)</f>
        <v>0.00992710666414005</v>
      </c>
      <c r="F530" s="0" t="n">
        <f aca="false">(Ro/(Ro+Rdcr))/SQRT((A530/(Q*Fo))^2+(1-(A530^2/Fo^2))^2)</f>
        <v>0.000746410117544837</v>
      </c>
      <c r="G530" s="0" t="n">
        <f aca="false">-ATAN(A530*Fo/(Q*(Fo^2-A530^2)))</f>
        <v>0.0171472870821532</v>
      </c>
      <c r="H530" s="0" t="n">
        <f aca="false">IF(G530&gt;0,G530-Pi,G530)</f>
        <v>-3.12444536291785</v>
      </c>
      <c r="J530" s="0" t="n">
        <f aca="false">Vin/Vramp</f>
        <v>9</v>
      </c>
      <c r="M530" s="0" t="n">
        <f aca="false">1/(2*Pi*_Rfb1*(Cc1ea_u+Cc2ea_u)*A530)</f>
        <v>0.00373077691687193</v>
      </c>
      <c r="N530" s="0" t="n">
        <f aca="false">-Pi/2</f>
        <v>-1.570796325</v>
      </c>
      <c r="O530" s="0" t="n">
        <f aca="false">SQRT(1+(A530/Fz1_u)^2)</f>
        <v>38.6108105387542</v>
      </c>
      <c r="P530" s="0" t="n">
        <f aca="false">ATAN2(Fz1_u,A530)</f>
        <v>1.54489394823819</v>
      </c>
      <c r="Q530" s="0" t="n">
        <f aca="false">SQRT(1+(A530/Fz2_u)^2)</f>
        <v>43797.7685042871</v>
      </c>
      <c r="R530" s="0" t="n">
        <f aca="false">ATAN2(Fz2_u,A530)</f>
        <v>1.57077349458142</v>
      </c>
      <c r="S530" s="0" t="n">
        <f aca="false">1/SQRT(1+(A530/Fp1_u)^2)</f>
        <v>0.00854200319957693</v>
      </c>
      <c r="T530" s="0" t="n">
        <f aca="false">-ATAN2(Fp1_u,A530)</f>
        <v>-1.56225421971287</v>
      </c>
      <c r="U530" s="0" t="n">
        <f aca="false">1/SQRT(1+(A530/Fp2_u)^2)</f>
        <v>0.227082045260188</v>
      </c>
      <c r="V530" s="0" t="n">
        <f aca="false">-ATAN2(Fp2_u,A530)</f>
        <v>-1.34171592513981</v>
      </c>
      <c r="X530" s="0" t="n">
        <f aca="false">20*LOG(C530*J530*O530*Q530*F530*M530*S530*U530)</f>
        <v>-21.7011172587324</v>
      </c>
      <c r="Y530" s="0" t="n">
        <f aca="false">(180/Pi)*(D530+H530+N530+P530+R530+T530+V530)</f>
        <v>-256.319389782</v>
      </c>
      <c r="Z530" s="0" t="n">
        <f aca="false">Y530+180</f>
        <v>-76.3193897820004</v>
      </c>
      <c r="AC530" s="0" t="n">
        <v>1</v>
      </c>
      <c r="AD530" s="0" t="n">
        <f aca="false">Rcea1_u*Cc1ea_u*A530*2*Pi</f>
        <v>38.597858625312</v>
      </c>
      <c r="AE530" s="0" t="n">
        <f aca="false">-Rcea1_u*Cc1ea_u*Cc2ea_u*(A530*2*Pi)^2</f>
        <v>-0.0574766470084712</v>
      </c>
      <c r="AF530" s="0" t="n">
        <f aca="false">(Cc2ea_u+Cc1ea_u)*A530*2*Pi</f>
        <v>0.0134020342449</v>
      </c>
      <c r="AG530" s="0" t="n">
        <f aca="false">AC530*AE530/(AE530^2+AF530^2)+AD530*AF530/(AE530^2+AF530^2)</f>
        <v>132.009613515648</v>
      </c>
      <c r="AH530" s="0" t="n">
        <f aca="false">AD530*AE530/(AE530^2+AF530^2)-AC530*AF530/(AE530^2+AF530^2)</f>
        <v>-640.758693855111</v>
      </c>
      <c r="AJ530" s="0" t="n">
        <f aca="false">_Rfb1</f>
        <v>20000</v>
      </c>
      <c r="AK530" s="0" t="n">
        <f aca="false">_Rfb1*Rcea2_u*Cc3ea_u*A530*2*Pi</f>
        <v>2341285.74542016</v>
      </c>
      <c r="AL530" s="0" t="n">
        <v>1</v>
      </c>
      <c r="AM530" s="0" t="n">
        <f aca="false">(_Rfb1+Rcea2_u)*Cc3ea_u*A530*2*Pi</f>
        <v>43797.768492871</v>
      </c>
      <c r="AN530" s="0" t="n">
        <f aca="false">AJ530*AL530/(AL530^2+AM530^2)+AK530*AM530/(AL530^2+AM530^2)</f>
        <v>53.4567463459922</v>
      </c>
      <c r="AO530" s="0" t="n">
        <f aca="false">AK530*AL530/(AL530^2+AM530^2)-AJ530*AM530/(AL530^2+AM530^2)</f>
        <v>-0.455423733674941</v>
      </c>
      <c r="AQ530" s="0" t="n">
        <f aca="false">Eadcg/(1+(Eadcg*A530/GBP)^2)</f>
        <v>0.00456064045016726</v>
      </c>
      <c r="AR530" s="0" t="n">
        <f aca="false">-(A530*Eadcg*Eadcg/GBP)/(1+(Eadcg*A530/GBP)^2)</f>
        <v>-3.79746287723627</v>
      </c>
      <c r="AT530" s="0" t="n">
        <f aca="false">-AR530*AH530+AG530*AQ530</f>
        <v>-2432.65530479797</v>
      </c>
      <c r="AU530" s="0" t="n">
        <f aca="false">AQ530*AH530+AG530*AR530</f>
        <v>-504.223876781972</v>
      </c>
      <c r="AV530" s="0" t="n">
        <f aca="false">ATAN2(AT530,AU530)</f>
        <v>-2.93721366068474</v>
      </c>
      <c r="AW530" s="0" t="n">
        <f aca="false">AG530-AH530*AO530/_Rfb2+AG530*AN530/_Rfb2+AN530-AO530*AR530+AQ530*AN530</f>
        <v>187.024946608006</v>
      </c>
      <c r="AX530" s="0" t="n">
        <f aca="false">AH530+AH530*AN530/_Rfb2+AG530*AO530/_Rfb2+AO530+AO530*AQ530+AN530*AR530</f>
        <v>-859.657052274291</v>
      </c>
      <c r="AY530" s="0" t="n">
        <f aca="false">ATAN2(AW530,AX530)</f>
        <v>-1.35657683350695</v>
      </c>
      <c r="BA530" s="0" t="n">
        <f aca="false">SQRT(AT530^2+AU530^2)/SQRT(AW530^2+AX530^2)</f>
        <v>2.8238886431749</v>
      </c>
      <c r="BB530" s="0" t="n">
        <f aca="false">20*LOG(BA530)</f>
        <v>9.01695133620584</v>
      </c>
      <c r="BC530" s="0" t="n">
        <f aca="false">AV530-AY530</f>
        <v>-1.58063682717778</v>
      </c>
      <c r="BD530" s="0" t="n">
        <f aca="false">BC530*180/Pi-180</f>
        <v>-270.563819243721</v>
      </c>
      <c r="BF530" s="0" t="n">
        <f aca="false">20*LOG(BA530*J530*F530*C530)</f>
        <v>-34.4382201295695</v>
      </c>
      <c r="BG530" s="0" t="n">
        <f aca="false">(180/Pi)*(D530+H530+BC530)</f>
        <v>-269.01257074741</v>
      </c>
      <c r="BH530" s="0" t="n">
        <f aca="false">IF(BG530&gt;180,BG530-180,BG530+180)</f>
        <v>-89.0125707474101</v>
      </c>
      <c r="BI530" s="0" t="n">
        <f aca="false">IF(BH530&gt;180,BH530-360,BH530)</f>
        <v>-89.0125707474101</v>
      </c>
      <c r="BJ530" s="0" t="n">
        <f aca="false">SUM((BF531&lt;0)*(BF530&gt;0))*A530</f>
        <v>0</v>
      </c>
      <c r="BK530" s="0" t="n">
        <f aca="false">IF(BJ530&gt;0,BI530,0)</f>
        <v>0</v>
      </c>
      <c r="BM530" s="0" t="n">
        <f aca="false">20*LOG(J530*F530*C530)</f>
        <v>-43.4551714657754</v>
      </c>
      <c r="BN530" s="0" t="n">
        <f aca="false">(H530+D530)*180/Pi</f>
        <v>-178.448751503689</v>
      </c>
      <c r="BQ530" s="347" t="n">
        <f aca="false">20*LOG(BA530*7)</f>
        <v>25.918912136491</v>
      </c>
    </row>
    <row r="531" customFormat="false" ht="12.75" hidden="false" customHeight="false" outlineLevel="0" collapsed="false">
      <c r="A531" s="0" t="n">
        <f aca="false">A530+5000</f>
        <v>1585000</v>
      </c>
      <c r="B531" s="0" t="n">
        <f aca="false">A531/1000</f>
        <v>1585</v>
      </c>
      <c r="C531" s="0" t="n">
        <f aca="false">SQRT((A531/Fesr)^2+1)</f>
        <v>1.00004958810423</v>
      </c>
      <c r="D531" s="0" t="n">
        <f aca="false">ATAN(A531/Fesr)</f>
        <v>0.00995851948497602</v>
      </c>
      <c r="F531" s="0" t="n">
        <f aca="false">(Ro/(Ro+Rdcr))/SQRT((A531/(Q*Fo))^2+(1-(A531^2/Fo^2))^2)</f>
        <v>0.000741705506467971</v>
      </c>
      <c r="G531" s="0" t="n">
        <f aca="false">-ATAN(A531*Fo/(Q*(Fo^2-A531^2)))</f>
        <v>0.0170931242657686</v>
      </c>
      <c r="H531" s="0" t="n">
        <f aca="false">IF(G531&gt;0,G531-Pi,G531)</f>
        <v>-3.12449952573423</v>
      </c>
      <c r="J531" s="0" t="n">
        <f aca="false">Vin/Vramp</f>
        <v>9</v>
      </c>
      <c r="M531" s="0" t="n">
        <f aca="false">1/(2*Pi*_Rfb1*(Cc1ea_u+Cc2ea_u)*A531)</f>
        <v>0.00371900790451586</v>
      </c>
      <c r="N531" s="0" t="n">
        <f aca="false">-Pi/2</f>
        <v>-1.570796325</v>
      </c>
      <c r="O531" s="0" t="n">
        <f aca="false">SQRT(1+(A531/Fz1_u)^2)</f>
        <v>38.732914816856</v>
      </c>
      <c r="P531" s="0" t="n">
        <f aca="false">ATAN2(Fz1_u,A531)</f>
        <v>1.5449756228407</v>
      </c>
      <c r="Q531" s="0" t="n">
        <f aca="false">SQRT(1+(A531/Fz2_u)^2)</f>
        <v>43936.3690374564</v>
      </c>
      <c r="R531" s="0" t="n">
        <f aca="false">ATAN2(Fz2_u,A531)</f>
        <v>1.57077356660733</v>
      </c>
      <c r="S531" s="0" t="n">
        <f aca="false">1/SQRT(1+(A531/Fp1_u)^2)</f>
        <v>0.00851505877411557</v>
      </c>
      <c r="T531" s="0" t="n">
        <f aca="false">-ATAN2(Fp1_u,A531)</f>
        <v>-1.56228116511829</v>
      </c>
      <c r="U531" s="0" t="n">
        <f aca="false">1/SQRT(1+(A531/Fp2_u)^2)</f>
        <v>0.226402471805052</v>
      </c>
      <c r="V531" s="0" t="n">
        <f aca="false">-ATAN2(Fp2_u,A531)</f>
        <v>-1.34241367155749</v>
      </c>
      <c r="X531" s="0" t="n">
        <f aca="false">20*LOG(C531*J531*O531*Q531*F531*M531*S531*U531)</f>
        <v>-21.7820838490086</v>
      </c>
      <c r="Y531" s="0" t="n">
        <f aca="false">(180/Pi)*(D531+H531+N531+P531+R531+T531+V531)</f>
        <v>-256.357531306887</v>
      </c>
      <c r="Z531" s="0" t="n">
        <f aca="false">Y531+180</f>
        <v>-76.3575313068868</v>
      </c>
      <c r="AC531" s="0" t="n">
        <v>1</v>
      </c>
      <c r="AD531" s="0" t="n">
        <f aca="false">Rcea1_u*Cc1ea_u*A531*2*Pi</f>
        <v>38.720003747544</v>
      </c>
      <c r="AE531" s="0" t="n">
        <f aca="false">-Rcea1_u*Cc1ea_u*Cc2ea_u*(A531*2*Pi)^2</f>
        <v>-0.0578409988506876</v>
      </c>
      <c r="AF531" s="0" t="n">
        <f aca="false">(Cc2ea_u+Cc1ea_u)*A531*2*Pi</f>
        <v>0.013444445745675</v>
      </c>
      <c r="AG531" s="0" t="n">
        <f aca="false">AC531*AE531/(AE531^2+AF531^2)+AD531*AF531/(AE531^2+AF531^2)</f>
        <v>131.22068285296</v>
      </c>
      <c r="AH531" s="0" t="n">
        <f aca="false">AD531*AE531/(AE531^2+AF531^2)-AC531*AF531/(AE531^2+AF531^2)</f>
        <v>-638.920750514972</v>
      </c>
      <c r="AJ531" s="0" t="n">
        <f aca="false">_Rfb1</f>
        <v>20000</v>
      </c>
      <c r="AK531" s="0" t="n">
        <f aca="false">_Rfb1*Rcea2_u*Cc3ea_u*A531*2*Pi</f>
        <v>2348694.87752592</v>
      </c>
      <c r="AL531" s="0" t="n">
        <v>1</v>
      </c>
      <c r="AM531" s="0" t="n">
        <f aca="false">(_Rfb1+Rcea2_u)*Cc3ea_u*A531*2*Pi</f>
        <v>43936.3690260763</v>
      </c>
      <c r="AN531" s="0" t="n">
        <f aca="false">AJ531*AL531/(AL531^2+AM531^2)+AK531*AM531/(AL531^2+AM531^2)</f>
        <v>53.4567462804911</v>
      </c>
      <c r="AO531" s="0" t="n">
        <f aca="false">AK531*AL531/(AL531^2+AM531^2)-AJ531*AM531/(AL531^2+AM531^2)</f>
        <v>-0.453987065746858</v>
      </c>
      <c r="AQ531" s="0" t="n">
        <f aca="false">Eadcg/(1+(Eadcg*A531/GBP)^2)</f>
        <v>0.00453191211903301</v>
      </c>
      <c r="AR531" s="0" t="n">
        <f aca="false">-(A531*Eadcg*Eadcg/GBP)/(1+(Eadcg*A531/GBP)^2)</f>
        <v>-3.78548353346767</v>
      </c>
      <c r="AT531" s="0" t="n">
        <f aca="false">-AR531*AH531+AG531*AQ531</f>
        <v>-2418.02929966235</v>
      </c>
      <c r="AU531" s="0" t="n">
        <f aca="false">AQ531*AH531+AG531*AR531</f>
        <v>-499.629266882625</v>
      </c>
      <c r="AV531" s="0" t="n">
        <f aca="false">ATAN2(AT531,AU531)</f>
        <v>-2.93783352104457</v>
      </c>
      <c r="AW531" s="0" t="n">
        <f aca="false">AG531-AH531*AO531/_Rfb2+AG531*AN531/_Rfb2+AN531-AO531*AR531+AQ531*AN531</f>
        <v>186.227185894935</v>
      </c>
      <c r="AX531" s="0" t="n">
        <f aca="false">AH531+AH531*AN531/_Rfb2+AG531*AO531/_Rfb2+AO531+AO531*AQ531+AN531*AR531</f>
        <v>-857.13281643364</v>
      </c>
      <c r="AY531" s="0" t="n">
        <f aca="false">ATAN2(AW531,AX531)</f>
        <v>-1.35685377275615</v>
      </c>
      <c r="BA531" s="0" t="n">
        <f aca="false">SQRT(AT531^2+AU531^2)/SQRT(AW531^2+AX531^2)</f>
        <v>2.81498506378725</v>
      </c>
      <c r="BB531" s="0" t="n">
        <f aca="false">20*LOG(BA531)</f>
        <v>8.98952189684155</v>
      </c>
      <c r="BC531" s="0" t="n">
        <f aca="false">AV531-AY531</f>
        <v>-1.58097974828842</v>
      </c>
      <c r="BD531" s="0" t="n">
        <f aca="false">BC531*180/Pi-180</f>
        <v>-270.583467176088</v>
      </c>
      <c r="BF531" s="0" t="n">
        <f aca="false">20*LOG(BA531*J531*F531*C531)</f>
        <v>-34.5205671431881</v>
      </c>
      <c r="BG531" s="0" t="n">
        <f aca="false">(180/Pi)*(D531+H531+BC531)</f>
        <v>-269.033522158508</v>
      </c>
      <c r="BH531" s="0" t="n">
        <f aca="false">IF(BG531&gt;180,BG531-180,BG531+180)</f>
        <v>-89.0335221585082</v>
      </c>
      <c r="BI531" s="0" t="n">
        <f aca="false">IF(BH531&gt;180,BH531-360,BH531)</f>
        <v>-89.0335221585082</v>
      </c>
      <c r="BJ531" s="0" t="n">
        <f aca="false">SUM((BF532&lt;0)*(BF531&gt;0))*A531</f>
        <v>0</v>
      </c>
      <c r="BK531" s="0" t="n">
        <f aca="false">IF(BJ531&gt;0,BI531,0)</f>
        <v>0</v>
      </c>
      <c r="BM531" s="0" t="n">
        <f aca="false">20*LOG(J531*F531*C531)</f>
        <v>-43.5100890400296</v>
      </c>
      <c r="BN531" s="0" t="n">
        <f aca="false">(H531+D531)*180/Pi</f>
        <v>-178.45005498242</v>
      </c>
      <c r="BQ531" s="347" t="n">
        <f aca="false">20*LOG(BA531*7)</f>
        <v>25.8914826971267</v>
      </c>
    </row>
    <row r="532" customFormat="false" ht="12.75" hidden="false" customHeight="false" outlineLevel="0" collapsed="false">
      <c r="A532" s="0" t="n">
        <f aca="false">A531+5000</f>
        <v>1590000</v>
      </c>
      <c r="B532" s="0" t="n">
        <f aca="false">A532/1000</f>
        <v>1590</v>
      </c>
      <c r="C532" s="0" t="n">
        <f aca="false">SQRT((A532/Fesr)^2+1)</f>
        <v>1.00004990144858</v>
      </c>
      <c r="D532" s="0" t="n">
        <f aca="false">ATAN(A532/Fesr)</f>
        <v>0.00998993228615792</v>
      </c>
      <c r="F532" s="0" t="n">
        <f aca="false">(Ro/(Ro+Rdcr))/SQRT((A532/(Q*Fo))^2+(1-(A532^2/Fo^2))^2)</f>
        <v>0.000737045244041896</v>
      </c>
      <c r="G532" s="0" t="n">
        <f aca="false">-ATAN(A532*Fo/(Q*(Fo^2-A532^2)))</f>
        <v>0.017039302757795</v>
      </c>
      <c r="H532" s="0" t="n">
        <f aca="false">IF(G532&gt;0,G532-Pi,G532)</f>
        <v>-3.12455334724221</v>
      </c>
      <c r="J532" s="0" t="n">
        <f aca="false">Vin/Vramp</f>
        <v>9</v>
      </c>
      <c r="M532" s="0" t="n">
        <f aca="false">1/(2*Pi*_Rfb1*(Cc1ea_u+Cc2ea_u)*A532)</f>
        <v>0.00370731291110544</v>
      </c>
      <c r="N532" s="0" t="n">
        <f aca="false">-Pi/2</f>
        <v>-1.570796325</v>
      </c>
      <c r="O532" s="0" t="n">
        <f aca="false">SQRT(1+(A532/Fz1_u)^2)</f>
        <v>38.8550193517111</v>
      </c>
      <c r="P532" s="0" t="n">
        <f aca="false">ATAN2(Fz1_u,A532)</f>
        <v>1.54505678410779</v>
      </c>
      <c r="Q532" s="0" t="n">
        <f aca="false">SQRT(1+(A532/Fz2_u)^2)</f>
        <v>44074.9695706259</v>
      </c>
      <c r="R532" s="0" t="n">
        <f aca="false">ATAN2(Fz2_u,A532)</f>
        <v>1.57077363818025</v>
      </c>
      <c r="S532" s="0" t="n">
        <f aca="false">1/SQRT(1+(A532/Fp1_u)^2)</f>
        <v>0.00848828379207683</v>
      </c>
      <c r="T532" s="0" t="n">
        <f aca="false">-ATAN2(Fp1_u,A532)</f>
        <v>-1.56230794106801</v>
      </c>
      <c r="U532" s="0" t="n">
        <f aca="false">1/SQRT(1+(A532/Fp2_u)^2)</f>
        <v>0.225726844729826</v>
      </c>
      <c r="V532" s="0" t="n">
        <f aca="false">-ATAN2(Fp2_u,A532)</f>
        <v>-1.34310725390105</v>
      </c>
      <c r="X532" s="0" t="n">
        <f aca="false">20*LOG(C532*J532*O532*Q532*F532*M532*S532*U532)</f>
        <v>-21.8628034925789</v>
      </c>
      <c r="Y532" s="0" t="n">
        <f aca="false">(180/Pi)*(D532+H532+N532+P532+R532+T532+V532)</f>
        <v>-256.395434422306</v>
      </c>
      <c r="Z532" s="0" t="n">
        <f aca="false">Y532+180</f>
        <v>-76.3954344223059</v>
      </c>
      <c r="AC532" s="0" t="n">
        <v>1</v>
      </c>
      <c r="AD532" s="0" t="n">
        <f aca="false">Rcea1_u*Cc1ea_u*A532*2*Pi</f>
        <v>38.842148869776</v>
      </c>
      <c r="AE532" s="0" t="n">
        <f aca="false">-Rcea1_u*Cc1ea_u*Cc2ea_u*(A532*2*Pi)^2</f>
        <v>-0.0582065018835587</v>
      </c>
      <c r="AF532" s="0" t="n">
        <f aca="false">(Cc2ea_u+Cc1ea_u)*A532*2*Pi</f>
        <v>0.01348685724645</v>
      </c>
      <c r="AG532" s="0" t="n">
        <f aca="false">AC532*AE532/(AE532^2+AF532^2)+AD532*AF532/(AE532^2+AF532^2)</f>
        <v>130.438677585109</v>
      </c>
      <c r="AH532" s="0" t="n">
        <f aca="false">AD532*AE532/(AE532^2+AF532^2)-AC532*AF532/(AE532^2+AF532^2)</f>
        <v>-637.092761904054</v>
      </c>
      <c r="AJ532" s="0" t="n">
        <f aca="false">_Rfb1</f>
        <v>20000</v>
      </c>
      <c r="AK532" s="0" t="n">
        <f aca="false">_Rfb1*Rcea2_u*Cc3ea_u*A532*2*Pi</f>
        <v>2356104.00963168</v>
      </c>
      <c r="AL532" s="0" t="n">
        <v>1</v>
      </c>
      <c r="AM532" s="0" t="n">
        <f aca="false">(_Rfb1+Rcea2_u)*Cc3ea_u*A532*2*Pi</f>
        <v>44074.9695592816</v>
      </c>
      <c r="AN532" s="0" t="n">
        <f aca="false">AJ532*AL532/(AL532^2+AM532^2)+AK532*AM532/(AL532^2+AM532^2)</f>
        <v>53.4567462156069</v>
      </c>
      <c r="AO532" s="0" t="n">
        <f aca="false">AK532*AL532/(AL532^2+AM532^2)-AJ532*AM532/(AL532^2+AM532^2)</f>
        <v>-0.452559433466107</v>
      </c>
      <c r="AQ532" s="0" t="n">
        <f aca="false">Eadcg/(1+(Eadcg*A532/GBP)^2)</f>
        <v>0.00450345438301631</v>
      </c>
      <c r="AR532" s="0" t="n">
        <f aca="false">-(A532*Eadcg*Eadcg/GBP)/(1+(Eadcg*A532/GBP)^2)</f>
        <v>-3.77357953116086</v>
      </c>
      <c r="AT532" s="0" t="n">
        <f aca="false">-AR532*AH532+AG532*AQ532</f>
        <v>-2403.53278113759</v>
      </c>
      <c r="AU532" s="0" t="n">
        <f aca="false">AQ532*AH532+AG532*AR532</f>
        <v>-495.089841997842</v>
      </c>
      <c r="AV532" s="0" t="n">
        <f aca="false">ATAN2(AT532,AU532)</f>
        <v>-2.93844970683842</v>
      </c>
      <c r="AW532" s="0" t="n">
        <f aca="false">AG532-AH532*AO532/_Rfb2+AG532*AN532/_Rfb2+AN532-AO532*AR532+AQ532*AN532</f>
        <v>185.436422029239</v>
      </c>
      <c r="AX532" s="0" t="n">
        <f aca="false">AH532+AH532*AN532/_Rfb2+AG532*AO532/_Rfb2+AO532+AO532*AQ532+AN532*AR532</f>
        <v>-854.62281454428</v>
      </c>
      <c r="AY532" s="0" t="n">
        <f aca="false">ATAN2(AW532,AX532)</f>
        <v>-1.35712801396243</v>
      </c>
      <c r="BA532" s="0" t="n">
        <f aca="false">SQRT(AT532^2+AU532^2)/SQRT(AW532^2+AX532^2)</f>
        <v>2.8061370469571</v>
      </c>
      <c r="BB532" s="0" t="n">
        <f aca="false">20*LOG(BA532)</f>
        <v>8.96217754827171</v>
      </c>
      <c r="BC532" s="0" t="n">
        <f aca="false">AV532-AY532</f>
        <v>-1.58132169287599</v>
      </c>
      <c r="BD532" s="0" t="n">
        <f aca="false">BC532*180/Pi-180</f>
        <v>-270.603059157806</v>
      </c>
      <c r="BF532" s="0" t="n">
        <f aca="false">20*LOG(BA532*J532*F532*C532)</f>
        <v>-34.6026558722754</v>
      </c>
      <c r="BG532" s="0" t="n">
        <f aca="false">(180/Pi)*(D532+H532+BC532)</f>
        <v>-269.054398064551</v>
      </c>
      <c r="BH532" s="0" t="n">
        <f aca="false">IF(BG532&gt;180,BG532-180,BG532+180)</f>
        <v>-89.0543980645506</v>
      </c>
      <c r="BI532" s="0" t="n">
        <f aca="false">IF(BH532&gt;180,BH532-360,BH532)</f>
        <v>-89.0543980645506</v>
      </c>
      <c r="BJ532" s="0" t="n">
        <f aca="false">SUM((BF533&lt;0)*(BF532&gt;0))*A532</f>
        <v>0</v>
      </c>
      <c r="BK532" s="0" t="n">
        <f aca="false">IF(BJ532&gt;0,BI532,0)</f>
        <v>0</v>
      </c>
      <c r="BM532" s="0" t="n">
        <f aca="false">20*LOG(J532*F532*C532)</f>
        <v>-43.5648334205471</v>
      </c>
      <c r="BN532" s="0" t="n">
        <f aca="false">(H532+D532)*180/Pi</f>
        <v>-178.451338906745</v>
      </c>
      <c r="BQ532" s="347" t="n">
        <f aca="false">20*LOG(BA532*7)</f>
        <v>25.8641383485568</v>
      </c>
    </row>
    <row r="533" customFormat="false" ht="12.75" hidden="false" customHeight="false" outlineLevel="0" collapsed="false">
      <c r="A533" s="0" t="n">
        <f aca="false">A532+5000</f>
        <v>1595000</v>
      </c>
      <c r="B533" s="0" t="n">
        <f aca="false">A533/1000</f>
        <v>1595</v>
      </c>
      <c r="C533" s="0" t="n">
        <f aca="false">SQRT((A533/Fesr)^2+1)</f>
        <v>1.00005021577975</v>
      </c>
      <c r="D533" s="0" t="n">
        <f aca="false">ATAN(A533/Fesr)</f>
        <v>0.0100213450676238</v>
      </c>
      <c r="F533" s="0" t="n">
        <f aca="false">(Ro/(Ro+Rdcr))/SQRT((A533/(Q*Fo))^2+(1-(A533^2/Fo^2))^2)</f>
        <v>0.000732428774492341</v>
      </c>
      <c r="G533" s="0" t="n">
        <f aca="false">-ATAN(A533*Fo/(Q*(Fo^2-A533^2)))</f>
        <v>0.0169858193401691</v>
      </c>
      <c r="H533" s="0" t="n">
        <f aca="false">IF(G533&gt;0,G533-Pi,G533)</f>
        <v>-3.12460683065983</v>
      </c>
      <c r="J533" s="0" t="n">
        <f aca="false">Vin/Vramp</f>
        <v>9</v>
      </c>
      <c r="M533" s="0" t="n">
        <f aca="false">1/(2*Pi*_Rfb1*(Cc1ea_u+Cc2ea_u)*A533)</f>
        <v>0.00369569124053771</v>
      </c>
      <c r="N533" s="0" t="n">
        <f aca="false">-Pi/2</f>
        <v>-1.570796325</v>
      </c>
      <c r="O533" s="0" t="n">
        <f aca="false">SQRT(1+(A533/Fz1_u)^2)</f>
        <v>38.9771241409064</v>
      </c>
      <c r="P533" s="0" t="n">
        <f aca="false">ATAN2(Fz1_u,A533)</f>
        <v>1.5451374368628</v>
      </c>
      <c r="Q533" s="0" t="n">
        <f aca="false">SQRT(1+(A533/Fz2_u)^2)</f>
        <v>44213.5701037956</v>
      </c>
      <c r="R533" s="0" t="n">
        <f aca="false">ATAN2(Fz2_u,A533)</f>
        <v>1.57077370930444</v>
      </c>
      <c r="S533" s="0" t="n">
        <f aca="false">1/SQRT(1+(A533/Fp1_u)^2)</f>
        <v>0.00846167666017819</v>
      </c>
      <c r="T533" s="0" t="n">
        <f aca="false">-ATAN2(Fp1_u,A533)</f>
        <v>-1.5623345491555</v>
      </c>
      <c r="U533" s="0" t="n">
        <f aca="false">1/SQRT(1+(A533/Fp2_u)^2)</f>
        <v>0.225055130750885</v>
      </c>
      <c r="V533" s="0" t="n">
        <f aca="false">-ATAN2(Fp2_u,A533)</f>
        <v>-1.34379670867433</v>
      </c>
      <c r="X533" s="0" t="n">
        <f aca="false">20*LOG(C533*J533*O533*Q533*F533*M533*S533*U533)</f>
        <v>-21.9432776696335</v>
      </c>
      <c r="Y533" s="0" t="n">
        <f aca="false">(180/Pi)*(D533+H533+N533+P533+R533+T533+V533)</f>
        <v>-256.433101218856</v>
      </c>
      <c r="Z533" s="0" t="n">
        <f aca="false">Y533+180</f>
        <v>-76.4331012188559</v>
      </c>
      <c r="AC533" s="0" t="n">
        <v>1</v>
      </c>
      <c r="AD533" s="0" t="n">
        <f aca="false">Rcea1_u*Cc1ea_u*A533*2*Pi</f>
        <v>38.964293992008</v>
      </c>
      <c r="AE533" s="0" t="n">
        <f aca="false">-Rcea1_u*Cc1ea_u*Cc2ea_u*(A533*2*Pi)^2</f>
        <v>-0.0585731561070845</v>
      </c>
      <c r="AF533" s="0" t="n">
        <f aca="false">(Cc2ea_u+Cc1ea_u)*A533*2*Pi</f>
        <v>0.013529268747225</v>
      </c>
      <c r="AG533" s="0" t="n">
        <f aca="false">AC533*AE533/(AE533^2+AF533^2)+AD533*AF533/(AE533^2+AF533^2)</f>
        <v>129.663518405883</v>
      </c>
      <c r="AH533" s="0" t="n">
        <f aca="false">AD533*AE533/(AE533^2+AF533^2)-AC533*AF533/(AE533^2+AF533^2)</f>
        <v>-635.274652722417</v>
      </c>
      <c r="AJ533" s="0" t="n">
        <f aca="false">_Rfb1</f>
        <v>20000</v>
      </c>
      <c r="AK533" s="0" t="n">
        <f aca="false">_Rfb1*Rcea2_u*Cc3ea_u*A533*2*Pi</f>
        <v>2363513.14173744</v>
      </c>
      <c r="AL533" s="0" t="n">
        <v>1</v>
      </c>
      <c r="AM533" s="0" t="n">
        <f aca="false">(_Rfb1+Rcea2_u)*Cc3ea_u*A533*2*Pi</f>
        <v>44213.5700924869</v>
      </c>
      <c r="AN533" s="0" t="n">
        <f aca="false">AJ533*AL533/(AL533^2+AM533^2)+AK533*AM533/(AL533^2+AM533^2)</f>
        <v>53.4567461513319</v>
      </c>
      <c r="AO533" s="0" t="n">
        <f aca="false">AK533*AL533/(AL533^2+AM533^2)-AJ533*AM533/(AL533^2+AM533^2)</f>
        <v>-0.451140751857949</v>
      </c>
      <c r="AQ533" s="0" t="n">
        <f aca="false">Eadcg/(1+(Eadcg*A533/GBP)^2)</f>
        <v>0.0044752638544068</v>
      </c>
      <c r="AR533" s="0" t="n">
        <f aca="false">-(A533*Eadcg*Eadcg/GBP)/(1+(Eadcg*A533/GBP)^2)</f>
        <v>-3.76175016177945</v>
      </c>
      <c r="AT533" s="0" t="n">
        <f aca="false">-AR533*AH533+AG533*AQ533</f>
        <v>-2389.16424919578</v>
      </c>
      <c r="AU533" s="0" t="n">
        <f aca="false">AQ533*AH533+AG533*AR533</f>
        <v>-490.604783031173</v>
      </c>
      <c r="AV533" s="0" t="n">
        <f aca="false">ATAN2(AT533,AU533)</f>
        <v>-2.93906224997084</v>
      </c>
      <c r="AW533" s="0" t="n">
        <f aca="false">AG533-AH533*AO533/_Rfb2+AG533*AN533/_Rfb2+AN533-AO533*AR533+AQ533*AN533</f>
        <v>184.652574981574</v>
      </c>
      <c r="AX533" s="0" t="n">
        <f aca="false">AH533+AH533*AN533/_Rfb2+AG533*AO533/_Rfb2+AO533+AO533*AQ533+AN533*AR533</f>
        <v>-852.126931486014</v>
      </c>
      <c r="AY533" s="0" t="n">
        <f aca="false">ATAN2(AW533,AX533)</f>
        <v>-1.35739957997295</v>
      </c>
      <c r="BA533" s="0" t="n">
        <f aca="false">SQRT(AT533^2+AU533^2)/SQRT(AW533^2+AX533^2)</f>
        <v>2.79734407434031</v>
      </c>
      <c r="BB533" s="0" t="n">
        <f aca="false">20*LOG(BA533)</f>
        <v>8.93491776073077</v>
      </c>
      <c r="BC533" s="0" t="n">
        <f aca="false">AV533-AY533</f>
        <v>-1.58166266999789</v>
      </c>
      <c r="BD533" s="0" t="n">
        <f aca="false">BC533*180/Pi-180</f>
        <v>-270.622595707824</v>
      </c>
      <c r="BF533" s="0" t="n">
        <f aca="false">20*LOG(BA533*J533*F533*C533)</f>
        <v>-34.6844879360516</v>
      </c>
      <c r="BG533" s="0" t="n">
        <f aca="false">(180/Pi)*(D533+H533+BC533)</f>
        <v>-269.075199168873</v>
      </c>
      <c r="BH533" s="0" t="n">
        <f aca="false">IF(BG533&gt;180,BG533-180,BG533+180)</f>
        <v>-89.0751991688732</v>
      </c>
      <c r="BI533" s="0" t="n">
        <f aca="false">IF(BH533&gt;180,BH533-360,BH533)</f>
        <v>-89.0751991688732</v>
      </c>
      <c r="BJ533" s="0" t="n">
        <f aca="false">SUM((BF534&lt;0)*(BF533&gt;0))*A533</f>
        <v>0</v>
      </c>
      <c r="BK533" s="0" t="n">
        <f aca="false">IF(BJ533&gt;0,BI533,0)</f>
        <v>0</v>
      </c>
      <c r="BM533" s="0" t="n">
        <f aca="false">20*LOG(J533*F533*C533)</f>
        <v>-43.6194056967824</v>
      </c>
      <c r="BN533" s="0" t="n">
        <f aca="false">(H533+D533)*180/Pi</f>
        <v>-178.452603461049</v>
      </c>
      <c r="BQ533" s="347" t="n">
        <f aca="false">20*LOG(BA533*7)</f>
        <v>25.8368785610159</v>
      </c>
    </row>
    <row r="534" customFormat="false" ht="12.75" hidden="false" customHeight="false" outlineLevel="0" collapsed="false">
      <c r="A534" s="0" t="n">
        <f aca="false">A533+5000</f>
        <v>1600000</v>
      </c>
      <c r="B534" s="0" t="n">
        <f aca="false">A534/1000</f>
        <v>1600</v>
      </c>
      <c r="C534" s="0" t="n">
        <f aca="false">SQRT((A534/Fesr)^2+1)</f>
        <v>1.00005053109772</v>
      </c>
      <c r="D534" s="0" t="n">
        <f aca="false">ATAN(A534/Fesr)</f>
        <v>0.0100527578293116</v>
      </c>
      <c r="F534" s="0" t="n">
        <f aca="false">(Ro/(Ro+Rdcr))/SQRT((A534/(Q*Fo))^2+(1-(A534^2/Fo^2))^2)</f>
        <v>0.000727855550725687</v>
      </c>
      <c r="G534" s="0" t="n">
        <f aca="false">-ATAN(A534*Fo/(Q*(Fo^2-A534^2)))</f>
        <v>0.0169326708351817</v>
      </c>
      <c r="H534" s="0" t="n">
        <f aca="false">IF(G534&gt;0,G534-Pi,G534)</f>
        <v>-3.12465997916482</v>
      </c>
      <c r="J534" s="0" t="n">
        <f aca="false">Vin/Vramp</f>
        <v>9</v>
      </c>
      <c r="M534" s="0" t="n">
        <f aca="false">1/(2*Pi*_Rfb1*(Cc1ea_u+Cc2ea_u)*A534)</f>
        <v>0.00368414220541103</v>
      </c>
      <c r="N534" s="0" t="n">
        <f aca="false">-Pi/2</f>
        <v>-1.570796325</v>
      </c>
      <c r="O534" s="0" t="n">
        <f aca="false">SQRT(1+(A534/Fz1_u)^2)</f>
        <v>39.0992291820592</v>
      </c>
      <c r="P534" s="0" t="n">
        <f aca="false">ATAN2(Fz1_u,A534)</f>
        <v>1.54521758586887</v>
      </c>
      <c r="Q534" s="0" t="n">
        <f aca="false">SQRT(1+(A534/Fz2_u)^2)</f>
        <v>44352.1706369656</v>
      </c>
      <c r="R534" s="0" t="n">
        <f aca="false">ATAN2(Fz2_u,A534)</f>
        <v>1.57077377998409</v>
      </c>
      <c r="S534" s="0" t="n">
        <f aca="false">1/SQRT(1+(A534/Fp1_u)^2)</f>
        <v>0.00843523580504958</v>
      </c>
      <c r="T534" s="0" t="n">
        <f aca="false">-ATAN2(Fp1_u,A534)</f>
        <v>-1.5623609909543</v>
      </c>
      <c r="U534" s="0" t="n">
        <f aca="false">1/SQRT(1+(A534/Fp2_u)^2)</f>
        <v>0.224387296945632</v>
      </c>
      <c r="V534" s="0" t="n">
        <f aca="false">-ATAN2(Fp2_u,A534)</f>
        <v>-1.34448207196368</v>
      </c>
      <c r="X534" s="0" t="n">
        <f aca="false">20*LOG(C534*J534*O534*Q534*F534*M534*S534*U534)</f>
        <v>-22.0235078472643</v>
      </c>
      <c r="Y534" s="0" t="n">
        <f aca="false">(180/Pi)*(D534+H534+N534+P534+R534+T534+V534)</f>
        <v>-256.470533763216</v>
      </c>
      <c r="Z534" s="0" t="n">
        <f aca="false">Y534+180</f>
        <v>-76.4705337632158</v>
      </c>
      <c r="AC534" s="0" t="n">
        <v>1</v>
      </c>
      <c r="AD534" s="0" t="n">
        <f aca="false">Rcea1_u*Cc1ea_u*A534*2*Pi</f>
        <v>39.08643911424</v>
      </c>
      <c r="AE534" s="0" t="n">
        <f aca="false">-Rcea1_u*Cc1ea_u*Cc2ea_u*(A534*2*Pi)^2</f>
        <v>-0.0589409615212651</v>
      </c>
      <c r="AF534" s="0" t="n">
        <f aca="false">(Cc2ea_u+Cc1ea_u)*A534*2*Pi</f>
        <v>0.013571680248</v>
      </c>
      <c r="AG534" s="0" t="n">
        <f aca="false">AC534*AE534/(AE534^2+AF534^2)+AD534*AF534/(AE534^2+AF534^2)</f>
        <v>128.895127118252</v>
      </c>
      <c r="AH534" s="0" t="n">
        <f aca="false">AD534*AE534/(AE534^2+AF534^2)-AC534*AF534/(AE534^2+AF534^2)</f>
        <v>-633.466348355974</v>
      </c>
      <c r="AJ534" s="0" t="n">
        <f aca="false">_Rfb1</f>
        <v>20000</v>
      </c>
      <c r="AK534" s="0" t="n">
        <f aca="false">_Rfb1*Rcea2_u*Cc3ea_u*A534*2*Pi</f>
        <v>2370922.2738432</v>
      </c>
      <c r="AL534" s="0" t="n">
        <v>1</v>
      </c>
      <c r="AM534" s="0" t="n">
        <f aca="false">(_Rfb1+Rcea2_u)*Cc3ea_u*A534*2*Pi</f>
        <v>44352.1706256922</v>
      </c>
      <c r="AN534" s="0" t="n">
        <f aca="false">AJ534*AL534/(AL534^2+AM534^2)+AK534*AM534/(AL534^2+AM534^2)</f>
        <v>53.4567460876586</v>
      </c>
      <c r="AO534" s="0" t="n">
        <f aca="false">AK534*AL534/(AL534^2+AM534^2)-AJ534*AM534/(AL534^2+AM534^2)</f>
        <v>-0.449730937009829</v>
      </c>
      <c r="AQ534" s="0" t="n">
        <f aca="false">Eadcg/(1+(Eadcg*A534/GBP)^2)</f>
        <v>0.00444733719834409</v>
      </c>
      <c r="AR534" s="0" t="n">
        <f aca="false">-(A534*Eadcg*Eadcg/GBP)/(1+(Eadcg*A534/GBP)^2)</f>
        <v>-3.74999472564374</v>
      </c>
      <c r="AT534" s="0" t="n">
        <f aca="false">-AR534*AH534+AG534*AQ534</f>
        <v>-2374.92222511418</v>
      </c>
      <c r="AU534" s="0" t="n">
        <f aca="false">AQ534*AH534+AG534*AR534</f>
        <v>-486.173285309567</v>
      </c>
      <c r="AV534" s="0" t="n">
        <f aca="false">ATAN2(AT534,AU534)</f>
        <v>-2.93967118198635</v>
      </c>
      <c r="AW534" s="0" t="n">
        <f aca="false">AG534-AH534*AO534/_Rfb2+AG534*AN534/_Rfb2+AN534-AO534*AR534+AQ534*AN534</f>
        <v>183.875565840092</v>
      </c>
      <c r="AX534" s="0" t="n">
        <f aca="false">AH534+AH534*AN534/_Rfb2+AG534*AO534/_Rfb2+AO534+AO534*AQ534+AN534*AR534</f>
        <v>-849.645053316352</v>
      </c>
      <c r="AY534" s="0" t="n">
        <f aca="false">ATAN2(AW534,AX534)</f>
        <v>-1.35766849338705</v>
      </c>
      <c r="BA534" s="0" t="n">
        <f aca="false">SQRT(AT534^2+AU534^2)/SQRT(AW534^2+AX534^2)</f>
        <v>2.78860563400756</v>
      </c>
      <c r="BB534" s="0" t="n">
        <f aca="false">20*LOG(BA534)</f>
        <v>8.90774200934817</v>
      </c>
      <c r="BC534" s="0" t="n">
        <f aca="false">AV534-AY534</f>
        <v>-1.58200268859931</v>
      </c>
      <c r="BD534" s="0" t="n">
        <f aca="false">BC534*180/Pi-180</f>
        <v>-270.642077338663</v>
      </c>
      <c r="BF534" s="0" t="n">
        <f aca="false">20*LOG(BA534*J534*F534*C534)</f>
        <v>-34.7660649385879</v>
      </c>
      <c r="BG534" s="0" t="n">
        <f aca="false">(180/Pi)*(D534+H534+BC534)</f>
        <v>-269.095926166069</v>
      </c>
      <c r="BH534" s="0" t="n">
        <f aca="false">IF(BG534&gt;180,BG534-180,BG534+180)</f>
        <v>-89.0959261660694</v>
      </c>
      <c r="BI534" s="0" t="n">
        <f aca="false">IF(BH534&gt;180,BH534-360,BH534)</f>
        <v>-89.0959261660694</v>
      </c>
      <c r="BJ534" s="0" t="n">
        <f aca="false">SUM((BF535&lt;0)*(BF534&gt;0))*A534</f>
        <v>0</v>
      </c>
      <c r="BK534" s="0" t="n">
        <f aca="false">IF(BJ534&gt;0,BI534,0)</f>
        <v>0</v>
      </c>
      <c r="BM534" s="0" t="n">
        <f aca="false">20*LOG(J534*F534*C534)</f>
        <v>-43.6738069479361</v>
      </c>
      <c r="BN534" s="0" t="n">
        <f aca="false">(H534+D534)*180/Pi</f>
        <v>-178.453848827406</v>
      </c>
      <c r="BQ534" s="347" t="n">
        <f aca="false">20*LOG(BA534*7)</f>
        <v>25.8097028096333</v>
      </c>
    </row>
    <row r="535" customFormat="false" ht="12.75" hidden="false" customHeight="false" outlineLevel="0" collapsed="false">
      <c r="A535" s="0" t="n">
        <f aca="false">A534+5000</f>
        <v>1605000</v>
      </c>
      <c r="B535" s="0" t="n">
        <f aca="false">A535/1000</f>
        <v>1605</v>
      </c>
      <c r="C535" s="0" t="n">
        <f aca="false">SQRT((A535/Fesr)^2+1)</f>
        <v>1.00005084740251</v>
      </c>
      <c r="D535" s="0" t="n">
        <f aca="false">ATAN(A535/Fesr)</f>
        <v>0.0100841705711594</v>
      </c>
      <c r="F535" s="0" t="n">
        <f aca="false">(Ro/(Ro+Rdcr))/SQRT((A535/(Q*Fo))^2+(1-(A535^2/Fo^2))^2)</f>
        <v>0.000723325034166743</v>
      </c>
      <c r="G535" s="0" t="n">
        <f aca="false">-ATAN(A535*Fo/(Q*(Fo^2-A535^2)))</f>
        <v>0.0168798541048475</v>
      </c>
      <c r="H535" s="0" t="n">
        <f aca="false">IF(G535&gt;0,G535-Pi,G535)</f>
        <v>-3.12471279589515</v>
      </c>
      <c r="J535" s="0" t="n">
        <f aca="false">Vin/Vramp</f>
        <v>9</v>
      </c>
      <c r="M535" s="0" t="n">
        <f aca="false">1/(2*Pi*_Rfb1*(Cc1ea_u+Cc2ea_u)*A535)</f>
        <v>0.0036726651268895</v>
      </c>
      <c r="N535" s="0" t="n">
        <f aca="false">-Pi/2</f>
        <v>-1.570796325</v>
      </c>
      <c r="O535" s="0" t="n">
        <f aca="false">SQRT(1+(A535/Fz1_u)^2)</f>
        <v>39.2213344728162</v>
      </c>
      <c r="P535" s="0" t="n">
        <f aca="false">ATAN2(Fz1_u,A535)</f>
        <v>1.54529723582981</v>
      </c>
      <c r="Q535" s="0" t="n">
        <f aca="false">SQRT(1+(A535/Fz2_u)^2)</f>
        <v>44490.7711701357</v>
      </c>
      <c r="R535" s="0" t="n">
        <f aca="false">ATAN2(Fz2_u,A535)</f>
        <v>1.57077385022338</v>
      </c>
      <c r="S535" s="0" t="n">
        <f aca="false">1/SQRT(1+(A535/Fp1_u)^2)</f>
        <v>0.0084089596729233</v>
      </c>
      <c r="T535" s="0" t="n">
        <f aca="false">-ATAN2(Fp1_u,A535)</f>
        <v>-1.56238726801839</v>
      </c>
      <c r="U535" s="0" t="n">
        <f aca="false">1/SQRT(1+(A535/Fp2_u)^2)</f>
        <v>0.223723310747804</v>
      </c>
      <c r="V535" s="0" t="n">
        <f aca="false">-ATAN2(Fp2_u,A535)</f>
        <v>-1.34516337944378</v>
      </c>
      <c r="X535" s="0" t="n">
        <f aca="false">20*LOG(C535*J535*O535*Q535*F535*M535*S535*U535)</f>
        <v>-22.1034954796171</v>
      </c>
      <c r="Y535" s="0" t="n">
        <f aca="false">(180/Pi)*(D535+H535+N535+P535+R535+T535+V535)</f>
        <v>-256.507734098478</v>
      </c>
      <c r="Z535" s="0" t="n">
        <f aca="false">Y535+180</f>
        <v>-76.5077340984785</v>
      </c>
      <c r="AC535" s="0" t="n">
        <v>1</v>
      </c>
      <c r="AD535" s="0" t="n">
        <f aca="false">Rcea1_u*Cc1ea_u*A535*2*Pi</f>
        <v>39.208584236472</v>
      </c>
      <c r="AE535" s="0" t="n">
        <f aca="false">-Rcea1_u*Cc1ea_u*Cc2ea_u*(A535*2*Pi)^2</f>
        <v>-0.0593099181261003</v>
      </c>
      <c r="AF535" s="0" t="n">
        <f aca="false">(Cc2ea_u+Cc1ea_u)*A535*2*Pi</f>
        <v>0.013614091748775</v>
      </c>
      <c r="AG535" s="0" t="n">
        <f aca="false">AC535*AE535/(AE535^2+AF535^2)+AD535*AF535/(AE535^2+AF535^2)</f>
        <v>128.133426616214</v>
      </c>
      <c r="AH535" s="0" t="n">
        <f aca="false">AD535*AE535/(AE535^2+AF535^2)-AC535*AF535/(AE535^2+AF535^2)</f>
        <v>-631.667774869971</v>
      </c>
      <c r="AJ535" s="0" t="n">
        <f aca="false">_Rfb1</f>
        <v>20000</v>
      </c>
      <c r="AK535" s="0" t="n">
        <f aca="false">_Rfb1*Rcea2_u*Cc3ea_u*A535*2*Pi</f>
        <v>2378331.40594896</v>
      </c>
      <c r="AL535" s="0" t="n">
        <v>1</v>
      </c>
      <c r="AM535" s="0" t="n">
        <f aca="false">(_Rfb1+Rcea2_u)*Cc3ea_u*A535*2*Pi</f>
        <v>44490.7711588974</v>
      </c>
      <c r="AN535" s="0" t="n">
        <f aca="false">AJ535*AL535/(AL535^2+AM535^2)+AK535*AM535/(AL535^2+AM535^2)</f>
        <v>53.4567460245795</v>
      </c>
      <c r="AO535" s="0" t="n">
        <f aca="false">AK535*AL535/(AL535^2+AM535^2)-AJ535*AM535/(AL535^2+AM535^2)</f>
        <v>-0.44832990605483</v>
      </c>
      <c r="AQ535" s="0" t="n">
        <f aca="false">Eadcg/(1+(Eadcg*A535/GBP)^2)</f>
        <v>0.00441967113183149</v>
      </c>
      <c r="AR535" s="0" t="n">
        <f aca="false">-(A535*Eadcg*Eadcg/GBP)/(1+(Eadcg*A535/GBP)^2)</f>
        <v>-3.73831253179269</v>
      </c>
      <c r="AT535" s="0" t="n">
        <f aca="false">-AR535*AH535+AG535*AQ535</f>
        <v>-2360.80525111937</v>
      </c>
      <c r="AU535" s="0" t="n">
        <f aca="false">AQ535*AH535+AG535*AR535</f>
        <v>-481.794558290432</v>
      </c>
      <c r="AV535" s="0" t="n">
        <f aca="false">ATAN2(AT535,AU535)</f>
        <v>-2.94027653407433</v>
      </c>
      <c r="AW535" s="0" t="n">
        <f aca="false">AG535-AH535*AO535/_Rfb2+AG535*AN535/_Rfb2+AN535-AO535*AR535+AQ535*AN535</f>
        <v>183.10531679219</v>
      </c>
      <c r="AX535" s="0" t="n">
        <f aca="false">AH535+AH535*AN535/_Rfb2+AG535*AO535/_Rfb2+AO535+AO535*AQ535+AN535*AR535</f>
        <v>-847.177067256427</v>
      </c>
      <c r="AY535" s="0" t="n">
        <f aca="false">ATAN2(AW535,AX535)</f>
        <v>-1.35793477655944</v>
      </c>
      <c r="BA535" s="0" t="n">
        <f aca="false">SQRT(AT535^2+AU535^2)/SQRT(AW535^2+AX535^2)</f>
        <v>2.77992122034564</v>
      </c>
      <c r="BB535" s="0" t="n">
        <f aca="false">20*LOG(BA535)</f>
        <v>8.88064977408845</v>
      </c>
      <c r="BC535" s="0" t="n">
        <f aca="false">AV535-AY535</f>
        <v>-1.58234175751489</v>
      </c>
      <c r="BD535" s="0" t="n">
        <f aca="false">BC535*180/Pi-180</f>
        <v>-270.661504556512</v>
      </c>
      <c r="BF535" s="0" t="n">
        <f aca="false">20*LOG(BA535*J535*F535*C535)</f>
        <v>-34.8473884689948</v>
      </c>
      <c r="BG535" s="0" t="n">
        <f aca="false">(180/Pi)*(D535+H535+BC535)</f>
        <v>-269.116579742125</v>
      </c>
      <c r="BH535" s="0" t="n">
        <f aca="false">IF(BG535&gt;180,BG535-180,BG535+180)</f>
        <v>-89.1165797421249</v>
      </c>
      <c r="BI535" s="0" t="n">
        <f aca="false">IF(BH535&gt;180,BH535-360,BH535)</f>
        <v>-89.1165797421249</v>
      </c>
      <c r="BJ535" s="0" t="n">
        <f aca="false">SUM((BF536&lt;0)*(BF535&gt;0))*A535</f>
        <v>0</v>
      </c>
      <c r="BK535" s="0" t="n">
        <f aca="false">IF(BJ535&gt;0,BI535,0)</f>
        <v>0</v>
      </c>
      <c r="BM535" s="0" t="n">
        <f aca="false">20*LOG(J535*F535*C535)</f>
        <v>-43.7280382430833</v>
      </c>
      <c r="BN535" s="0" t="n">
        <f aca="false">(H535+D535)*180/Pi</f>
        <v>-178.455075185613</v>
      </c>
      <c r="BQ535" s="347" t="n">
        <f aca="false">20*LOG(BA535*7)</f>
        <v>25.7826105743736</v>
      </c>
    </row>
    <row r="536" customFormat="false" ht="12.75" hidden="false" customHeight="false" outlineLevel="0" collapsed="false">
      <c r="A536" s="0" t="n">
        <f aca="false">A535+5000</f>
        <v>1610000</v>
      </c>
      <c r="B536" s="0" t="n">
        <f aca="false">A536/1000</f>
        <v>1610</v>
      </c>
      <c r="C536" s="0" t="n">
        <f aca="false">SQRT((A536/Fesr)^2+1)</f>
        <v>1.00005116469411</v>
      </c>
      <c r="D536" s="0" t="n">
        <f aca="false">ATAN(A536/Fesr)</f>
        <v>0.0101155832931052</v>
      </c>
      <c r="F536" s="0" t="n">
        <f aca="false">(Ro/(Ro+Rdcr))/SQRT((A536/(Q*Fo))^2+(1-(A536^2/Fo^2))^2)</f>
        <v>0.000718836694600051</v>
      </c>
      <c r="G536" s="0" t="n">
        <f aca="false">-ATAN(A536*Fo/(Q*(Fo^2-A536^2)))</f>
        <v>0.0168273660502852</v>
      </c>
      <c r="H536" s="0" t="n">
        <f aca="false">IF(G536&gt;0,G536-Pi,G536)</f>
        <v>-3.12476528394971</v>
      </c>
      <c r="J536" s="0" t="n">
        <f aca="false">Vin/Vramp</f>
        <v>9</v>
      </c>
      <c r="M536" s="0" t="n">
        <f aca="false">1/(2*Pi*_Rfb1*(Cc1ea_u+Cc2ea_u)*A536)</f>
        <v>0.00366125933456996</v>
      </c>
      <c r="N536" s="0" t="n">
        <f aca="false">-Pi/2</f>
        <v>-1.570796325</v>
      </c>
      <c r="O536" s="0" t="n">
        <f aca="false">SQRT(1+(A536/Fz1_u)^2)</f>
        <v>39.3434400108534</v>
      </c>
      <c r="P536" s="0" t="n">
        <f aca="false">ATAN2(Fz1_u,A536)</f>
        <v>1.54537639139111</v>
      </c>
      <c r="Q536" s="0" t="n">
        <f aca="false">SQRT(1+(A536/Fz2_u)^2)</f>
        <v>44629.3717033061</v>
      </c>
      <c r="R536" s="0" t="n">
        <f aca="false">ATAN2(Fz2_u,A536)</f>
        <v>1.5707739200264</v>
      </c>
      <c r="S536" s="0" t="n">
        <f aca="false">1/SQRT(1+(A536/Fp1_u)^2)</f>
        <v>0.00838284672932969</v>
      </c>
      <c r="T536" s="0" t="n">
        <f aca="false">-ATAN2(Fp1_u,A536)</f>
        <v>-1.56241338188239</v>
      </c>
      <c r="U536" s="0" t="n">
        <f aca="false">1/SQRT(1+(A536/Fp2_u)^2)</f>
        <v>0.223063139942853</v>
      </c>
      <c r="V536" s="0" t="n">
        <f aca="false">-ATAN2(Fp2_u,A536)</f>
        <v>-1.34584066638341</v>
      </c>
      <c r="X536" s="0" t="n">
        <f aca="false">20*LOG(C536*J536*O536*Q536*F536*M536*S536*U536)</f>
        <v>-22.1832420080415</v>
      </c>
      <c r="Y536" s="0" t="n">
        <f aca="false">(180/Pi)*(D536+H536+N536+P536+R536+T536+V536)</f>
        <v>-256.54470424448</v>
      </c>
      <c r="Z536" s="0" t="n">
        <f aca="false">Y536+180</f>
        <v>-76.5447042444805</v>
      </c>
      <c r="AC536" s="0" t="n">
        <v>1</v>
      </c>
      <c r="AD536" s="0" t="n">
        <f aca="false">Rcea1_u*Cc1ea_u*A536*2*Pi</f>
        <v>39.330729358704</v>
      </c>
      <c r="AE536" s="0" t="n">
        <f aca="false">-Rcea1_u*Cc1ea_u*Cc2ea_u*(A536*2*Pi)^2</f>
        <v>-0.0596800259215903</v>
      </c>
      <c r="AF536" s="0" t="n">
        <f aca="false">(Cc2ea_u+Cc1ea_u)*A536*2*Pi</f>
        <v>0.01365650324955</v>
      </c>
      <c r="AG536" s="0" t="n">
        <f aca="false">AC536*AE536/(AE536^2+AF536^2)+AD536*AF536/(AE536^2+AF536^2)</f>
        <v>127.378340866982</v>
      </c>
      <c r="AH536" s="0" t="n">
        <f aca="false">AD536*AE536/(AE536^2+AF536^2)-AC536*AF536/(AE536^2+AF536^2)</f>
        <v>-629.878859002514</v>
      </c>
      <c r="AJ536" s="0" t="n">
        <f aca="false">_Rfb1</f>
        <v>20000</v>
      </c>
      <c r="AK536" s="0" t="n">
        <f aca="false">_Rfb1*Rcea2_u*Cc3ea_u*A536*2*Pi</f>
        <v>2385740.53805472</v>
      </c>
      <c r="AL536" s="0" t="n">
        <v>1</v>
      </c>
      <c r="AM536" s="0" t="n">
        <f aca="false">(_Rfb1+Rcea2_u)*Cc3ea_u*A536*2*Pi</f>
        <v>44629.3716921027</v>
      </c>
      <c r="AN536" s="0" t="n">
        <f aca="false">AJ536*AL536/(AL536^2+AM536^2)+AK536*AM536/(AL536^2+AM536^2)</f>
        <v>53.4567459620871</v>
      </c>
      <c r="AO536" s="0" t="n">
        <f aca="false">AK536*AL536/(AL536^2+AM536^2)-AJ536*AM536/(AL536^2+AM536^2)</f>
        <v>-0.446937577155439</v>
      </c>
      <c r="AQ536" s="0" t="n">
        <f aca="false">Eadcg/(1+(Eadcg*A536/GBP)^2)</f>
        <v>0.00439226242277107</v>
      </c>
      <c r="AR536" s="0" t="n">
        <f aca="false">-(A536*Eadcg*Eadcg/GBP)/(1+(Eadcg*A536/GBP)^2)</f>
        <v>-3.72670289784857</v>
      </c>
      <c r="AT536" s="0" t="n">
        <f aca="false">-AR536*AH536+AG536*AQ536</f>
        <v>-2346.81189003816</v>
      </c>
      <c r="AU536" s="0" t="n">
        <f aca="false">AQ536*AH536+AG536*AR536</f>
        <v>-477.467825275421</v>
      </c>
      <c r="AV536" s="0" t="n">
        <f aca="false">ATAN2(AT536,AU536)</f>
        <v>-2.94087833707388</v>
      </c>
      <c r="AW536" s="0" t="n">
        <f aca="false">AG536-AH536*AO536/_Rfb2+AG536*AN536/_Rfb2+AN536-AO536*AR536+AQ536*AN536</f>
        <v>182.341751106604</v>
      </c>
      <c r="AX536" s="0" t="n">
        <f aca="false">AH536+AH536*AN536/_Rfb2+AG536*AO536/_Rfb2+AO536+AO536*AQ536+AN536*AR536</f>
        <v>-844.722861677096</v>
      </c>
      <c r="AY536" s="0" t="n">
        <f aca="false">ATAN2(AW536,AX536)</f>
        <v>-1.3581984516034</v>
      </c>
      <c r="BA536" s="0" t="n">
        <f aca="false">SQRT(AT536^2+AU536^2)/SQRT(AW536^2+AX536^2)</f>
        <v>2.77129033396052</v>
      </c>
      <c r="BB536" s="0" t="n">
        <f aca="false">20*LOG(BA536)</f>
        <v>8.85364053969231</v>
      </c>
      <c r="BC536" s="0" t="n">
        <f aca="false">AV536-AY536</f>
        <v>-1.58267988547048</v>
      </c>
      <c r="BD536" s="0" t="n">
        <f aca="false">BC536*180/Pi-180</f>
        <v>-270.680877861325</v>
      </c>
      <c r="BF536" s="0" t="n">
        <f aca="false">20*LOG(BA536*J536*F536*C536)</f>
        <v>-34.9284601016076</v>
      </c>
      <c r="BG536" s="0" t="n">
        <f aca="false">(180/Pi)*(D536+H536+BC536)</f>
        <v>-269.13716057455</v>
      </c>
      <c r="BH536" s="0" t="n">
        <f aca="false">IF(BG536&gt;180,BG536-180,BG536+180)</f>
        <v>-89.1371605745499</v>
      </c>
      <c r="BI536" s="0" t="n">
        <f aca="false">IF(BH536&gt;180,BH536-360,BH536)</f>
        <v>-89.1371605745499</v>
      </c>
      <c r="BJ536" s="0" t="n">
        <f aca="false">SUM((BF537&lt;0)*(BF536&gt;0))*A536</f>
        <v>0</v>
      </c>
      <c r="BK536" s="0" t="n">
        <f aca="false">IF(BJ536&gt;0,BI536,0)</f>
        <v>0</v>
      </c>
      <c r="BM536" s="0" t="n">
        <f aca="false">20*LOG(J536*F536*C536)</f>
        <v>-43.7821006412999</v>
      </c>
      <c r="BN536" s="0" t="n">
        <f aca="false">(H536+D536)*180/Pi</f>
        <v>-178.456282713225</v>
      </c>
      <c r="BQ536" s="347" t="n">
        <f aca="false">20*LOG(BA536*7)</f>
        <v>25.7556013399774</v>
      </c>
    </row>
    <row r="537" customFormat="false" ht="12.75" hidden="false" customHeight="false" outlineLevel="0" collapsed="false">
      <c r="A537" s="0" t="n">
        <f aca="false">A536+5000</f>
        <v>1615000</v>
      </c>
      <c r="B537" s="0" t="n">
        <f aca="false">A537/1000</f>
        <v>1615</v>
      </c>
      <c r="C537" s="0" t="n">
        <f aca="false">SQRT((A537/Fesr)^2+1)</f>
        <v>1.00005148297251</v>
      </c>
      <c r="D537" s="0" t="n">
        <f aca="false">ATAN(A537/Fesr)</f>
        <v>0.010146995995087</v>
      </c>
      <c r="F537" s="0" t="n">
        <f aca="false">(Ro/(Ro+Rdcr))/SQRT((A537/(Q*Fo))^2+(1-(A537^2/Fo^2))^2)</f>
        <v>0.000714390010014624</v>
      </c>
      <c r="G537" s="0" t="n">
        <f aca="false">-ATAN(A537*Fo/(Q*(Fo^2-A537^2)))</f>
        <v>0.0167752036111106</v>
      </c>
      <c r="H537" s="0" t="n">
        <f aca="false">IF(G537&gt;0,G537-Pi,G537)</f>
        <v>-3.12481744638889</v>
      </c>
      <c r="J537" s="0" t="n">
        <f aca="false">Vin/Vramp</f>
        <v>9</v>
      </c>
      <c r="M537" s="0" t="n">
        <f aca="false">1/(2*Pi*_Rfb1*(Cc1ea_u+Cc2ea_u)*A537)</f>
        <v>0.00364992416635148</v>
      </c>
      <c r="N537" s="0" t="n">
        <f aca="false">-Pi/2</f>
        <v>-1.570796325</v>
      </c>
      <c r="O537" s="0" t="n">
        <f aca="false">SQRT(1+(A537/Fz1_u)^2)</f>
        <v>39.4655457938756</v>
      </c>
      <c r="P537" s="0" t="n">
        <f aca="false">ATAN2(Fz1_u,A537)</f>
        <v>1.54545505714075</v>
      </c>
      <c r="Q537" s="0" t="n">
        <f aca="false">SQRT(1+(A537/Fz2_u)^2)</f>
        <v>44767.9722364767</v>
      </c>
      <c r="R537" s="0" t="n">
        <f aca="false">ATAN2(Fz2_u,A537)</f>
        <v>1.5707739893972</v>
      </c>
      <c r="S537" s="0" t="n">
        <f aca="false">1/SQRT(1+(A537/Fp1_u)^2)</f>
        <v>0.00835689545879849</v>
      </c>
      <c r="T537" s="0" t="n">
        <f aca="false">-ATAN2(Fp1_u,A537)</f>
        <v>-1.56243933406198</v>
      </c>
      <c r="U537" s="0" t="n">
        <f aca="false">1/SQRT(1+(A537/Fp2_u)^2)</f>
        <v>0.222406752663391</v>
      </c>
      <c r="V537" s="0" t="n">
        <f aca="false">-ATAN2(Fp2_u,A537)</f>
        <v>-1.34651396765106</v>
      </c>
      <c r="X537" s="0" t="n">
        <f aca="false">20*LOG(C537*J537*O537*Q537*F537*M537*S537*U537)</f>
        <v>-22.2627488612397</v>
      </c>
      <c r="Y537" s="0" t="n">
        <f aca="false">(180/Pi)*(D537+H537+N537+P537+R537+T537+V537)</f>
        <v>-256.581446198125</v>
      </c>
      <c r="Z537" s="0" t="n">
        <f aca="false">Y537+180</f>
        <v>-76.5814461981252</v>
      </c>
      <c r="AC537" s="0" t="n">
        <v>1</v>
      </c>
      <c r="AD537" s="0" t="n">
        <f aca="false">Rcea1_u*Cc1ea_u*A537*2*Pi</f>
        <v>39.452874480936</v>
      </c>
      <c r="AE537" s="0" t="n">
        <f aca="false">-Rcea1_u*Cc1ea_u*Cc2ea_u*(A537*2*Pi)^2</f>
        <v>-0.060051284907735</v>
      </c>
      <c r="AF537" s="0" t="n">
        <f aca="false">(Cc2ea_u+Cc1ea_u)*A537*2*Pi</f>
        <v>0.013698914750325</v>
      </c>
      <c r="AG537" s="0" t="n">
        <f aca="false">AC537*AE537/(AE537^2+AF537^2)+AD537*AF537/(AE537^2+AF537^2)</f>
        <v>126.629794893503</v>
      </c>
      <c r="AH537" s="0" t="n">
        <f aca="false">AD537*AE537/(AE537^2+AF537^2)-AC537*AF537/(AE537^2+AF537^2)</f>
        <v>-628.099528158146</v>
      </c>
      <c r="AJ537" s="0" t="n">
        <f aca="false">_Rfb1</f>
        <v>20000</v>
      </c>
      <c r="AK537" s="0" t="n">
        <f aca="false">_Rfb1*Rcea2_u*Cc3ea_u*A537*2*Pi</f>
        <v>2393149.67016048</v>
      </c>
      <c r="AL537" s="0" t="n">
        <v>1</v>
      </c>
      <c r="AM537" s="0" t="n">
        <f aca="false">(_Rfb1+Rcea2_u)*Cc3ea_u*A537*2*Pi</f>
        <v>44767.972225308</v>
      </c>
      <c r="AN537" s="0" t="n">
        <f aca="false">AJ537*AL537/(AL537^2+AM537^2)+AK537*AM537/(AL537^2+AM537^2)</f>
        <v>53.4567459001743</v>
      </c>
      <c r="AO537" s="0" t="n">
        <f aca="false">AK537*AL537/(AL537^2+AM537^2)-AJ537*AM537/(AL537^2+AM537^2)</f>
        <v>-0.44555386948761</v>
      </c>
      <c r="AQ537" s="0" t="n">
        <f aca="false">Eadcg/(1+(Eadcg*A537/GBP)^2)</f>
        <v>0.00436510788901969</v>
      </c>
      <c r="AR537" s="0" t="n">
        <f aca="false">-(A537*Eadcg*Eadcg/GBP)/(1+(Eadcg*A537/GBP)^2)</f>
        <v>-3.7151651498841</v>
      </c>
      <c r="AT537" s="0" t="n">
        <f aca="false">-AR537*AH537+AG537*AQ537</f>
        <v>-2332.94072495512</v>
      </c>
      <c r="AU537" s="0" t="n">
        <f aca="false">AQ537*AH537+AG537*AR537</f>
        <v>-473.192323130768</v>
      </c>
      <c r="AV537" s="0" t="n">
        <f aca="false">ATAN2(AT537,AU537)</f>
        <v>-2.94147662147864</v>
      </c>
      <c r="AW537" s="0" t="n">
        <f aca="false">AG537-AH537*AO537/_Rfb2+AG537*AN537/_Rfb2+AN537-AO537*AR537+AQ537*AN537</f>
        <v>181.58479311583</v>
      </c>
      <c r="AX537" s="0" t="n">
        <f aca="false">AH537+AH537*AN537/_Rfb2+AG537*AO537/_Rfb2+AO537+AO537*AQ537+AN537*AR537</f>
        <v>-842.282326085226</v>
      </c>
      <c r="AY537" s="0" t="n">
        <f aca="false">ATAN2(AW537,AX537)</f>
        <v>-1.35845954039387</v>
      </c>
      <c r="BA537" s="0" t="n">
        <f aca="false">SQRT(AT537^2+AU537^2)/SQRT(AW537^2+AX537^2)</f>
        <v>2.7627124815822</v>
      </c>
      <c r="BB537" s="0" t="n">
        <f aca="false">20*LOG(BA537)</f>
        <v>8.8267137956185</v>
      </c>
      <c r="BC537" s="0" t="n">
        <f aca="false">AV537-AY537</f>
        <v>-1.58301708108478</v>
      </c>
      <c r="BD537" s="0" t="n">
        <f aca="false">BC537*180/Pi-180</f>
        <v>-270.700197746917</v>
      </c>
      <c r="BF537" s="0" t="n">
        <f aca="false">20*LOG(BA537*J537*F537*C537)</f>
        <v>-35.0092813961684</v>
      </c>
      <c r="BG537" s="0" t="n">
        <f aca="false">(180/Pi)*(D537+H537+BC537)</f>
        <v>-269.15766933251</v>
      </c>
      <c r="BH537" s="0" t="n">
        <f aca="false">IF(BG537&gt;180,BG537-180,BG537+180)</f>
        <v>-89.1576693325101</v>
      </c>
      <c r="BI537" s="0" t="n">
        <f aca="false">IF(BH537&gt;180,BH537-360,BH537)</f>
        <v>-89.1576693325101</v>
      </c>
      <c r="BJ537" s="0" t="n">
        <f aca="false">SUM((BF538&lt;0)*(BF537&gt;0))*A537</f>
        <v>0</v>
      </c>
      <c r="BK537" s="0" t="n">
        <f aca="false">IF(BJ537&gt;0,BI537,0)</f>
        <v>0</v>
      </c>
      <c r="BM537" s="0" t="n">
        <f aca="false">20*LOG(J537*F537*C537)</f>
        <v>-43.8359951917869</v>
      </c>
      <c r="BN537" s="0" t="n">
        <f aca="false">(H537+D537)*180/Pi</f>
        <v>-178.457471585594</v>
      </c>
      <c r="BQ537" s="347" t="n">
        <f aca="false">20*LOG(BA537*7)</f>
        <v>25.7286745959036</v>
      </c>
    </row>
    <row r="538" customFormat="false" ht="12.75" hidden="false" customHeight="false" outlineLevel="0" collapsed="false">
      <c r="A538" s="0" t="n">
        <f aca="false">A537+5000</f>
        <v>1620000</v>
      </c>
      <c r="B538" s="0" t="n">
        <f aca="false">A538/1000</f>
        <v>1620</v>
      </c>
      <c r="C538" s="0" t="n">
        <f aca="false">SQRT((A538/Fesr)^2+1)</f>
        <v>1.00005180223773</v>
      </c>
      <c r="D538" s="0" t="n">
        <f aca="false">ATAN(A538/Fesr)</f>
        <v>0.010178408677043</v>
      </c>
      <c r="F538" s="0" t="n">
        <f aca="false">(Ro/(Ro+Rdcr))/SQRT((A538/(Q*Fo))^2+(1-(A538^2/Fo^2))^2)</f>
        <v>0.000709984466452043</v>
      </c>
      <c r="G538" s="0" t="n">
        <f aca="false">-ATAN(A538*Fo/(Q*(Fo^2-A538^2)))</f>
        <v>0.0167233637648397</v>
      </c>
      <c r="H538" s="0" t="n">
        <f aca="false">IF(G538&gt;0,G538-Pi,G538)</f>
        <v>-3.12486928623516</v>
      </c>
      <c r="J538" s="0" t="n">
        <f aca="false">Vin/Vramp</f>
        <v>9</v>
      </c>
      <c r="M538" s="0" t="n">
        <f aca="false">1/(2*Pi*_Rfb1*(Cc1ea_u+Cc2ea_u)*A538)</f>
        <v>0.00363865896830719</v>
      </c>
      <c r="N538" s="0" t="n">
        <f aca="false">-Pi/2</f>
        <v>-1.570796325</v>
      </c>
      <c r="O538" s="0" t="n">
        <f aca="false">SQRT(1+(A538/Fz1_u)^2)</f>
        <v>39.5876518196158</v>
      </c>
      <c r="P538" s="0" t="n">
        <f aca="false">ATAN2(Fz1_u,A538)</f>
        <v>1.54553323761016</v>
      </c>
      <c r="Q538" s="0" t="n">
        <f aca="false">SQRT(1+(A538/Fz2_u)^2)</f>
        <v>44906.5727696475</v>
      </c>
      <c r="R538" s="0" t="n">
        <f aca="false">ATAN2(Fz2_u,A538)</f>
        <v>1.57077405833978</v>
      </c>
      <c r="S538" s="0" t="n">
        <f aca="false">1/SQRT(1+(A538/Fp1_u)^2)</f>
        <v>0.00833110436456567</v>
      </c>
      <c r="T538" s="0" t="n">
        <f aca="false">-ATAN2(Fp1_u,A538)</f>
        <v>-1.56246512605408</v>
      </c>
      <c r="U538" s="0" t="n">
        <f aca="false">1/SQRT(1+(A538/Fp2_u)^2)</f>
        <v>0.2217541173847</v>
      </c>
      <c r="V538" s="0" t="n">
        <f aca="false">-ATAN2(Fp2_u,A538)</f>
        <v>-1.34718331772049</v>
      </c>
      <c r="X538" s="0" t="n">
        <f aca="false">20*LOG(C538*J538*O538*Q538*F538*M538*S538*U538)</f>
        <v>-22.3420174554117</v>
      </c>
      <c r="Y538" s="0" t="n">
        <f aca="false">(180/Pi)*(D538+H538+N538+P538+R538+T538+V538)</f>
        <v>-256.617961933701</v>
      </c>
      <c r="Z538" s="0" t="n">
        <f aca="false">Y538+180</f>
        <v>-76.6179619337009</v>
      </c>
      <c r="AC538" s="0" t="n">
        <v>1</v>
      </c>
      <c r="AD538" s="0" t="n">
        <f aca="false">Rcea1_u*Cc1ea_u*A538*2*Pi</f>
        <v>39.575019603168</v>
      </c>
      <c r="AE538" s="0" t="n">
        <f aca="false">-Rcea1_u*Cc1ea_u*Cc2ea_u*(A538*2*Pi)^2</f>
        <v>-0.0604236950845344</v>
      </c>
      <c r="AF538" s="0" t="n">
        <f aca="false">(Cc2ea_u+Cc1ea_u)*A538*2*Pi</f>
        <v>0.0137413262511</v>
      </c>
      <c r="AG538" s="0" t="n">
        <f aca="false">AC538*AE538/(AE538^2+AF538^2)+AD538*AF538/(AE538^2+AF538^2)</f>
        <v>125.887714757292</v>
      </c>
      <c r="AH538" s="0" t="n">
        <f aca="false">AD538*AE538/(AE538^2+AF538^2)-AC538*AF538/(AE538^2+AF538^2)</f>
        <v>-626.329710401461</v>
      </c>
      <c r="AJ538" s="0" t="n">
        <f aca="false">_Rfb1</f>
        <v>20000</v>
      </c>
      <c r="AK538" s="0" t="n">
        <f aca="false">_Rfb1*Rcea2_u*Cc3ea_u*A538*2*Pi</f>
        <v>2400558.80226624</v>
      </c>
      <c r="AL538" s="0" t="n">
        <v>1</v>
      </c>
      <c r="AM538" s="0" t="n">
        <f aca="false">(_Rfb1+Rcea2_u)*Cc3ea_u*A538*2*Pi</f>
        <v>44906.5727585133</v>
      </c>
      <c r="AN538" s="0" t="n">
        <f aca="false">AJ538*AL538/(AL538^2+AM538^2)+AK538*AM538/(AL538^2+AM538^2)</f>
        <v>53.4567458388338</v>
      </c>
      <c r="AO538" s="0" t="n">
        <f aca="false">AK538*AL538/(AL538^2+AM538^2)-AJ538*AM538/(AL538^2+AM538^2)</f>
        <v>-0.444178703225125</v>
      </c>
      <c r="AQ538" s="0" t="n">
        <f aca="false">Eadcg/(1+(Eadcg*A538/GBP)^2)</f>
        <v>0.00433820439746531</v>
      </c>
      <c r="AR538" s="0" t="n">
        <f aca="false">-(A538*Eadcg*Eadcg/GBP)/(1+(Eadcg*A538/GBP)^2)</f>
        <v>-3.70369862229204</v>
      </c>
      <c r="AT538" s="0" t="n">
        <f aca="false">-AR538*AH538+AG538*AQ538</f>
        <v>-2319.19035887671</v>
      </c>
      <c r="AU538" s="0" t="n">
        <f aca="false">AQ538*AH538+AG538*AR538</f>
        <v>-468.967302014003</v>
      </c>
      <c r="AV538" s="0" t="n">
        <f aca="false">ATAN2(AT538,AU538)</f>
        <v>-2.94207141744146</v>
      </c>
      <c r="AW538" s="0" t="n">
        <f aca="false">AG538-AH538*AO538/_Rfb2+AG538*AN538/_Rfb2+AN538-AO538*AR538+AQ538*AN538</f>
        <v>180.834368198866</v>
      </c>
      <c r="AX538" s="0" t="n">
        <f aca="false">AH538+AH538*AN538/_Rfb2+AG538*AO538/_Rfb2+AO538+AO538*AQ538+AN538*AR538</f>
        <v>-839.855351110155</v>
      </c>
      <c r="AY538" s="0" t="n">
        <f aca="false">ATAN2(AW538,AX538)</f>
        <v>-1.35871806457051</v>
      </c>
      <c r="BA538" s="0" t="n">
        <f aca="false">SQRT(AT538^2+AU538^2)/SQRT(AW538^2+AX538^2)</f>
        <v>2.75418717597133</v>
      </c>
      <c r="BB538" s="0" t="n">
        <f aca="false">20*LOG(BA538)</f>
        <v>8.79986903598668</v>
      </c>
      <c r="BC538" s="0" t="n">
        <f aca="false">AV538-AY538</f>
        <v>-1.58335335287096</v>
      </c>
      <c r="BD538" s="0" t="n">
        <f aca="false">BC538*180/Pi-180</f>
        <v>-270.719464701056</v>
      </c>
      <c r="BF538" s="0" t="n">
        <f aca="false">20*LOG(BA538*J538*F538*C538)</f>
        <v>-35.0898538980062</v>
      </c>
      <c r="BG538" s="0" t="n">
        <f aca="false">(180/Pi)*(D538+H538+BC538)</f>
        <v>-269.178106676954</v>
      </c>
      <c r="BH538" s="0" t="n">
        <f aca="false">IF(BG538&gt;180,BG538-180,BG538+180)</f>
        <v>-89.1781066769536</v>
      </c>
      <c r="BI538" s="0" t="n">
        <f aca="false">IF(BH538&gt;180,BH538-360,BH538)</f>
        <v>-89.1781066769536</v>
      </c>
      <c r="BJ538" s="0" t="n">
        <f aca="false">SUM((BF539&lt;0)*(BF538&gt;0))*A538</f>
        <v>0</v>
      </c>
      <c r="BK538" s="0" t="n">
        <f aca="false">IF(BJ538&gt;0,BI538,0)</f>
        <v>0</v>
      </c>
      <c r="BM538" s="0" t="n">
        <f aca="false">20*LOG(J538*F538*C538)</f>
        <v>-43.8897229339929</v>
      </c>
      <c r="BN538" s="0" t="n">
        <f aca="false">(H538+D538)*180/Pi</f>
        <v>-178.458641975898</v>
      </c>
      <c r="BQ538" s="347" t="n">
        <f aca="false">20*LOG(BA538*7)</f>
        <v>25.7018298362718</v>
      </c>
    </row>
    <row r="539" customFormat="false" ht="12.75" hidden="false" customHeight="false" outlineLevel="0" collapsed="false">
      <c r="A539" s="0" t="n">
        <f aca="false">A538+5000</f>
        <v>1625000</v>
      </c>
      <c r="B539" s="0" t="n">
        <f aca="false">A539/1000</f>
        <v>1625</v>
      </c>
      <c r="C539" s="0" t="n">
        <f aca="false">SQRT((A539/Fesr)^2+1)</f>
        <v>1.00005212248975</v>
      </c>
      <c r="D539" s="0" t="n">
        <f aca="false">ATAN(A539/Fesr)</f>
        <v>0.010209821338911</v>
      </c>
      <c r="F539" s="0" t="n">
        <f aca="false">(Ro/(Ro+Rdcr))/SQRT((A539/(Q*Fo))^2+(1-(A539^2/Fo^2))^2)</f>
        <v>0.000705619557857824</v>
      </c>
      <c r="G539" s="0" t="n">
        <f aca="false">-ATAN(A539*Fo/(Q*(Fo^2-A539^2)))</f>
        <v>0.0166718435263036</v>
      </c>
      <c r="H539" s="0" t="n">
        <f aca="false">IF(G539&gt;0,G539-Pi,G539)</f>
        <v>-3.1249208064737</v>
      </c>
      <c r="J539" s="0" t="n">
        <f aca="false">Vin/Vramp</f>
        <v>9</v>
      </c>
      <c r="M539" s="0" t="n">
        <f aca="false">1/(2*Pi*_Rfb1*(Cc1ea_u+Cc2ea_u)*A539)</f>
        <v>0.00362746309455855</v>
      </c>
      <c r="N539" s="0" t="n">
        <f aca="false">-Pi/2</f>
        <v>-1.570796325</v>
      </c>
      <c r="O539" s="0" t="n">
        <f aca="false">SQRT(1+(A539/Fz1_u)^2)</f>
        <v>39.7097580858351</v>
      </c>
      <c r="P539" s="0" t="n">
        <f aca="false">ATAN2(Fz1_u,A539)</f>
        <v>1.54561093727503</v>
      </c>
      <c r="Q539" s="0" t="n">
        <f aca="false">SQRT(1+(A539/Fz2_u)^2)</f>
        <v>45045.1733028186</v>
      </c>
      <c r="R539" s="0" t="n">
        <f aca="false">ATAN2(Fz2_u,A539)</f>
        <v>1.57077412685811</v>
      </c>
      <c r="S539" s="0" t="n">
        <f aca="false">1/SQRT(1+(A539/Fp1_u)^2)</f>
        <v>0.00830547196828573</v>
      </c>
      <c r="T539" s="0" t="n">
        <f aca="false">-ATAN2(Fp1_u,A539)</f>
        <v>-1.56249075933721</v>
      </c>
      <c r="U539" s="0" t="n">
        <f aca="false">1/SQRT(1+(A539/Fp2_u)^2)</f>
        <v>0.221105202920317</v>
      </c>
      <c r="V539" s="0" t="n">
        <f aca="false">-ATAN2(Fp2_u,A539)</f>
        <v>-1.34784875067622</v>
      </c>
      <c r="X539" s="0" t="n">
        <f aca="false">20*LOG(C539*J539*O539*Q539*F539*M539*S539*U539)</f>
        <v>-22.4210491943998</v>
      </c>
      <c r="Y539" s="0" t="n">
        <f aca="false">(180/Pi)*(D539+H539+N539+P539+R539+T539+V539)</f>
        <v>-256.654253403195</v>
      </c>
      <c r="Z539" s="0" t="n">
        <f aca="false">Y539+180</f>
        <v>-76.6542534031946</v>
      </c>
      <c r="AC539" s="0" t="n">
        <v>1</v>
      </c>
      <c r="AD539" s="0" t="n">
        <f aca="false">Rcea1_u*Cc1ea_u*A539*2*Pi</f>
        <v>39.6971647254</v>
      </c>
      <c r="AE539" s="0" t="n">
        <f aca="false">-Rcea1_u*Cc1ea_u*Cc2ea_u*(A539*2*Pi)^2</f>
        <v>-0.0607972564519885</v>
      </c>
      <c r="AF539" s="0" t="n">
        <f aca="false">(Cc2ea_u+Cc1ea_u)*A539*2*Pi</f>
        <v>0.013783737751875</v>
      </c>
      <c r="AG539" s="0" t="n">
        <f aca="false">AC539*AE539/(AE539^2+AF539^2)+AD539*AF539/(AE539^2+AF539^2)</f>
        <v>125.152027541592</v>
      </c>
      <c r="AH539" s="0" t="n">
        <f aca="false">AD539*AE539/(AE539^2+AF539^2)-AC539*AF539/(AE539^2+AF539^2)</f>
        <v>-624.56933445077</v>
      </c>
      <c r="AJ539" s="0" t="n">
        <f aca="false">_Rfb1</f>
        <v>20000</v>
      </c>
      <c r="AK539" s="0" t="n">
        <f aca="false">_Rfb1*Rcea2_u*Cc3ea_u*A539*2*Pi</f>
        <v>2407967.934372</v>
      </c>
      <c r="AL539" s="0" t="n">
        <v>1</v>
      </c>
      <c r="AM539" s="0" t="n">
        <f aca="false">(_Rfb1+Rcea2_u)*Cc3ea_u*A539*2*Pi</f>
        <v>45045.1732917186</v>
      </c>
      <c r="AN539" s="0" t="n">
        <f aca="false">AJ539*AL539/(AL539^2+AM539^2)+AK539*AM539/(AL539^2+AM539^2)</f>
        <v>53.4567457780587</v>
      </c>
      <c r="AO539" s="0" t="n">
        <f aca="false">AK539*AL539/(AL539^2+AM539^2)-AJ539*AM539/(AL539^2+AM539^2)</f>
        <v>-0.442811999524243</v>
      </c>
      <c r="AQ539" s="0" t="n">
        <f aca="false">Eadcg/(1+(Eadcg*A539/GBP)^2)</f>
        <v>0.00431154886312322</v>
      </c>
      <c r="AR539" s="0" t="n">
        <f aca="false">-(A539*Eadcg*Eadcg/GBP)/(1+(Eadcg*A539/GBP)^2)</f>
        <v>-3.69230265765714</v>
      </c>
      <c r="AT539" s="0" t="n">
        <f aca="false">-AR539*AH539+AG539*AQ539</f>
        <v>-2305.55941440167</v>
      </c>
      <c r="AU539" s="0" t="n">
        <f aca="false">AQ539*AH539+AG539*AR539</f>
        <v>-464.792025106895</v>
      </c>
      <c r="AV539" s="0" t="n">
        <f aca="false">ATAN2(AT539,AU539)</f>
        <v>-2.94266275477906</v>
      </c>
      <c r="AW539" s="0" t="n">
        <f aca="false">AG539-AH539*AO539/_Rfb2+AG539*AN539/_Rfb2+AN539-AO539*AR539+AQ539*AN539</f>
        <v>180.090402764282</v>
      </c>
      <c r="AX539" s="0" t="n">
        <f aca="false">AH539+AH539*AN539/_Rfb2+AG539*AO539/_Rfb2+AO539+AO539*AQ539+AN539*AR539</f>
        <v>-837.441828490326</v>
      </c>
      <c r="AY539" s="0" t="n">
        <f aca="false">ATAN2(AW539,AX539)</f>
        <v>-1.35897404554077</v>
      </c>
      <c r="BA539" s="0" t="n">
        <f aca="false">SQRT(AT539^2+AU539^2)/SQRT(AW539^2+AX539^2)</f>
        <v>2.7457139358275</v>
      </c>
      <c r="BB539" s="0" t="n">
        <f aca="false">20*LOG(BA539)</f>
        <v>8.77310575952108</v>
      </c>
      <c r="BC539" s="0" t="n">
        <f aca="false">AV539-AY539</f>
        <v>-1.58368870923829</v>
      </c>
      <c r="BD539" s="0" t="n">
        <f aca="false">BC539*180/Pi-180</f>
        <v>-270.738679205559</v>
      </c>
      <c r="BF539" s="0" t="n">
        <f aca="false">20*LOG(BA539*J539*F539*C539)</f>
        <v>-35.1701791382137</v>
      </c>
      <c r="BG539" s="0" t="n">
        <f aca="false">(180/Pi)*(D539+H539+BC539)</f>
        <v>-269.198473260737</v>
      </c>
      <c r="BH539" s="0" t="n">
        <f aca="false">IF(BG539&gt;180,BG539-180,BG539+180)</f>
        <v>-89.1984732607371</v>
      </c>
      <c r="BI539" s="0" t="n">
        <f aca="false">IF(BH539&gt;180,BH539-360,BH539)</f>
        <v>-89.1984732607371</v>
      </c>
      <c r="BJ539" s="0" t="n">
        <f aca="false">SUM((BF540&lt;0)*(BF539&gt;0))*A539</f>
        <v>0</v>
      </c>
      <c r="BK539" s="0" t="n">
        <f aca="false">IF(BJ539&gt;0,BI539,0)</f>
        <v>0</v>
      </c>
      <c r="BM539" s="0" t="n">
        <f aca="false">20*LOG(J539*F539*C539)</f>
        <v>-43.9432848977348</v>
      </c>
      <c r="BN539" s="0" t="n">
        <f aca="false">(H539+D539)*180/Pi</f>
        <v>-178.459794055178</v>
      </c>
      <c r="BQ539" s="347" t="n">
        <f aca="false">20*LOG(BA539*7)</f>
        <v>25.6750665598062</v>
      </c>
    </row>
    <row r="540" customFormat="false" ht="12.75" hidden="false" customHeight="false" outlineLevel="0" collapsed="false">
      <c r="A540" s="0" t="n">
        <f aca="false">A539+5000</f>
        <v>1630000</v>
      </c>
      <c r="B540" s="0" t="n">
        <f aca="false">A540/1000</f>
        <v>1630</v>
      </c>
      <c r="C540" s="0" t="n">
        <f aca="false">SQRT((A540/Fesr)^2+1)</f>
        <v>1.00005244372857</v>
      </c>
      <c r="D540" s="0" t="n">
        <f aca="false">ATAN(A540/Fesr)</f>
        <v>0.0102412339806291</v>
      </c>
      <c r="F540" s="0" t="n">
        <f aca="false">(Ro/(Ro+Rdcr))/SQRT((A540/(Q*Fo))^2+(1-(A540^2/Fo^2))^2)</f>
        <v>0.000701294785935976</v>
      </c>
      <c r="G540" s="0" t="n">
        <f aca="false">-ATAN(A540*Fo/(Q*(Fo^2-A540^2)))</f>
        <v>0.0166206399470746</v>
      </c>
      <c r="H540" s="0" t="n">
        <f aca="false">IF(G540&gt;0,G540-Pi,G540)</f>
        <v>-3.12497201005293</v>
      </c>
      <c r="J540" s="0" t="n">
        <f aca="false">Vin/Vramp</f>
        <v>9</v>
      </c>
      <c r="M540" s="0" t="n">
        <f aca="false">1/(2*Pi*_Rfb1*(Cc1ea_u+Cc2ea_u)*A540)</f>
        <v>0.00361633590715193</v>
      </c>
      <c r="N540" s="0" t="n">
        <f aca="false">-Pi/2</f>
        <v>-1.570796325</v>
      </c>
      <c r="O540" s="0" t="n">
        <f aca="false">SQRT(1+(A540/Fz1_u)^2)</f>
        <v>39.8318645903217</v>
      </c>
      <c r="P540" s="0" t="n">
        <f aca="false">ATAN2(Fz1_u,A540)</f>
        <v>1.54568816055622</v>
      </c>
      <c r="Q540" s="0" t="n">
        <f aca="false">SQRT(1+(A540/Fz2_u)^2)</f>
        <v>45183.7738359898</v>
      </c>
      <c r="R540" s="0" t="n">
        <f aca="false">ATAN2(Fz2_u,A540)</f>
        <v>1.57077419495607</v>
      </c>
      <c r="S540" s="0" t="n">
        <f aca="false">1/SQRT(1+(A540/Fp1_u)^2)</f>
        <v>0.00827999680974922</v>
      </c>
      <c r="T540" s="0" t="n">
        <f aca="false">-ATAN2(Fp1_u,A540)</f>
        <v>-1.56251623537175</v>
      </c>
      <c r="U540" s="0" t="n">
        <f aca="false">1/SQRT(1+(A540/Fp2_u)^2)</f>
        <v>0.220459978417675</v>
      </c>
      <c r="V540" s="0" t="n">
        <f aca="false">-ATAN2(Fp2_u,A540)</f>
        <v>-1.34851030021885</v>
      </c>
      <c r="X540" s="0" t="n">
        <f aca="false">20*LOG(C540*J540*O540*Q540*F540*M540*S540*U540)</f>
        <v>-22.4998454698296</v>
      </c>
      <c r="Y540" s="0" t="n">
        <f aca="false">(180/Pi)*(D540+H540+N540+P540+R540+T540+V540)</f>
        <v>-256.690322536599</v>
      </c>
      <c r="Z540" s="0" t="n">
        <f aca="false">Y540+180</f>
        <v>-76.6903225365988</v>
      </c>
      <c r="AC540" s="0" t="n">
        <v>1</v>
      </c>
      <c r="AD540" s="0" t="n">
        <f aca="false">Rcea1_u*Cc1ea_u*A540*2*Pi</f>
        <v>39.819309847632</v>
      </c>
      <c r="AE540" s="0" t="n">
        <f aca="false">-Rcea1_u*Cc1ea_u*Cc2ea_u*(A540*2*Pi)^2</f>
        <v>-0.0611719690100973</v>
      </c>
      <c r="AF540" s="0" t="n">
        <f aca="false">(Cc2ea_u+Cc1ea_u)*A540*2*Pi</f>
        <v>0.01382614925265</v>
      </c>
      <c r="AG540" s="0" t="n">
        <f aca="false">AC540*AE540/(AE540^2+AF540^2)+AD540*AF540/(AE540^2+AF540^2)</f>
        <v>124.422661334839</v>
      </c>
      <c r="AH540" s="0" t="n">
        <f aca="false">AD540*AE540/(AE540^2+AF540^2)-AC540*AF540/(AE540^2+AF540^2)</f>
        <v>-622.818329671811</v>
      </c>
      <c r="AJ540" s="0" t="n">
        <f aca="false">_Rfb1</f>
        <v>20000</v>
      </c>
      <c r="AK540" s="0" t="n">
        <f aca="false">_Rfb1*Rcea2_u*Cc3ea_u*A540*2*Pi</f>
        <v>2415377.06647776</v>
      </c>
      <c r="AL540" s="0" t="n">
        <v>1</v>
      </c>
      <c r="AM540" s="0" t="n">
        <f aca="false">(_Rfb1+Rcea2_u)*Cc3ea_u*A540*2*Pi</f>
        <v>45183.7738249239</v>
      </c>
      <c r="AN540" s="0" t="n">
        <f aca="false">AJ540*AL540/(AL540^2+AM540^2)+AK540*AM540/(AL540^2+AM540^2)</f>
        <v>53.456745717842</v>
      </c>
      <c r="AO540" s="0" t="n">
        <f aca="false">AK540*AL540/(AL540^2+AM540^2)-AJ540*AM540/(AL540^2+AM540^2)</f>
        <v>-0.44145368050863</v>
      </c>
      <c r="AQ540" s="0" t="n">
        <f aca="false">Eadcg/(1+(Eadcg*A540/GBP)^2)</f>
        <v>0.00428513824825159</v>
      </c>
      <c r="AR540" s="0" t="n">
        <f aca="false">-(A540*Eadcg*Eadcg/GBP)/(1+(Eadcg*A540/GBP)^2)</f>
        <v>-3.6809766066306</v>
      </c>
      <c r="AT540" s="0" t="n">
        <f aca="false">-AR540*AH540+AG540*AQ540</f>
        <v>-2292.04653339764</v>
      </c>
      <c r="AU540" s="0" t="n">
        <f aca="false">AQ540*AH540+AG540*AR540</f>
        <v>-460.665768354454</v>
      </c>
      <c r="AV540" s="0" t="n">
        <f aca="false">ATAN2(AT540,AU540)</f>
        <v>-2.94325066297656</v>
      </c>
      <c r="AW540" s="0" t="n">
        <f aca="false">AG540-AH540*AO540/_Rfb2+AG540*AN540/_Rfb2+AN540-AO540*AR540+AQ540*AN540</f>
        <v>179.352824233587</v>
      </c>
      <c r="AX540" s="0" t="n">
        <f aca="false">AH540+AH540*AN540/_Rfb2+AG540*AO540/_Rfb2+AO540+AO540*AQ540+AN540*AR540</f>
        <v>-835.041651060105</v>
      </c>
      <c r="AY540" s="0" t="n">
        <f aca="false">ATAN2(AW540,AX540)</f>
        <v>-1.35922750448286</v>
      </c>
      <c r="BA540" s="0" t="n">
        <f aca="false">SQRT(AT540^2+AU540^2)/SQRT(AW540^2+AX540^2)</f>
        <v>2.73729228569917</v>
      </c>
      <c r="BB540" s="0" t="n">
        <f aca="false">20*LOG(BA540)</f>
        <v>8.74642346949499</v>
      </c>
      <c r="BC540" s="0" t="n">
        <f aca="false">AV540-AY540</f>
        <v>-1.5840231584937</v>
      </c>
      <c r="BD540" s="0" t="n">
        <f aca="false">BC540*180/Pi-180</f>
        <v>-270.757841736377</v>
      </c>
      <c r="BF540" s="0" t="n">
        <f aca="false">20*LOG(BA540*J540*F540*C540)</f>
        <v>-35.2502586338211</v>
      </c>
      <c r="BG540" s="0" t="n">
        <f aca="false">(180/Pi)*(D540+H540+BC540)</f>
        <v>-269.218769728749</v>
      </c>
      <c r="BH540" s="0" t="n">
        <f aca="false">IF(BG540&gt;180,BG540-180,BG540+180)</f>
        <v>-89.2187697287486</v>
      </c>
      <c r="BI540" s="0" t="n">
        <f aca="false">IF(BH540&gt;180,BH540-360,BH540)</f>
        <v>-89.2187697287486</v>
      </c>
      <c r="BJ540" s="0" t="n">
        <f aca="false">SUM((BF541&lt;0)*(BF540&gt;0))*A540</f>
        <v>0</v>
      </c>
      <c r="BK540" s="0" t="n">
        <f aca="false">IF(BJ540&gt;0,BI540,0)</f>
        <v>0</v>
      </c>
      <c r="BM540" s="0" t="n">
        <f aca="false">20*LOG(J540*F540*C540)</f>
        <v>-43.9966821033161</v>
      </c>
      <c r="BN540" s="0" t="n">
        <f aca="false">(H540+D540)*180/Pi</f>
        <v>-178.460927992371</v>
      </c>
      <c r="BQ540" s="347" t="n">
        <f aca="false">20*LOG(BA540*7)</f>
        <v>25.6483842697801</v>
      </c>
    </row>
    <row r="541" customFormat="false" ht="12.75" hidden="false" customHeight="false" outlineLevel="0" collapsed="false">
      <c r="A541" s="0" t="n">
        <f aca="false">A540+5000</f>
        <v>1635000</v>
      </c>
      <c r="B541" s="0" t="n">
        <f aca="false">A541/1000</f>
        <v>1635</v>
      </c>
      <c r="C541" s="0" t="n">
        <f aca="false">SQRT((A541/Fesr)^2+1)</f>
        <v>1.00005276595421</v>
      </c>
      <c r="D541" s="0" t="n">
        <f aca="false">ATAN(A541/Fesr)</f>
        <v>0.0102726466021354</v>
      </c>
      <c r="F541" s="0" t="n">
        <f aca="false">(Ro/(Ro+Rdcr))/SQRT((A541/(Q*Fo))^2+(1-(A541^2/Fo^2))^2)</f>
        <v>0.000697009660006675</v>
      </c>
      <c r="G541" s="0" t="n">
        <f aca="false">-ATAN(A541*Fo/(Q*(Fo^2-A541^2)))</f>
        <v>0.0165697501149013</v>
      </c>
      <c r="H541" s="0" t="n">
        <f aca="false">IF(G541&gt;0,G541-Pi,G541)</f>
        <v>-3.1250228998851</v>
      </c>
      <c r="J541" s="0" t="n">
        <f aca="false">Vin/Vramp</f>
        <v>9</v>
      </c>
      <c r="M541" s="0" t="n">
        <f aca="false">1/(2*Pi*_Rfb1*(Cc1ea_u+Cc2ea_u)*A541)</f>
        <v>0.0036052767759374</v>
      </c>
      <c r="N541" s="0" t="n">
        <f aca="false">-Pi/2</f>
        <v>-1.570796325</v>
      </c>
      <c r="O541" s="0" t="n">
        <f aca="false">SQRT(1+(A541/Fz1_u)^2)</f>
        <v>39.9539713308912</v>
      </c>
      <c r="P541" s="0" t="n">
        <f aca="false">ATAN2(Fz1_u,A541)</f>
        <v>1.54576491182055</v>
      </c>
      <c r="Q541" s="0" t="n">
        <f aca="false">SQRT(1+(A541/Fz2_u)^2)</f>
        <v>45322.3743691613</v>
      </c>
      <c r="R541" s="0" t="n">
        <f aca="false">ATAN2(Fz2_u,A541)</f>
        <v>1.57077426263754</v>
      </c>
      <c r="S541" s="0" t="n">
        <f aca="false">1/SQRT(1+(A541/Fp1_u)^2)</f>
        <v>0.00825467744660555</v>
      </c>
      <c r="T541" s="0" t="n">
        <f aca="false">-ATAN2(Fp1_u,A541)</f>
        <v>-1.56254155560021</v>
      </c>
      <c r="U541" s="0" t="n">
        <f aca="false">1/SQRT(1+(A541/Fp2_u)^2)</f>
        <v>0.219818413353811</v>
      </c>
      <c r="V541" s="0" t="n">
        <f aca="false">-ATAN2(Fp2_u,A541)</f>
        <v>-1.34916799967038</v>
      </c>
      <c r="X541" s="0" t="n">
        <f aca="false">20*LOG(C541*J541*O541*Q541*F541*M541*S541*U541)</f>
        <v>-22.5784076612508</v>
      </c>
      <c r="Y541" s="0" t="n">
        <f aca="false">(180/Pi)*(D541+H541+N541+P541+R541+T541+V541)</f>
        <v>-256.726171242216</v>
      </c>
      <c r="Z541" s="0" t="n">
        <f aca="false">Y541+180</f>
        <v>-76.7261712422155</v>
      </c>
      <c r="AC541" s="0" t="n">
        <v>1</v>
      </c>
      <c r="AD541" s="0" t="n">
        <f aca="false">Rcea1_u*Cc1ea_u*A541*2*Pi</f>
        <v>39.941454969864</v>
      </c>
      <c r="AE541" s="0" t="n">
        <f aca="false">-Rcea1_u*Cc1ea_u*Cc2ea_u*(A541*2*Pi)^2</f>
        <v>-0.0615478327588609</v>
      </c>
      <c r="AF541" s="0" t="n">
        <f aca="false">(Cc2ea_u+Cc1ea_u)*A541*2*Pi</f>
        <v>0.013868560753425</v>
      </c>
      <c r="AG541" s="0" t="n">
        <f aca="false">AC541*AE541/(AE541^2+AF541^2)+AD541*AF541/(AE541^2+AF541^2)</f>
        <v>123.69954521443</v>
      </c>
      <c r="AH541" s="0" t="n">
        <f aca="false">AD541*AE541/(AE541^2+AF541^2)-AC541*AF541/(AE541^2+AF541^2)</f>
        <v>-621.076626071506</v>
      </c>
      <c r="AJ541" s="0" t="n">
        <f aca="false">_Rfb1</f>
        <v>20000</v>
      </c>
      <c r="AK541" s="0" t="n">
        <f aca="false">_Rfb1*Rcea2_u*Cc3ea_u*A541*2*Pi</f>
        <v>2422786.19858352</v>
      </c>
      <c r="AL541" s="0" t="n">
        <v>1</v>
      </c>
      <c r="AM541" s="0" t="n">
        <f aca="false">(_Rfb1+Rcea2_u)*Cc3ea_u*A541*2*Pi</f>
        <v>45322.3743581292</v>
      </c>
      <c r="AN541" s="0" t="n">
        <f aca="false">AJ541*AL541/(AL541^2+AM541^2)+AK541*AM541/(AL541^2+AM541^2)</f>
        <v>53.4567456581769</v>
      </c>
      <c r="AO541" s="0" t="n">
        <f aca="false">AK541*AL541/(AL541^2+AM541^2)-AJ541*AM541/(AL541^2+AM541^2)</f>
        <v>-0.440103669254569</v>
      </c>
      <c r="AQ541" s="0" t="n">
        <f aca="false">Eadcg/(1+(Eadcg*A541/GBP)^2)</f>
        <v>0.00425896956148602</v>
      </c>
      <c r="AR541" s="0" t="n">
        <f aca="false">-(A541*Eadcg*Eadcg/GBP)/(1+(Eadcg*A541/GBP)^2)</f>
        <v>-3.66971982780662</v>
      </c>
      <c r="AT541" s="0" t="n">
        <f aca="false">-AR541*AH541+AG541*AQ541</f>
        <v>-2278.65037668401</v>
      </c>
      <c r="AU541" s="0" t="n">
        <f aca="false">AQ541*AH541+AG541*AR541</f>
        <v>-456.587820209846</v>
      </c>
      <c r="AV541" s="0" t="n">
        <f aca="false">ATAN2(AT541,AU541)</f>
        <v>-2.94383517119199</v>
      </c>
      <c r="AW541" s="0" t="n">
        <f aca="false">AG541-AH541*AO541/_Rfb2+AG541*AN541/_Rfb2+AN541-AO541*AR541+AQ541*AN541</f>
        <v>178.621561024909</v>
      </c>
      <c r="AX541" s="0" t="n">
        <f aca="false">AH541+AH541*AN541/_Rfb2+AG541*AO541/_Rfb2+AO541+AO541*AQ541+AN541*AR541</f>
        <v>-832.654712736764</v>
      </c>
      <c r="AY541" s="0" t="n">
        <f aca="false">ATAN2(AW541,AX541)</f>
        <v>-1.35947846234866</v>
      </c>
      <c r="BA541" s="0" t="n">
        <f aca="false">SQRT(AT541^2+AU541^2)/SQRT(AW541^2+AX541^2)</f>
        <v>2.72892175589535</v>
      </c>
      <c r="BB541" s="0" t="n">
        <f aca="false">20*LOG(BA541)</f>
        <v>8.71982167367611</v>
      </c>
      <c r="BC541" s="0" t="n">
        <f aca="false">AV541-AY541</f>
        <v>-1.58435670884333</v>
      </c>
      <c r="BD541" s="0" t="n">
        <f aca="false">BC541*180/Pi-180</f>
        <v>-270.776952763688</v>
      </c>
      <c r="BF541" s="0" t="n">
        <f aca="false">20*LOG(BA541*J541*F541*C541)</f>
        <v>-35.3300938879683</v>
      </c>
      <c r="BG541" s="0" t="n">
        <f aca="false">(180/Pi)*(D541+H541+BC541)</f>
        <v>-269.238996718029</v>
      </c>
      <c r="BH541" s="0" t="n">
        <f aca="false">IF(BG541&gt;180,BG541-180,BG541+180)</f>
        <v>-89.2389967180287</v>
      </c>
      <c r="BI541" s="0" t="n">
        <f aca="false">IF(BH541&gt;180,BH541-360,BH541)</f>
        <v>-89.2389967180287</v>
      </c>
      <c r="BJ541" s="0" t="n">
        <f aca="false">SUM((BF542&lt;0)*(BF541&gt;0))*A541</f>
        <v>0</v>
      </c>
      <c r="BK541" s="0" t="n">
        <f aca="false">IF(BJ541&gt;0,BI541,0)</f>
        <v>0</v>
      </c>
      <c r="BM541" s="0" t="n">
        <f aca="false">20*LOG(J541*F541*C541)</f>
        <v>-44.0499155616444</v>
      </c>
      <c r="BN541" s="0" t="n">
        <f aca="false">(H541+D541)*180/Pi</f>
        <v>-178.462043954341</v>
      </c>
      <c r="BQ541" s="347" t="n">
        <f aca="false">20*LOG(BA541*7)</f>
        <v>25.6217824739612</v>
      </c>
    </row>
    <row r="542" customFormat="false" ht="12.75" hidden="false" customHeight="false" outlineLevel="0" collapsed="false">
      <c r="A542" s="0" t="n">
        <f aca="false">A541+5000</f>
        <v>1640000</v>
      </c>
      <c r="B542" s="0" t="n">
        <f aca="false">A542/1000</f>
        <v>1640</v>
      </c>
      <c r="C542" s="0" t="n">
        <f aca="false">SQRT((A542/Fesr)^2+1)</f>
        <v>1.00005308916664</v>
      </c>
      <c r="D542" s="0" t="n">
        <f aca="false">ATAN(A542/Fesr)</f>
        <v>0.0103040592033679</v>
      </c>
      <c r="F542" s="0" t="n">
        <f aca="false">(Ro/(Ro+Rdcr))/SQRT((A542/(Q*Fo))^2+(1-(A542^2/Fo^2))^2)</f>
        <v>0.000692763696866973</v>
      </c>
      <c r="G542" s="0" t="n">
        <f aca="false">-ATAN(A542*Fo/(Q*(Fo^2-A542^2)))</f>
        <v>0.0165191711531561</v>
      </c>
      <c r="H542" s="0" t="n">
        <f aca="false">IF(G542&gt;0,G542-Pi,G542)</f>
        <v>-3.12507347884684</v>
      </c>
      <c r="J542" s="0" t="n">
        <f aca="false">Vin/Vramp</f>
        <v>9</v>
      </c>
      <c r="M542" s="0" t="n">
        <f aca="false">1/(2*Pi*_Rfb1*(Cc1ea_u+Cc2ea_u)*A542)</f>
        <v>0.00359428507844978</v>
      </c>
      <c r="N542" s="0" t="n">
        <f aca="false">-Pi/2</f>
        <v>-1.570796325</v>
      </c>
      <c r="O542" s="0" t="n">
        <f aca="false">SQRT(1+(A542/Fz1_u)^2)</f>
        <v>40.0760783053856</v>
      </c>
      <c r="P542" s="0" t="n">
        <f aca="false">ATAN2(Fz1_u,A542)</f>
        <v>1.54584119538164</v>
      </c>
      <c r="Q542" s="0" t="n">
        <f aca="false">SQRT(1+(A542/Fz2_u)^2)</f>
        <v>45460.9749023329</v>
      </c>
      <c r="R542" s="0" t="n">
        <f aca="false">ATAN2(Fz2_u,A542)</f>
        <v>1.57077432990631</v>
      </c>
      <c r="S542" s="0" t="n">
        <f aca="false">1/SQRT(1+(A542/Fp1_u)^2)</f>
        <v>0.00822951245409076</v>
      </c>
      <c r="T542" s="0" t="n">
        <f aca="false">-ATAN2(Fp1_u,A542)</f>
        <v>-1.56256672144752</v>
      </c>
      <c r="U542" s="0" t="n">
        <f aca="false">1/SQRT(1+(A542/Fp2_u)^2)</f>
        <v>0.219180477531139</v>
      </c>
      <c r="V542" s="0" t="n">
        <f aca="false">-ATAN2(Fp2_u,A542)</f>
        <v>-1.34982188197943</v>
      </c>
      <c r="X542" s="0" t="n">
        <f aca="false">20*LOG(C542*J542*O542*Q542*F542*M542*S542*U542)</f>
        <v>-22.6567371362739</v>
      </c>
      <c r="Y542" s="0" t="n">
        <f aca="false">(180/Pi)*(D542+H542+N542+P542+R542+T542+V542)</f>
        <v>-256.761801406954</v>
      </c>
      <c r="Z542" s="0" t="n">
        <f aca="false">Y542+180</f>
        <v>-76.7618014069541</v>
      </c>
      <c r="AC542" s="0" t="n">
        <v>1</v>
      </c>
      <c r="AD542" s="0" t="n">
        <f aca="false">Rcea1_u*Cc1ea_u*A542*2*Pi</f>
        <v>40.063600092096</v>
      </c>
      <c r="AE542" s="0" t="n">
        <f aca="false">-Rcea1_u*Cc1ea_u*Cc2ea_u*(A542*2*Pi)^2</f>
        <v>-0.0619248476982791</v>
      </c>
      <c r="AF542" s="0" t="n">
        <f aca="false">(Cc2ea_u+Cc1ea_u)*A542*2*Pi</f>
        <v>0.0139109722542</v>
      </c>
      <c r="AG542" s="0" t="n">
        <f aca="false">AC542*AE542/(AE542^2+AF542^2)+AD542*AF542/(AE542^2+AF542^2)</f>
        <v>122.982609230792</v>
      </c>
      <c r="AH542" s="0" t="n">
        <f aca="false">AD542*AE542/(AE542^2+AF542^2)-AC542*AF542/(AE542^2+AF542^2)</f>
        <v>-619.34415429177</v>
      </c>
      <c r="AJ542" s="0" t="n">
        <f aca="false">_Rfb1</f>
        <v>20000</v>
      </c>
      <c r="AK542" s="0" t="n">
        <f aca="false">_Rfb1*Rcea2_u*Cc3ea_u*A542*2*Pi</f>
        <v>2430195.33068928</v>
      </c>
      <c r="AL542" s="0" t="n">
        <v>1</v>
      </c>
      <c r="AM542" s="0" t="n">
        <f aca="false">(_Rfb1+Rcea2_u)*Cc3ea_u*A542*2*Pi</f>
        <v>45460.9748913345</v>
      </c>
      <c r="AN542" s="0" t="n">
        <f aca="false">AJ542*AL542/(AL542^2+AM542^2)+AK542*AM542/(AL542^2+AM542^2)</f>
        <v>53.4567455990567</v>
      </c>
      <c r="AO542" s="0" t="n">
        <f aca="false">AK542*AL542/(AL542^2+AM542^2)-AJ542*AM542/(AL542^2+AM542^2)</f>
        <v>-0.438761889776434</v>
      </c>
      <c r="AQ542" s="0" t="n">
        <f aca="false">Eadcg/(1+(Eadcg*A542/GBP)^2)</f>
        <v>0.00423303985699242</v>
      </c>
      <c r="AR542" s="0" t="n">
        <f aca="false">-(A542*Eadcg*Eadcg/GBP)/(1+(Eadcg*A542/GBP)^2)</f>
        <v>-3.65853168760141</v>
      </c>
      <c r="AT542" s="0" t="n">
        <f aca="false">-AR542*AH542+AG542*AQ542</f>
        <v>-2265.36962372054</v>
      </c>
      <c r="AU542" s="0" t="n">
        <f aca="false">AQ542*AH542+AG542*AR542</f>
        <v>-452.557481385066</v>
      </c>
      <c r="AV542" s="0" t="n">
        <f aca="false">ATAN2(AT542,AU542)</f>
        <v>-2.94441630826071</v>
      </c>
      <c r="AW542" s="0" t="n">
        <f aca="false">AG542-AH542*AO542/_Rfb2+AG542*AN542/_Rfb2+AN542-AO542*AR542+AQ542*AN542</f>
        <v>177.896542536976</v>
      </c>
      <c r="AX542" s="0" t="n">
        <f aca="false">AH542+AH542*AN542/_Rfb2+AG542*AO542/_Rfb2+AO542+AO542*AQ542+AN542*AR542</f>
        <v>-830.280908507632</v>
      </c>
      <c r="AY542" s="0" t="n">
        <f aca="false">ATAN2(AW542,AX542)</f>
        <v>-1.35972693986665</v>
      </c>
      <c r="BA542" s="0" t="n">
        <f aca="false">SQRT(AT542^2+AU542^2)/SQRT(AW542^2+AX542^2)</f>
        <v>2.72060188239868</v>
      </c>
      <c r="BB542" s="0" t="n">
        <f aca="false">20*LOG(BA542)</f>
        <v>8.69329988427274</v>
      </c>
      <c r="BC542" s="0" t="n">
        <f aca="false">AV542-AY542</f>
        <v>-1.58468936839405</v>
      </c>
      <c r="BD542" s="0" t="n">
        <f aca="false">BC542*180/Pi-180</f>
        <v>-270.796012751981</v>
      </c>
      <c r="BF542" s="0" t="n">
        <f aca="false">20*LOG(BA542*J542*F542*C542)</f>
        <v>-35.4096863900732</v>
      </c>
      <c r="BG542" s="0" t="n">
        <f aca="false">(180/Pi)*(D542+H542+BC542)</f>
        <v>-269.259154857889</v>
      </c>
      <c r="BH542" s="0" t="n">
        <f aca="false">IF(BG542&gt;180,BG542-180,BG542+180)</f>
        <v>-89.2591548578887</v>
      </c>
      <c r="BI542" s="0" t="n">
        <f aca="false">IF(BH542&gt;180,BH542-360,BH542)</f>
        <v>-89.2591548578887</v>
      </c>
      <c r="BJ542" s="0" t="n">
        <f aca="false">SUM((BF543&lt;0)*(BF542&gt;0))*A542</f>
        <v>0</v>
      </c>
      <c r="BK542" s="0" t="n">
        <f aca="false">IF(BJ542&gt;0,BI542,0)</f>
        <v>0</v>
      </c>
      <c r="BM542" s="0" t="n">
        <f aca="false">20*LOG(J542*F542*C542)</f>
        <v>-44.1029862743459</v>
      </c>
      <c r="BN542" s="0" t="n">
        <f aca="false">(H542+D542)*180/Pi</f>
        <v>-178.463142105908</v>
      </c>
      <c r="BQ542" s="347" t="n">
        <f aca="false">20*LOG(BA542*7)</f>
        <v>25.5952606845579</v>
      </c>
    </row>
    <row r="543" customFormat="false" ht="12.75" hidden="false" customHeight="false" outlineLevel="0" collapsed="false">
      <c r="A543" s="0" t="n">
        <f aca="false">A542+5000</f>
        <v>1645000</v>
      </c>
      <c r="B543" s="0" t="n">
        <f aca="false">A543/1000</f>
        <v>1645</v>
      </c>
      <c r="C543" s="0" t="n">
        <f aca="false">SQRT((A543/Fesr)^2+1)</f>
        <v>1.00005341336588</v>
      </c>
      <c r="D543" s="0" t="n">
        <f aca="false">ATAN(A543/Fesr)</f>
        <v>0.0103354717842646</v>
      </c>
      <c r="F543" s="0" t="n">
        <f aca="false">(Ro/(Ro+Rdcr))/SQRT((A543/(Q*Fo))^2+(1-(A543^2/Fo^2))^2)</f>
        <v>0.000688556420654469</v>
      </c>
      <c r="G543" s="0" t="n">
        <f aca="false">-ATAN(A543*Fo/(Q*(Fo^2-A543^2)))</f>
        <v>0.0164689002202915</v>
      </c>
      <c r="H543" s="0" t="n">
        <f aca="false">IF(G543&gt;0,G543-Pi,G543)</f>
        <v>-3.12512374977971</v>
      </c>
      <c r="J543" s="0" t="n">
        <f aca="false">Vin/Vramp</f>
        <v>9</v>
      </c>
      <c r="M543" s="0" t="n">
        <f aca="false">1/(2*Pi*_Rfb1*(Cc1ea_u+Cc2ea_u)*A543)</f>
        <v>0.00358336019979188</v>
      </c>
      <c r="N543" s="0" t="n">
        <f aca="false">-Pi/2</f>
        <v>-1.570796325</v>
      </c>
      <c r="O543" s="0" t="n">
        <f aca="false">SQRT(1+(A543/Fz1_u)^2)</f>
        <v>40.1981855116731</v>
      </c>
      <c r="P543" s="0" t="n">
        <f aca="false">ATAN2(Fz1_u,A543)</f>
        <v>1.54591701550073</v>
      </c>
      <c r="Q543" s="0" t="n">
        <f aca="false">SQRT(1+(A543/Fz2_u)^2)</f>
        <v>45599.5754355048</v>
      </c>
      <c r="R543" s="0" t="n">
        <f aca="false">ATAN2(Fz2_u,A543)</f>
        <v>1.57077439676615</v>
      </c>
      <c r="S543" s="0" t="n">
        <f aca="false">1/SQRT(1+(A543/Fp1_u)^2)</f>
        <v>0.00820450042476031</v>
      </c>
      <c r="T543" s="0" t="n">
        <f aca="false">-ATAN2(Fp1_u,A543)</f>
        <v>-1.56259173432129</v>
      </c>
      <c r="U543" s="0" t="n">
        <f aca="false">1/SQRT(1+(A543/Fp2_u)^2)</f>
        <v>0.218546141073283</v>
      </c>
      <c r="V543" s="0" t="n">
        <f aca="false">-ATAN2(Fp2_u,A543)</f>
        <v>-1.35047197972629</v>
      </c>
      <c r="X543" s="0" t="n">
        <f aca="false">20*LOG(C543*J543*O543*Q543*F543*M543*S543*U543)</f>
        <v>-22.7348352507071</v>
      </c>
      <c r="Y543" s="0" t="n">
        <f aca="false">(180/Pi)*(D543+H543+N543+P543+R543+T543+V543)</f>
        <v>-256.797214896624</v>
      </c>
      <c r="Z543" s="0" t="n">
        <f aca="false">Y543+180</f>
        <v>-76.7972148966243</v>
      </c>
      <c r="AC543" s="0" t="n">
        <v>1</v>
      </c>
      <c r="AD543" s="0" t="n">
        <f aca="false">Rcea1_u*Cc1ea_u*A543*2*Pi</f>
        <v>40.185745214328</v>
      </c>
      <c r="AE543" s="0" t="n">
        <f aca="false">-Rcea1_u*Cc1ea_u*Cc2ea_u*(A543*2*Pi)^2</f>
        <v>-0.0623030138283521</v>
      </c>
      <c r="AF543" s="0" t="n">
        <f aca="false">(Cc2ea_u+Cc1ea_u)*A543*2*Pi</f>
        <v>0.013953383754975</v>
      </c>
      <c r="AG543" s="0" t="n">
        <f aca="false">AC543*AE543/(AE543^2+AF543^2)+AD543*AF543/(AE543^2+AF543^2)</f>
        <v>122.271784391739</v>
      </c>
      <c r="AH543" s="0" t="n">
        <f aca="false">AD543*AE543/(AE543^2+AF543^2)-AC543*AF543/(AE543^2+AF543^2)</f>
        <v>-617.620845603358</v>
      </c>
      <c r="AJ543" s="0" t="n">
        <f aca="false">_Rfb1</f>
        <v>20000</v>
      </c>
      <c r="AK543" s="0" t="n">
        <f aca="false">_Rfb1*Rcea2_u*Cc3ea_u*A543*2*Pi</f>
        <v>2437604.46279504</v>
      </c>
      <c r="AL543" s="0" t="n">
        <v>1</v>
      </c>
      <c r="AM543" s="0" t="n">
        <f aca="false">(_Rfb1+Rcea2_u)*Cc3ea_u*A543*2*Pi</f>
        <v>45599.5754245398</v>
      </c>
      <c r="AN543" s="0" t="n">
        <f aca="false">AJ543*AL543/(AL543^2+AM543^2)+AK543*AM543/(AL543^2+AM543^2)</f>
        <v>53.4567455404748</v>
      </c>
      <c r="AO543" s="0" t="n">
        <f aca="false">AK543*AL543/(AL543^2+AM543^2)-AJ543*AM543/(AL543^2+AM543^2)</f>
        <v>-0.437428267012441</v>
      </c>
      <c r="AQ543" s="0" t="n">
        <f aca="false">Eadcg/(1+(Eadcg*A543/GBP)^2)</f>
        <v>0.00420734623363794</v>
      </c>
      <c r="AR543" s="0" t="n">
        <f aca="false">-(A543*Eadcg*Eadcg/GBP)/(1+(Eadcg*A543/GBP)^2)</f>
        <v>-3.64741156013423</v>
      </c>
      <c r="AT543" s="0" t="n">
        <f aca="false">-AR543*AH543+AG543*AQ543</f>
        <v>-2252.20297230202</v>
      </c>
      <c r="AU543" s="0" t="n">
        <f aca="false">AQ543*AH543+AG543*AR543</f>
        <v>-448.574064607235</v>
      </c>
      <c r="AV543" s="0" t="n">
        <f aca="false">ATAN2(AT543,AU543)</f>
        <v>-2.94499410269972</v>
      </c>
      <c r="AW543" s="0" t="n">
        <f aca="false">AG543-AH543*AO543/_Rfb2+AG543*AN543/_Rfb2+AN543-AO543*AR543+AQ543*AN543</f>
        <v>177.177699133376</v>
      </c>
      <c r="AX543" s="0" t="n">
        <f aca="false">AH543+AH543*AN543/_Rfb2+AG543*AO543/_Rfb2+AO543+AO543*AQ543+AN543*AR543</f>
        <v>-827.920134417422</v>
      </c>
      <c r="AY543" s="0" t="n">
        <f aca="false">ATAN2(AW543,AX543)</f>
        <v>-1.35997295754477</v>
      </c>
      <c r="BA543" s="0" t="n">
        <f aca="false">SQRT(AT543^2+AU543^2)/SQRT(AW543^2+AX543^2)</f>
        <v>2.71233220678026</v>
      </c>
      <c r="BB543" s="0" t="n">
        <f aca="false">20*LOG(BA543)</f>
        <v>8.66685761788069</v>
      </c>
      <c r="BC543" s="0" t="n">
        <f aca="false">AV543-AY543</f>
        <v>-1.58502114515495</v>
      </c>
      <c r="BD543" s="0" t="n">
        <f aca="false">BC543*180/Pi-180</f>
        <v>-270.815022160143</v>
      </c>
      <c r="BF543" s="0" t="n">
        <f aca="false">20*LOG(BA543*J543*F543*C543)</f>
        <v>-35.4890376159984</v>
      </c>
      <c r="BG543" s="0" t="n">
        <f aca="false">(180/Pi)*(D543+H543+BC543)</f>
        <v>-269.279244770028</v>
      </c>
      <c r="BH543" s="0" t="n">
        <f aca="false">IF(BG543&gt;180,BG543-180,BG543+180)</f>
        <v>-89.2792447700281</v>
      </c>
      <c r="BI543" s="0" t="n">
        <f aca="false">IF(BH543&gt;180,BH543-360,BH543)</f>
        <v>-89.2792447700281</v>
      </c>
      <c r="BJ543" s="0" t="n">
        <f aca="false">SUM((BF544&lt;0)*(BF543&gt;0))*A543</f>
        <v>0</v>
      </c>
      <c r="BK543" s="0" t="n">
        <f aca="false">IF(BJ543&gt;0,BI543,0)</f>
        <v>0</v>
      </c>
      <c r="BM543" s="0" t="n">
        <f aca="false">20*LOG(J543*F543*C543)</f>
        <v>-44.1558952338791</v>
      </c>
      <c r="BN543" s="0" t="n">
        <f aca="false">(H543+D543)*180/Pi</f>
        <v>-178.464222609885</v>
      </c>
      <c r="BQ543" s="347" t="n">
        <f aca="false">20*LOG(BA543*7)</f>
        <v>25.5688184181658</v>
      </c>
    </row>
    <row r="544" customFormat="false" ht="12.75" hidden="false" customHeight="false" outlineLevel="0" collapsed="false">
      <c r="A544" s="0" t="n">
        <f aca="false">A543+5000</f>
        <v>1650000</v>
      </c>
      <c r="B544" s="0" t="n">
        <f aca="false">A544/1000</f>
        <v>1650</v>
      </c>
      <c r="C544" s="0" t="n">
        <f aca="false">SQRT((A544/Fesr)^2+1)</f>
        <v>1.00005373855193</v>
      </c>
      <c r="D544" s="0" t="n">
        <f aca="false">ATAN(A544/Fesr)</f>
        <v>0.0103668843447635</v>
      </c>
      <c r="F544" s="0" t="n">
        <f aca="false">(Ro/(Ro+Rdcr))/SQRT((A544/(Q*Fo))^2+(1-(A544^2/Fo^2))^2)</f>
        <v>0.000684387362713876</v>
      </c>
      <c r="G544" s="0" t="n">
        <f aca="false">-ATAN(A544*Fo/(Q*(Fo^2-A544^2)))</f>
        <v>0.0164189345093062</v>
      </c>
      <c r="H544" s="0" t="n">
        <f aca="false">IF(G544&gt;0,G544-Pi,G544)</f>
        <v>-3.12517371549069</v>
      </c>
      <c r="J544" s="0" t="n">
        <f aca="false">Vin/Vramp</f>
        <v>9</v>
      </c>
      <c r="M544" s="0" t="n">
        <f aca="false">1/(2*Pi*_Rfb1*(Cc1ea_u+Cc2ea_u)*A544)</f>
        <v>0.00357250153251978</v>
      </c>
      <c r="N544" s="0" t="n">
        <f aca="false">-Pi/2</f>
        <v>-1.570796325</v>
      </c>
      <c r="O544" s="0" t="n">
        <f aca="false">SQRT(1+(A544/Fz1_u)^2)</f>
        <v>40.3202929476479</v>
      </c>
      <c r="P544" s="0" t="n">
        <f aca="false">ATAN2(Fz1_u,A544)</f>
        <v>1.54599237638747</v>
      </c>
      <c r="Q544" s="0" t="n">
        <f aca="false">SQRT(1+(A544/Fz2_u)^2)</f>
        <v>45738.1759686768</v>
      </c>
      <c r="R544" s="0" t="n">
        <f aca="false">ATAN2(Fz2_u,A544)</f>
        <v>1.57077446322078</v>
      </c>
      <c r="S544" s="0" t="n">
        <f aca="false">1/SQRT(1+(A544/Fp1_u)^2)</f>
        <v>0.00817963996822674</v>
      </c>
      <c r="T544" s="0" t="n">
        <f aca="false">-ATAN2(Fp1_u,A544)</f>
        <v>-1.56261659561206</v>
      </c>
      <c r="U544" s="0" t="n">
        <f aca="false">1/SQRT(1+(A544/Fp2_u)^2)</f>
        <v>0.217915374420968</v>
      </c>
      <c r="V544" s="0" t="n">
        <f aca="false">-ATAN2(Fp2_u,A544)</f>
        <v>-1.35111832512802</v>
      </c>
      <c r="X544" s="0" t="n">
        <f aca="false">20*LOG(C544*J544*O544*Q544*F544*M544*S544*U544)</f>
        <v>-22.8127033486897</v>
      </c>
      <c r="Y544" s="0" t="n">
        <f aca="false">(180/Pi)*(D544+H544+N544+P544+R544+T544+V544)</f>
        <v>-256.832413556225</v>
      </c>
      <c r="Z544" s="0" t="n">
        <f aca="false">Y544+180</f>
        <v>-76.8324135562253</v>
      </c>
      <c r="AC544" s="0" t="n">
        <v>1</v>
      </c>
      <c r="AD544" s="0" t="n">
        <f aca="false">Rcea1_u*Cc1ea_u*A544*2*Pi</f>
        <v>40.30789033656</v>
      </c>
      <c r="AE544" s="0" t="n">
        <f aca="false">-Rcea1_u*Cc1ea_u*Cc2ea_u*(A544*2*Pi)^2</f>
        <v>-0.0626823311490798</v>
      </c>
      <c r="AF544" s="0" t="n">
        <f aca="false">(Cc2ea_u+Cc1ea_u)*A544*2*Pi</f>
        <v>0.01399579525575</v>
      </c>
      <c r="AG544" s="0" t="n">
        <f aca="false">AC544*AE544/(AE544^2+AF544^2)+AD544*AF544/(AE544^2+AF544^2)</f>
        <v>121.567002647119</v>
      </c>
      <c r="AH544" s="0" t="n">
        <f aca="false">AD544*AE544/(AE544^2+AF544^2)-AC544*AF544/(AE544^2+AF544^2)</f>
        <v>-615.906631899769</v>
      </c>
      <c r="AJ544" s="0" t="n">
        <f aca="false">_Rfb1</f>
        <v>20000</v>
      </c>
      <c r="AK544" s="0" t="n">
        <f aca="false">_Rfb1*Rcea2_u*Cc3ea_u*A544*2*Pi</f>
        <v>2445013.5949008</v>
      </c>
      <c r="AL544" s="0" t="n">
        <v>1</v>
      </c>
      <c r="AM544" s="0" t="n">
        <f aca="false">(_Rfb1+Rcea2_u)*Cc3ea_u*A544*2*Pi</f>
        <v>45738.175957745</v>
      </c>
      <c r="AN544" s="0" t="n">
        <f aca="false">AJ544*AL544/(AL544^2+AM544^2)+AK544*AM544/(AL544^2+AM544^2)</f>
        <v>53.4567454824246</v>
      </c>
      <c r="AO544" s="0" t="n">
        <f aca="false">AK544*AL544/(AL544^2+AM544^2)-AJ544*AM544/(AL544^2+AM544^2)</f>
        <v>-0.436102726810642</v>
      </c>
      <c r="AQ544" s="0" t="n">
        <f aca="false">Eadcg/(1+(Eadcg*A544/GBP)^2)</f>
        <v>0.00418188583417948</v>
      </c>
      <c r="AR544" s="0" t="n">
        <f aca="false">-(A544*Eadcg*Eadcg/GBP)/(1+(Eadcg*A544/GBP)^2)</f>
        <v>-3.63635882711077</v>
      </c>
      <c r="AT544" s="0" t="n">
        <f aca="false">-AR544*AH544+AG544*AQ544</f>
        <v>-2239.14913825851</v>
      </c>
      <c r="AU544" s="0" t="n">
        <f aca="false">AQ544*AH544+AG544*AR544</f>
        <v>-444.636894380367</v>
      </c>
      <c r="AV544" s="0" t="n">
        <f aca="false">ATAN2(AT544,AU544)</f>
        <v>-2.94556858271198</v>
      </c>
      <c r="AW544" s="0" t="n">
        <f aca="false">AG544-AH544*AO544/_Rfb2+AG544*AN544/_Rfb2+AN544-AO544*AR544+AQ544*AN544</f>
        <v>176.464962127124</v>
      </c>
      <c r="AX544" s="0" t="n">
        <f aca="false">AH544+AH544*AN544/_Rfb2+AG544*AO544/_Rfb2+AO544+AO544*AQ544+AN544*AR544</f>
        <v>-825.57228755571</v>
      </c>
      <c r="AY544" s="0" t="n">
        <f aca="false">ATAN2(AW544,AX544)</f>
        <v>-1.36021653567318</v>
      </c>
      <c r="BA544" s="0" t="n">
        <f aca="false">SQRT(AT544^2+AU544^2)/SQRT(AW544^2+AX544^2)</f>
        <v>2.70411227611592</v>
      </c>
      <c r="BB544" s="0" t="n">
        <f aca="false">20*LOG(BA544)</f>
        <v>8.64049439543109</v>
      </c>
      <c r="BC544" s="0" t="n">
        <f aca="false">AV544-AY544</f>
        <v>-1.5853520470388</v>
      </c>
      <c r="BD544" s="0" t="n">
        <f aca="false">BC544*180/Pi-180</f>
        <v>-270.833981441542</v>
      </c>
      <c r="BF544" s="0" t="n">
        <f aca="false">20*LOG(BA544*J544*F544*C544)</f>
        <v>-35.5681490282149</v>
      </c>
      <c r="BG544" s="0" t="n">
        <f aca="false">(180/Pi)*(D544+H544+BC544)</f>
        <v>-269.299267068648</v>
      </c>
      <c r="BH544" s="0" t="n">
        <f aca="false">IF(BG544&gt;180,BG544-180,BG544+180)</f>
        <v>-89.2992670686479</v>
      </c>
      <c r="BI544" s="0" t="n">
        <f aca="false">IF(BH544&gt;180,BH544-360,BH544)</f>
        <v>-89.2992670686479</v>
      </c>
      <c r="BJ544" s="0" t="n">
        <f aca="false">SUM((BF545&lt;0)*(BF544&gt;0))*A544</f>
        <v>0</v>
      </c>
      <c r="BK544" s="0" t="n">
        <f aca="false">IF(BJ544&gt;0,BI544,0)</f>
        <v>0</v>
      </c>
      <c r="BM544" s="0" t="n">
        <f aca="false">20*LOG(J544*F544*C544)</f>
        <v>-44.208643423646</v>
      </c>
      <c r="BN544" s="0" t="n">
        <f aca="false">(H544+D544)*180/Pi</f>
        <v>-178.465285627106</v>
      </c>
      <c r="BQ544" s="347" t="n">
        <f aca="false">20*LOG(BA544*7)</f>
        <v>25.5424551957162</v>
      </c>
    </row>
    <row r="545" customFormat="false" ht="12.75" hidden="false" customHeight="false" outlineLevel="0" collapsed="false">
      <c r="A545" s="0" t="n">
        <f aca="false">A544+5000</f>
        <v>1655000</v>
      </c>
      <c r="B545" s="0" t="n">
        <f aca="false">A545/1000</f>
        <v>1655</v>
      </c>
      <c r="C545" s="0" t="n">
        <f aca="false">SQRT((A545/Fesr)^2+1)</f>
        <v>1.00005406472477</v>
      </c>
      <c r="D545" s="0" t="n">
        <f aca="false">ATAN(A545/Fesr)</f>
        <v>0.0103982968848026</v>
      </c>
      <c r="F545" s="0" t="n">
        <f aca="false">(Ro/(Ro+Rdcr))/SQRT((A545/(Q*Fo))^2+(1-(A545^2/Fo^2))^2)</f>
        <v>0.000680256061466408</v>
      </c>
      <c r="G545" s="0" t="n">
        <f aca="false">-ATAN(A545*Fo/(Q*(Fo^2-A545^2)))</f>
        <v>0.0163692712472223</v>
      </c>
      <c r="H545" s="0" t="n">
        <f aca="false">IF(G545&gt;0,G545-Pi,G545)</f>
        <v>-3.12522337875278</v>
      </c>
      <c r="J545" s="0" t="n">
        <f aca="false">Vin/Vramp</f>
        <v>9</v>
      </c>
      <c r="M545" s="0" t="n">
        <f aca="false">1/(2*Pi*_Rfb1*(Cc1ea_u+Cc2ea_u)*A545)</f>
        <v>0.0035617084765303</v>
      </c>
      <c r="N545" s="0" t="n">
        <f aca="false">-Pi/2</f>
        <v>-1.570796325</v>
      </c>
      <c r="O545" s="0" t="n">
        <f aca="false">SQRT(1+(A545/Fz1_u)^2)</f>
        <v>40.4424006112295</v>
      </c>
      <c r="P545" s="0" t="n">
        <f aca="false">ATAN2(Fz1_u,A545)</f>
        <v>1.54606728220066</v>
      </c>
      <c r="Q545" s="0" t="n">
        <f aca="false">SQRT(1+(A545/Fz2_u)^2)</f>
        <v>45876.7765018491</v>
      </c>
      <c r="R545" s="0" t="n">
        <f aca="false">ATAN2(Fz2_u,A545)</f>
        <v>1.57077452927388</v>
      </c>
      <c r="S545" s="0" t="n">
        <f aca="false">1/SQRT(1+(A545/Fp1_u)^2)</f>
        <v>0.00815492971090202</v>
      </c>
      <c r="T545" s="0" t="n">
        <f aca="false">-ATAN2(Fp1_u,A545)</f>
        <v>-1.56264130669357</v>
      </c>
      <c r="U545" s="0" t="n">
        <f aca="false">1/SQRT(1+(A545/Fp2_u)^2)</f>
        <v>0.21728814832798</v>
      </c>
      <c r="V545" s="0" t="n">
        <f aca="false">-ATAN2(Fp2_u,A545)</f>
        <v>-1.35176095004339</v>
      </c>
      <c r="X545" s="0" t="n">
        <f aca="false">20*LOG(C545*J545*O545*Q545*F545*M545*S545*U545)</f>
        <v>-22.8903427628241</v>
      </c>
      <c r="Y545" s="0" t="n">
        <f aca="false">(180/Pi)*(D545+H545+N545+P545+R545+T545+V545)</f>
        <v>-256.867399210229</v>
      </c>
      <c r="Z545" s="0" t="n">
        <f aca="false">Y545+180</f>
        <v>-76.8673992102295</v>
      </c>
      <c r="AC545" s="0" t="n">
        <v>1</v>
      </c>
      <c r="AD545" s="0" t="n">
        <f aca="false">Rcea1_u*Cc1ea_u*A545*2*Pi</f>
        <v>40.430035458792</v>
      </c>
      <c r="AE545" s="0" t="n">
        <f aca="false">-Rcea1_u*Cc1ea_u*Cc2ea_u*(A545*2*Pi)^2</f>
        <v>-0.0630627996604621</v>
      </c>
      <c r="AF545" s="0" t="n">
        <f aca="false">(Cc2ea_u+Cc1ea_u)*A545*2*Pi</f>
        <v>0.014038206756525</v>
      </c>
      <c r="AG545" s="0" t="n">
        <f aca="false">AC545*AE545/(AE545^2+AF545^2)+AD545*AF545/(AE545^2+AF545^2)</f>
        <v>120.868196873734</v>
      </c>
      <c r="AH545" s="0" t="n">
        <f aca="false">AD545*AE545/(AE545^2+AF545^2)-AC545*AF545/(AE545^2+AF545^2)</f>
        <v>-614.201445691197</v>
      </c>
      <c r="AJ545" s="0" t="n">
        <f aca="false">_Rfb1</f>
        <v>20000</v>
      </c>
      <c r="AK545" s="0" t="n">
        <f aca="false">_Rfb1*Rcea2_u*Cc3ea_u*A545*2*Pi</f>
        <v>2452422.72700656</v>
      </c>
      <c r="AL545" s="0" t="n">
        <v>1</v>
      </c>
      <c r="AM545" s="0" t="n">
        <f aca="false">(_Rfb1+Rcea2_u)*Cc3ea_u*A545*2*Pi</f>
        <v>45876.7764909503</v>
      </c>
      <c r="AN545" s="0" t="n">
        <f aca="false">AJ545*AL545/(AL545^2+AM545^2)+AK545*AM545/(AL545^2+AM545^2)</f>
        <v>53.4567454248997</v>
      </c>
      <c r="AO545" s="0" t="n">
        <f aca="false">AK545*AL545/(AL545^2+AM545^2)-AJ545*AM545/(AL545^2+AM545^2)</f>
        <v>-0.434785195915187</v>
      </c>
      <c r="AQ545" s="0" t="n">
        <f aca="false">Eadcg/(1+(Eadcg*A545/GBP)^2)</f>
        <v>0.00415665584446931</v>
      </c>
      <c r="AR545" s="0" t="n">
        <f aca="false">-(A545*Eadcg*Eadcg/GBP)/(1+(Eadcg*A545/GBP)^2)</f>
        <v>-3.62537287770846</v>
      </c>
      <c r="AT545" s="0" t="n">
        <f aca="false">-AR545*AH545+AG545*AQ545</f>
        <v>-2226.20685516125</v>
      </c>
      <c r="AU545" s="0" t="n">
        <f aca="false">AQ545*AH545+AG545*AR545</f>
        <v>-440.745306752476</v>
      </c>
      <c r="AV545" s="0" t="n">
        <f aca="false">ATAN2(AT545,AU545)</f>
        <v>-2.94613977619062</v>
      </c>
      <c r="AW545" s="0" t="n">
        <f aca="false">AG545-AH545*AO545/_Rfb2+AG545*AN545/_Rfb2+AN545-AO545*AR545+AQ545*AN545</f>
        <v>175.758263765488</v>
      </c>
      <c r="AX545" s="0" t="n">
        <f aca="false">AH545+AH545*AN545/_Rfb2+AG545*AO545/_Rfb2+AO545+AO545*AQ545+AN545*AR545</f>
        <v>-823.237266044595</v>
      </c>
      <c r="AY545" s="0" t="n">
        <f aca="false">ATAN2(AW545,AX545)</f>
        <v>-1.36045769432713</v>
      </c>
      <c r="BA545" s="0" t="n">
        <f aca="false">SQRT(AT545^2+AU545^2)/SQRT(AW545^2+AX545^2)</f>
        <v>2.69594164290396</v>
      </c>
      <c r="BB545" s="0" t="n">
        <f aca="false">20*LOG(BA545)</f>
        <v>8.61420974213885</v>
      </c>
      <c r="BC545" s="0" t="n">
        <f aca="false">AV545-AY545</f>
        <v>-1.58568208186349</v>
      </c>
      <c r="BD545" s="0" t="n">
        <f aca="false">BC545*180/Pi-180</f>
        <v>-270.852891044111</v>
      </c>
      <c r="BF545" s="0" t="n">
        <f aca="false">20*LOG(BA545*J545*F545*C545)</f>
        <v>-35.6470220759639</v>
      </c>
      <c r="BG545" s="0" t="n">
        <f aca="false">(180/Pi)*(D545+H545+BC545)</f>
        <v>-269.319222360564</v>
      </c>
      <c r="BH545" s="0" t="n">
        <f aca="false">IF(BG545&gt;180,BG545-180,BG545+180)</f>
        <v>-89.3192223605643</v>
      </c>
      <c r="BI545" s="0" t="n">
        <f aca="false">IF(BH545&gt;180,BH545-360,BH545)</f>
        <v>-89.3192223605643</v>
      </c>
      <c r="BJ545" s="0" t="n">
        <f aca="false">SUM((BF546&lt;0)*(BF545&gt;0))*A545</f>
        <v>0</v>
      </c>
      <c r="BK545" s="0" t="n">
        <f aca="false">IF(BJ545&gt;0,BI545,0)</f>
        <v>0</v>
      </c>
      <c r="BM545" s="0" t="n">
        <f aca="false">20*LOG(J545*F545*C545)</f>
        <v>-44.2612318181028</v>
      </c>
      <c r="BN545" s="0" t="n">
        <f aca="false">(H545+D545)*180/Pi</f>
        <v>-178.466331316454</v>
      </c>
      <c r="BQ545" s="347" t="n">
        <f aca="false">20*LOG(BA545*7)</f>
        <v>25.516170542424</v>
      </c>
    </row>
    <row r="546" customFormat="false" ht="12.75" hidden="false" customHeight="false" outlineLevel="0" collapsed="false">
      <c r="A546" s="0" t="n">
        <f aca="false">A545+5000</f>
        <v>1660000</v>
      </c>
      <c r="B546" s="0" t="n">
        <f aca="false">A546/1000</f>
        <v>1660</v>
      </c>
      <c r="C546" s="0" t="n">
        <f aca="false">SQRT((A546/Fesr)^2+1)</f>
        <v>1.00005439188441</v>
      </c>
      <c r="D546" s="0" t="n">
        <f aca="false">ATAN(A546/Fesr)</f>
        <v>0.0104297094043201</v>
      </c>
      <c r="F546" s="0" t="n">
        <f aca="false">(Ro/(Ro+Rdcr))/SQRT((A546/(Q*Fo))^2+(1-(A546^2/Fo^2))^2)</f>
        <v>0.000676162062281917</v>
      </c>
      <c r="G546" s="0" t="n">
        <f aca="false">-ATAN(A546*Fo/(Q*(Fo^2-A546^2)))</f>
        <v>0.0163199076945702</v>
      </c>
      <c r="H546" s="0" t="n">
        <f aca="false">IF(G546&gt;0,G546-Pi,G546)</f>
        <v>-3.12527274230543</v>
      </c>
      <c r="J546" s="0" t="n">
        <f aca="false">Vin/Vramp</f>
        <v>9</v>
      </c>
      <c r="M546" s="0" t="n">
        <f aca="false">1/(2*Pi*_Rfb1*(Cc1ea_u+Cc2ea_u)*A546)</f>
        <v>0.00355098043895039</v>
      </c>
      <c r="N546" s="0" t="n">
        <f aca="false">-Pi/2</f>
        <v>-1.570796325</v>
      </c>
      <c r="O546" s="0" t="n">
        <f aca="false">SQRT(1+(A546/Fz1_u)^2)</f>
        <v>40.5645085003625</v>
      </c>
      <c r="P546" s="0" t="n">
        <f aca="false">ATAN2(Fz1_u,A546)</f>
        <v>1.54614173704907</v>
      </c>
      <c r="Q546" s="0" t="n">
        <f aca="false">SQRT(1+(A546/Fz2_u)^2)</f>
        <v>46015.3770350216</v>
      </c>
      <c r="R546" s="0" t="n">
        <f aca="false">ATAN2(Fz2_u,A546)</f>
        <v>1.57077459492906</v>
      </c>
      <c r="S546" s="0" t="n">
        <f aca="false">1/SQRT(1+(A546/Fp1_u)^2)</f>
        <v>0.00813036829574464</v>
      </c>
      <c r="T546" s="0" t="n">
        <f aca="false">-ATAN2(Fp1_u,A546)</f>
        <v>-1.56266586892302</v>
      </c>
      <c r="U546" s="0" t="n">
        <f aca="false">1/SQRT(1+(A546/Fp2_u)^2)</f>
        <v>0.216664433857174</v>
      </c>
      <c r="V546" s="0" t="n">
        <f aca="false">-ATAN2(Fp2_u,A546)</f>
        <v>-1.35239988597773</v>
      </c>
      <c r="X546" s="0" t="n">
        <f aca="false">20*LOG(C546*J546*O546*Q546*F546*M546*S546*U546)</f>
        <v>-22.9677548143066</v>
      </c>
      <c r="Y546" s="0" t="n">
        <f aca="false">(180/Pi)*(D546+H546+N546+P546+R546+T546+V546)</f>
        <v>-256.902173662861</v>
      </c>
      <c r="Z546" s="0" t="n">
        <f aca="false">Y546+180</f>
        <v>-76.9021736628613</v>
      </c>
      <c r="AC546" s="0" t="n">
        <v>1</v>
      </c>
      <c r="AD546" s="0" t="n">
        <f aca="false">Rcea1_u*Cc1ea_u*A546*2*Pi</f>
        <v>40.552180581024</v>
      </c>
      <c r="AE546" s="0" t="n">
        <f aca="false">-Rcea1_u*Cc1ea_u*Cc2ea_u*(A546*2*Pi)^2</f>
        <v>-0.0634444193624992</v>
      </c>
      <c r="AF546" s="0" t="n">
        <f aca="false">(Cc2ea_u+Cc1ea_u)*A546*2*Pi</f>
        <v>0.0140806182573</v>
      </c>
      <c r="AG546" s="0" t="n">
        <f aca="false">AC546*AE546/(AE546^2+AF546^2)+AD546*AF546/(AE546^2+AF546^2)</f>
        <v>120.175300860543</v>
      </c>
      <c r="AH546" s="0" t="n">
        <f aca="false">AD546*AE546/(AE546^2+AF546^2)-AC546*AF546/(AE546^2+AF546^2)</f>
        <v>-612.505220098522</v>
      </c>
      <c r="AJ546" s="0" t="n">
        <f aca="false">_Rfb1</f>
        <v>20000</v>
      </c>
      <c r="AK546" s="0" t="n">
        <f aca="false">_Rfb1*Rcea2_u*Cc3ea_u*A546*2*Pi</f>
        <v>2459831.85911232</v>
      </c>
      <c r="AL546" s="0" t="n">
        <v>1</v>
      </c>
      <c r="AM546" s="0" t="n">
        <f aca="false">(_Rfb1+Rcea2_u)*Cc3ea_u*A546*2*Pi</f>
        <v>46015.3770241556</v>
      </c>
      <c r="AN546" s="0" t="n">
        <f aca="false">AJ546*AL546/(AL546^2+AM546^2)+AK546*AM546/(AL546^2+AM546^2)</f>
        <v>53.4567453678939</v>
      </c>
      <c r="AO546" s="0" t="n">
        <f aca="false">AK546*AL546/(AL546^2+AM546^2)-AJ546*AM546/(AL546^2+AM546^2)</f>
        <v>-0.433475601952826</v>
      </c>
      <c r="AQ546" s="0" t="n">
        <f aca="false">Eadcg/(1+(Eadcg*A546/GBP)^2)</f>
        <v>0.00413165349267739</v>
      </c>
      <c r="AR546" s="0" t="n">
        <f aca="false">-(A546*Eadcg*Eadcg/GBP)/(1+(Eadcg*A546/GBP)^2)</f>
        <v>-3.61445310846403</v>
      </c>
      <c r="AT546" s="0" t="n">
        <f aca="false">-AR546*AH546+AG546*AQ546</f>
        <v>-2213.37487403402</v>
      </c>
      <c r="AU546" s="0" t="n">
        <f aca="false">AQ546*AH546+AG546*AR546</f>
        <v>-436.898649087893</v>
      </c>
      <c r="AV546" s="0" t="n">
        <f aca="false">ATAN2(AT546,AU546)</f>
        <v>-2.94670771072305</v>
      </c>
      <c r="AW546" s="0" t="n">
        <f aca="false">AG546-AH546*AO546/_Rfb2+AG546*AN546/_Rfb2+AN546-AO546*AR546+AQ546*AN546</f>
        <v>175.057537215105</v>
      </c>
      <c r="AX546" s="0" t="n">
        <f aca="false">AH546+AH546*AN546/_Rfb2+AG546*AO546/_Rfb2+AO546+AO546*AQ546+AN546*AR546</f>
        <v>-820.914969026501</v>
      </c>
      <c r="AY546" s="0" t="n">
        <f aca="false">ATAN2(AW546,AX546)</f>
        <v>-1.36069645336958</v>
      </c>
      <c r="BA546" s="0" t="n">
        <f aca="false">SQRT(AT546^2+AU546^2)/SQRT(AW546^2+AX546^2)</f>
        <v>2.68781986498443</v>
      </c>
      <c r="BB546" s="0" t="n">
        <f aca="false">20*LOG(BA546)</f>
        <v>8.58800318745195</v>
      </c>
      <c r="BC546" s="0" t="n">
        <f aca="false">AV546-AY546</f>
        <v>-1.58601125735347</v>
      </c>
      <c r="BD546" s="0" t="n">
        <f aca="false">BC546*180/Pi-180</f>
        <v>-270.871751410427</v>
      </c>
      <c r="BF546" s="0" t="n">
        <f aca="false">20*LOG(BA546*J546*F546*C546)</f>
        <v>-35.7256581954151</v>
      </c>
      <c r="BG546" s="0" t="n">
        <f aca="false">(180/Pi)*(D546+H546+BC546)</f>
        <v>-269.339111245318</v>
      </c>
      <c r="BH546" s="0" t="n">
        <f aca="false">IF(BG546&gt;180,BG546-180,BG546+180)</f>
        <v>-89.3391112453182</v>
      </c>
      <c r="BI546" s="0" t="n">
        <f aca="false">IF(BH546&gt;180,BH546-360,BH546)</f>
        <v>-89.3391112453182</v>
      </c>
      <c r="BJ546" s="0" t="n">
        <f aca="false">SUM((BF547&lt;0)*(BF546&gt;0))*A546</f>
        <v>0</v>
      </c>
      <c r="BK546" s="0" t="n">
        <f aca="false">IF(BJ546&gt;0,BI546,0)</f>
        <v>0</v>
      </c>
      <c r="BM546" s="0" t="n">
        <f aca="false">20*LOG(J546*F546*C546)</f>
        <v>-44.3136613828671</v>
      </c>
      <c r="BN546" s="0" t="n">
        <f aca="false">(H546+D546)*180/Pi</f>
        <v>-178.467359834891</v>
      </c>
      <c r="BQ546" s="347" t="n">
        <f aca="false">20*LOG(BA546*7)</f>
        <v>25.4899639877371</v>
      </c>
    </row>
    <row r="547" customFormat="false" ht="12.75" hidden="false" customHeight="false" outlineLevel="0" collapsed="false">
      <c r="A547" s="0" t="n">
        <f aca="false">A546+5000</f>
        <v>1665000</v>
      </c>
      <c r="B547" s="0" t="n">
        <f aca="false">A547/1000</f>
        <v>1665</v>
      </c>
      <c r="C547" s="0" t="n">
        <f aca="false">SQRT((A547/Fesr)^2+1)</f>
        <v>1.00005472003086</v>
      </c>
      <c r="D547" s="0" t="n">
        <f aca="false">ATAN(A547/Fesr)</f>
        <v>0.0104611219032538</v>
      </c>
      <c r="F547" s="0" t="n">
        <f aca="false">(Ro/(Ro+Rdcr))/SQRT((A547/(Q*Fo))^2+(1-(A547^2/Fo^2))^2)</f>
        <v>0.000672104917353726</v>
      </c>
      <c r="G547" s="0" t="n">
        <f aca="false">-ATAN(A547*Fo/(Q*(Fo^2-A547^2)))</f>
        <v>0.0162708411448842</v>
      </c>
      <c r="H547" s="0" t="n">
        <f aca="false">IF(G547&gt;0,G547-Pi,G547)</f>
        <v>-3.12532180885512</v>
      </c>
      <c r="J547" s="0" t="n">
        <f aca="false">Vin/Vramp</f>
        <v>9</v>
      </c>
      <c r="M547" s="0" t="n">
        <f aca="false">1/(2*Pi*_Rfb1*(Cc1ea_u+Cc2ea_u)*A547)</f>
        <v>0.00354031683402861</v>
      </c>
      <c r="N547" s="0" t="n">
        <f aca="false">-Pi/2</f>
        <v>-1.570796325</v>
      </c>
      <c r="O547" s="0" t="n">
        <f aca="false">SQRT(1+(A547/Fz1_u)^2)</f>
        <v>40.686616613016</v>
      </c>
      <c r="P547" s="0" t="n">
        <f aca="false">ATAN2(Fz1_u,A547)</f>
        <v>1.54621574499217</v>
      </c>
      <c r="Q547" s="0" t="n">
        <f aca="false">SQRT(1+(A547/Fz2_u)^2)</f>
        <v>46153.9775681942</v>
      </c>
      <c r="R547" s="0" t="n">
        <f aca="false">ATAN2(Fz2_u,A547)</f>
        <v>1.57077466018992</v>
      </c>
      <c r="S547" s="0" t="n">
        <f aca="false">1/SQRT(1+(A547/Fp1_u)^2)</f>
        <v>0.0081059543820112</v>
      </c>
      <c r="T547" s="0" t="n">
        <f aca="false">-ATAN2(Fp1_u,A547)</f>
        <v>-1.56269028364128</v>
      </c>
      <c r="U547" s="0" t="n">
        <f aca="false">1/SQRT(1+(A547/Fp2_u)^2)</f>
        <v>0.216044202376546</v>
      </c>
      <c r="V547" s="0" t="n">
        <f aca="false">-ATAN2(Fp2_u,A547)</f>
        <v>-1.35303516408773</v>
      </c>
      <c r="X547" s="0" t="n">
        <f aca="false">20*LOG(C547*J547*O547*Q547*F547*M547*S547*U547)</f>
        <v>-23.0449408130552</v>
      </c>
      <c r="Y547" s="0" t="n">
        <f aca="false">(180/Pi)*(D547+H547+N547+P547+R547+T547+V547)</f>
        <v>-256.936738698374</v>
      </c>
      <c r="Z547" s="0" t="n">
        <f aca="false">Y547+180</f>
        <v>-76.9367386983737</v>
      </c>
      <c r="AC547" s="0" t="n">
        <v>1</v>
      </c>
      <c r="AD547" s="0" t="n">
        <f aca="false">Rcea1_u*Cc1ea_u*A547*2*Pi</f>
        <v>40.674325703256</v>
      </c>
      <c r="AE547" s="0" t="n">
        <f aca="false">-Rcea1_u*Cc1ea_u*Cc2ea_u*(A547*2*Pi)^2</f>
        <v>-0.0638271902551911</v>
      </c>
      <c r="AF547" s="0" t="n">
        <f aca="false">(Cc2ea_u+Cc1ea_u)*A547*2*Pi</f>
        <v>0.014123029758075</v>
      </c>
      <c r="AG547" s="0" t="n">
        <f aca="false">AC547*AE547/(AE547^2+AF547^2)+AD547*AF547/(AE547^2+AF547^2)</f>
        <v>119.488249294126</v>
      </c>
      <c r="AH547" s="0" t="n">
        <f aca="false">AD547*AE547/(AE547^2+AF547^2)-AC547*AF547/(AE547^2+AF547^2)</f>
        <v>-610.817888847363</v>
      </c>
      <c r="AJ547" s="0" t="n">
        <f aca="false">_Rfb1</f>
        <v>20000</v>
      </c>
      <c r="AK547" s="0" t="n">
        <f aca="false">_Rfb1*Rcea2_u*Cc3ea_u*A547*2*Pi</f>
        <v>2467240.99121808</v>
      </c>
      <c r="AL547" s="0" t="n">
        <v>1</v>
      </c>
      <c r="AM547" s="0" t="n">
        <f aca="false">(_Rfb1+Rcea2_u)*Cc3ea_u*A547*2*Pi</f>
        <v>46153.9775573609</v>
      </c>
      <c r="AN547" s="0" t="n">
        <f aca="false">AJ547*AL547/(AL547^2+AM547^2)+AK547*AM547/(AL547^2+AM547^2)</f>
        <v>53.4567453114009</v>
      </c>
      <c r="AO547" s="0" t="n">
        <f aca="false">AK547*AL547/(AL547^2+AM547^2)-AJ547*AM547/(AL547^2+AM547^2)</f>
        <v>-0.432173873419657</v>
      </c>
      <c r="AQ547" s="0" t="n">
        <f aca="false">Eadcg/(1+(Eadcg*A547/GBP)^2)</f>
        <v>0.00410687604853007</v>
      </c>
      <c r="AR547" s="0" t="n">
        <f aca="false">-(A547*Eadcg*Eadcg/GBP)/(1+(Eadcg*A547/GBP)^2)</f>
        <v>-3.60359892316296</v>
      </c>
      <c r="AT547" s="0" t="n">
        <f aca="false">-AR547*AH547+AG547*AQ547</f>
        <v>-2200.65196306992</v>
      </c>
      <c r="AU547" s="0" t="n">
        <f aca="false">AQ547*AH547+AG547*AR547</f>
        <v>-433.096279844659</v>
      </c>
      <c r="AV547" s="0" t="n">
        <f aca="false">ATAN2(AT547,AU547)</f>
        <v>-2.94727241359508</v>
      </c>
      <c r="AW547" s="0" t="n">
        <f aca="false">AG547-AH547*AO547/_Rfb2+AG547*AN547/_Rfb2+AN547-AO547*AR547+AQ547*AN547</f>
        <v>174.362716547364</v>
      </c>
      <c r="AX547" s="0" t="n">
        <f aca="false">AH547+AH547*AN547/_Rfb2+AG547*AO547/_Rfb2+AO547+AO547*AQ547+AN547*AR547</f>
        <v>-818.605296652152</v>
      </c>
      <c r="AY547" s="0" t="n">
        <f aca="false">ATAN2(AW547,AX547)</f>
        <v>-1.360932832454</v>
      </c>
      <c r="BA547" s="0" t="n">
        <f aca="false">SQRT(AT547^2+AU547^2)/SQRT(AW547^2+AX547^2)</f>
        <v>2.67974650545982</v>
      </c>
      <c r="BB547" s="0" t="n">
        <f aca="false">20*LOG(BA547)</f>
        <v>8.56187426500151</v>
      </c>
      <c r="BC547" s="0" t="n">
        <f aca="false">AV547-AY547</f>
        <v>-1.58633958114108</v>
      </c>
      <c r="BD547" s="0" t="n">
        <f aca="false">BC547*180/Pi-180</f>
        <v>-270.890562977792</v>
      </c>
      <c r="BF547" s="0" t="n">
        <f aca="false">20*LOG(BA547*J547*F547*C547)</f>
        <v>-35.8040588098238</v>
      </c>
      <c r="BG547" s="0" t="n">
        <f aca="false">(180/Pi)*(D547+H547+BC547)</f>
        <v>-269.358934315284</v>
      </c>
      <c r="BH547" s="0" t="n">
        <f aca="false">IF(BG547&gt;180,BG547-180,BG547+180)</f>
        <v>-89.358934315284</v>
      </c>
      <c r="BI547" s="0" t="n">
        <f aca="false">IF(BH547&gt;180,BH547-360,BH547)</f>
        <v>-89.358934315284</v>
      </c>
      <c r="BJ547" s="0" t="n">
        <f aca="false">SUM((BF548&lt;0)*(BF547&gt;0))*A547</f>
        <v>0</v>
      </c>
      <c r="BK547" s="0" t="n">
        <f aca="false">IF(BJ547&gt;0,BI547,0)</f>
        <v>0</v>
      </c>
      <c r="BM547" s="0" t="n">
        <f aca="false">20*LOG(J547*F547*C547)</f>
        <v>-44.3659330748253</v>
      </c>
      <c r="BN547" s="0" t="n">
        <f aca="false">(H547+D547)*180/Pi</f>
        <v>-178.468371337492</v>
      </c>
      <c r="BQ547" s="347" t="n">
        <f aca="false">20*LOG(BA547*7)</f>
        <v>25.4638350652866</v>
      </c>
    </row>
    <row r="548" customFormat="false" ht="12.75" hidden="false" customHeight="false" outlineLevel="0" collapsed="false">
      <c r="A548" s="0" t="n">
        <f aca="false">A547+5000</f>
        <v>1670000</v>
      </c>
      <c r="B548" s="0" t="n">
        <f aca="false">A548/1000</f>
        <v>1670</v>
      </c>
      <c r="C548" s="0" t="n">
        <f aca="false">SQRT((A548/Fesr)^2+1)</f>
        <v>1.0000550491641</v>
      </c>
      <c r="D548" s="0" t="n">
        <f aca="false">ATAN(A548/Fesr)</f>
        <v>0.0104925343815419</v>
      </c>
      <c r="F548" s="0" t="n">
        <f aca="false">(Ro/(Ro+Rdcr))/SQRT((A548/(Q*Fo))^2+(1-(A548^2/Fo^2))^2)</f>
        <v>0.000668084185576076</v>
      </c>
      <c r="G548" s="0" t="n">
        <f aca="false">-ATAN(A548*Fo/(Q*(Fo^2-A548^2)))</f>
        <v>0.0162220689242067</v>
      </c>
      <c r="H548" s="0" t="n">
        <f aca="false">IF(G548&gt;0,G548-Pi,G548)</f>
        <v>-3.12537058107579</v>
      </c>
      <c r="J548" s="0" t="n">
        <f aca="false">Vin/Vramp</f>
        <v>9</v>
      </c>
      <c r="M548" s="0" t="n">
        <f aca="false">1/(2*Pi*_Rfb1*(Cc1ea_u+Cc2ea_u)*A548)</f>
        <v>0.00352971708302853</v>
      </c>
      <c r="N548" s="0" t="n">
        <f aca="false">-Pi/2</f>
        <v>-1.570796325</v>
      </c>
      <c r="O548" s="0" t="n">
        <f aca="false">SQRT(1+(A548/Fz1_u)^2)</f>
        <v>40.8087249471837</v>
      </c>
      <c r="P548" s="0" t="n">
        <f aca="false">ATAN2(Fz1_u,A548)</f>
        <v>1.54628931004083</v>
      </c>
      <c r="Q548" s="0" t="n">
        <f aca="false">SQRT(1+(A548/Fz2_u)^2)</f>
        <v>46292.5781013671</v>
      </c>
      <c r="R548" s="0" t="n">
        <f aca="false">ATAN2(Fz2_u,A548)</f>
        <v>1.57077472505999</v>
      </c>
      <c r="S548" s="0" t="n">
        <f aca="false">1/SQRT(1+(A548/Fp1_u)^2)</f>
        <v>0.00808168664501245</v>
      </c>
      <c r="T548" s="0" t="n">
        <f aca="false">-ATAN2(Fp1_u,A548)</f>
        <v>-1.56271455217321</v>
      </c>
      <c r="U548" s="0" t="n">
        <f aca="false">1/SQRT(1+(A548/Fp2_u)^2)</f>
        <v>0.215427425555364</v>
      </c>
      <c r="V548" s="0" t="n">
        <f aca="false">-ATAN2(Fp2_u,A548)</f>
        <v>-1.35366681518619</v>
      </c>
      <c r="X548" s="0" t="n">
        <f aca="false">20*LOG(C548*J548*O548*Q548*F548*M548*S548*U548)</f>
        <v>-23.1219020578366</v>
      </c>
      <c r="Y548" s="0" t="n">
        <f aca="false">(180/Pi)*(D548+H548+N548+P548+R548+T548+V548)</f>
        <v>-256.971096081317</v>
      </c>
      <c r="Z548" s="0" t="n">
        <f aca="false">Y548+180</f>
        <v>-76.971096081317</v>
      </c>
      <c r="AC548" s="0" t="n">
        <v>1</v>
      </c>
      <c r="AD548" s="0" t="n">
        <f aca="false">Rcea1_u*Cc1ea_u*A548*2*Pi</f>
        <v>40.796470825488</v>
      </c>
      <c r="AE548" s="0" t="n">
        <f aca="false">-Rcea1_u*Cc1ea_u*Cc2ea_u*(A548*2*Pi)^2</f>
        <v>-0.0642111123385376</v>
      </c>
      <c r="AF548" s="0" t="n">
        <f aca="false">(Cc2ea_u+Cc1ea_u)*A548*2*Pi</f>
        <v>0.01416544125885</v>
      </c>
      <c r="AG548" s="0" t="n">
        <f aca="false">AC548*AE548/(AE548^2+AF548^2)+AD548*AF548/(AE548^2+AF548^2)</f>
        <v>118.806977744414</v>
      </c>
      <c r="AH548" s="0" t="n">
        <f aca="false">AD548*AE548/(AE548^2+AF548^2)-AC548*AF548/(AE548^2+AF548^2)</f>
        <v>-609.13938626217</v>
      </c>
      <c r="AJ548" s="0" t="n">
        <f aca="false">_Rfb1</f>
        <v>20000</v>
      </c>
      <c r="AK548" s="0" t="n">
        <f aca="false">_Rfb1*Rcea2_u*Cc3ea_u*A548*2*Pi</f>
        <v>2474650.12332384</v>
      </c>
      <c r="AL548" s="0" t="n">
        <v>1</v>
      </c>
      <c r="AM548" s="0" t="n">
        <f aca="false">(_Rfb1+Rcea2_u)*Cc3ea_u*A548*2*Pi</f>
        <v>46292.5780905662</v>
      </c>
      <c r="AN548" s="0" t="n">
        <f aca="false">AJ548*AL548/(AL548^2+AM548^2)+AK548*AM548/(AL548^2+AM548^2)</f>
        <v>53.4567452554145</v>
      </c>
      <c r="AO548" s="0" t="n">
        <f aca="false">AK548*AL548/(AL548^2+AM548^2)-AJ548*AM548/(AL548^2+AM548^2)</f>
        <v>-0.430879939668113</v>
      </c>
      <c r="AQ548" s="0" t="n">
        <f aca="false">Eadcg/(1+(Eadcg*A548/GBP)^2)</f>
        <v>0.00408232082256468</v>
      </c>
      <c r="AR548" s="0" t="n">
        <f aca="false">-(A548*Eadcg*Eadcg/GBP)/(1+(Eadcg*A548/GBP)^2)</f>
        <v>-3.59280973273095</v>
      </c>
      <c r="AT548" s="0" t="n">
        <f aca="false">-AR548*AH548+AG548*AQ548</f>
        <v>-2188.03690735337</v>
      </c>
      <c r="AU548" s="0" t="n">
        <f aca="false">AQ548*AH548+AG548*AR548</f>
        <v>-429.337568356862</v>
      </c>
      <c r="AV548" s="0" t="n">
        <f aca="false">ATAN2(AT548,AU548)</f>
        <v>-2.9478339117949</v>
      </c>
      <c r="AW548" s="0" t="n">
        <f aca="false">AG548-AH548*AO548/_Rfb2+AG548*AN548/_Rfb2+AN548-AO548*AR548+AQ548*AN548</f>
        <v>173.673736724044</v>
      </c>
      <c r="AX548" s="0" t="n">
        <f aca="false">AH548+AH548*AN548/_Rfb2+AG548*AO548/_Rfb2+AO548+AO548*AQ548+AN548*AR548</f>
        <v>-816.308150068696</v>
      </c>
      <c r="AY548" s="0" t="n">
        <f aca="false">ATAN2(AW548,AX548)</f>
        <v>-1.36116685102694</v>
      </c>
      <c r="BA548" s="0" t="n">
        <f aca="false">SQRT(AT548^2+AU548^2)/SQRT(AW548^2+AX548^2)</f>
        <v>2.6717211326171</v>
      </c>
      <c r="BB548" s="0" t="n">
        <f aca="false">20*LOG(BA548)</f>
        <v>8.53582251255247</v>
      </c>
      <c r="BC548" s="0" t="n">
        <f aca="false">AV548-AY548</f>
        <v>-1.58666706076796</v>
      </c>
      <c r="BD548" s="0" t="n">
        <f aca="false">BC548*180/Pi-180</f>
        <v>-270.909326178311</v>
      </c>
      <c r="BF548" s="0" t="n">
        <f aca="false">20*LOG(BA548*J548*F548*C548)</f>
        <v>-35.882225329685</v>
      </c>
      <c r="BG548" s="0" t="n">
        <f aca="false">(180/Pi)*(D548+H548+BC548)</f>
        <v>-269.378692155776</v>
      </c>
      <c r="BH548" s="0" t="n">
        <f aca="false">IF(BG548&gt;180,BG548-180,BG548+180)</f>
        <v>-89.378692155776</v>
      </c>
      <c r="BI548" s="0" t="n">
        <f aca="false">IF(BH548&gt;180,BH548-360,BH548)</f>
        <v>-89.378692155776</v>
      </c>
      <c r="BJ548" s="0" t="n">
        <f aca="false">SUM((BF549&lt;0)*(BF548&gt;0))*A548</f>
        <v>0</v>
      </c>
      <c r="BK548" s="0" t="n">
        <f aca="false">IF(BJ548&gt;0,BI548,0)</f>
        <v>0</v>
      </c>
      <c r="BM548" s="0" t="n">
        <f aca="false">20*LOG(J548*F548*C548)</f>
        <v>-44.4180478422375</v>
      </c>
      <c r="BN548" s="0" t="n">
        <f aca="false">(H548+D548)*180/Pi</f>
        <v>-178.469365977465</v>
      </c>
      <c r="BQ548" s="347" t="n">
        <f aca="false">20*LOG(BA548*7)</f>
        <v>25.4377833128376</v>
      </c>
    </row>
    <row r="549" customFormat="false" ht="12.75" hidden="false" customHeight="false" outlineLevel="0" collapsed="false">
      <c r="A549" s="0" t="n">
        <f aca="false">A548+5000</f>
        <v>1675000</v>
      </c>
      <c r="B549" s="0" t="n">
        <f aca="false">A549/1000</f>
        <v>1675</v>
      </c>
      <c r="C549" s="0" t="n">
        <f aca="false">SQRT((A549/Fesr)^2+1)</f>
        <v>1.00005537928414</v>
      </c>
      <c r="D549" s="0" t="n">
        <f aca="false">ATAN(A549/Fesr)</f>
        <v>0.0105239468391224</v>
      </c>
      <c r="F549" s="0" t="n">
        <f aca="false">(Ro/(Ro+Rdcr))/SQRT((A549/(Q*Fo))^2+(1-(A549^2/Fo^2))^2)</f>
        <v>0.000664099432424138</v>
      </c>
      <c r="G549" s="0" t="n">
        <f aca="false">-ATAN(A549*Fo/(Q*(Fo^2-A549^2)))</f>
        <v>0.0161735883906008</v>
      </c>
      <c r="H549" s="0" t="n">
        <f aca="false">IF(G549&gt;0,G549-Pi,G549)</f>
        <v>-3.1254190616094</v>
      </c>
      <c r="J549" s="0" t="n">
        <f aca="false">Vin/Vramp</f>
        <v>9</v>
      </c>
      <c r="M549" s="0" t="n">
        <f aca="false">1/(2*Pi*_Rfb1*(Cc1ea_u+Cc2ea_u)*A549)</f>
        <v>0.00351918061412397</v>
      </c>
      <c r="N549" s="0" t="n">
        <f aca="false">-Pi/2</f>
        <v>-1.570796325</v>
      </c>
      <c r="O549" s="0" t="n">
        <f aca="false">SQRT(1+(A549/Fz1_u)^2)</f>
        <v>40.930833500883</v>
      </c>
      <c r="P549" s="0" t="n">
        <f aca="false">ATAN2(Fz1_u,A549)</f>
        <v>1.54636243615811</v>
      </c>
      <c r="Q549" s="0" t="n">
        <f aca="false">SQRT(1+(A549/Fz2_u)^2)</f>
        <v>46431.1786345401</v>
      </c>
      <c r="R549" s="0" t="n">
        <f aca="false">ATAN2(Fz2_u,A549)</f>
        <v>1.57077478954279</v>
      </c>
      <c r="S549" s="0" t="n">
        <f aca="false">1/SQRT(1+(A549/Fp1_u)^2)</f>
        <v>0.00805756377587375</v>
      </c>
      <c r="T549" s="0" t="n">
        <f aca="false">-ATAN2(Fp1_u,A549)</f>
        <v>-1.56273867582782</v>
      </c>
      <c r="U549" s="0" t="n">
        <f aca="false">1/SQRT(1+(A549/Fp2_u)^2)</f>
        <v>0.21481407536035</v>
      </c>
      <c r="V549" s="0" t="n">
        <f aca="false">-ATAN2(Fp2_u,A549)</f>
        <v>-1.35429486974666</v>
      </c>
      <c r="X549" s="0" t="n">
        <f aca="false">20*LOG(C549*J549*O549*Q549*F549*M549*S549*U549)</f>
        <v>-23.1986398363909</v>
      </c>
      <c r="Y549" s="0" t="n">
        <f aca="false">(180/Pi)*(D549+H549+N549+P549+R549+T549+V549)</f>
        <v>-257.005247556806</v>
      </c>
      <c r="Z549" s="0" t="n">
        <f aca="false">Y549+180</f>
        <v>-77.0052475568062</v>
      </c>
      <c r="AC549" s="0" t="n">
        <v>1</v>
      </c>
      <c r="AD549" s="0" t="n">
        <f aca="false">Rcea1_u*Cc1ea_u*A549*2*Pi</f>
        <v>40.91861594772</v>
      </c>
      <c r="AE549" s="0" t="n">
        <f aca="false">-Rcea1_u*Cc1ea_u*Cc2ea_u*(A549*2*Pi)^2</f>
        <v>-0.0645961856125388</v>
      </c>
      <c r="AF549" s="0" t="n">
        <f aca="false">(Cc2ea_u+Cc1ea_u)*A549*2*Pi</f>
        <v>0.014207852759625</v>
      </c>
      <c r="AG549" s="0" t="n">
        <f aca="false">AC549*AE549/(AE549^2+AF549^2)+AD549*AF549/(AE549^2+AF549^2)</f>
        <v>118.13142265068</v>
      </c>
      <c r="AH549" s="0" t="n">
        <f aca="false">AD549*AE549/(AE549^2+AF549^2)-AC549*AF549/(AE549^2+AF549^2)</f>
        <v>-607.469647260366</v>
      </c>
      <c r="AJ549" s="0" t="n">
        <f aca="false">_Rfb1</f>
        <v>20000</v>
      </c>
      <c r="AK549" s="0" t="n">
        <f aca="false">_Rfb1*Rcea2_u*Cc3ea_u*A549*2*Pi</f>
        <v>2482059.2554296</v>
      </c>
      <c r="AL549" s="0" t="n">
        <v>1</v>
      </c>
      <c r="AM549" s="0" t="n">
        <f aca="false">(_Rfb1+Rcea2_u)*Cc3ea_u*A549*2*Pi</f>
        <v>46431.1786237715</v>
      </c>
      <c r="AN549" s="0" t="n">
        <f aca="false">AJ549*AL549/(AL549^2+AM549^2)+AK549*AM549/(AL549^2+AM549^2)</f>
        <v>53.4567451999288</v>
      </c>
      <c r="AO549" s="0" t="n">
        <f aca="false">AK549*AL549/(AL549^2+AM549^2)-AJ549*AM549/(AL549^2+AM549^2)</f>
        <v>-0.42959373089418</v>
      </c>
      <c r="AQ549" s="0" t="n">
        <f aca="false">Eadcg/(1+(Eadcg*A549/GBP)^2)</f>
        <v>0.00405798516539964</v>
      </c>
      <c r="AR549" s="0" t="n">
        <f aca="false">-(A549*Eadcg*Eadcg/GBP)/(1+(Eadcg*A549/GBP)^2)</f>
        <v>-3.5820849551274</v>
      </c>
      <c r="AT549" s="0" t="n">
        <f aca="false">-AR549*AH549+AG549*AQ549</f>
        <v>-2175.52850858722</v>
      </c>
      <c r="AU549" s="0" t="n">
        <f aca="false">AQ549*AH549+AG549*AR549</f>
        <v>-425.621894621812</v>
      </c>
      <c r="AV549" s="0" t="n">
        <f aca="false">ATAN2(AT549,AU549)</f>
        <v>-2.94839223201709</v>
      </c>
      <c r="AW549" s="0" t="n">
        <f aca="false">AG549-AH549*AO549/_Rfb2+AG549*AN549/_Rfb2+AN549-AO549*AR549+AQ549*AN549</f>
        <v>172.990533583225</v>
      </c>
      <c r="AX549" s="0" t="n">
        <f aca="false">AH549+AH549*AN549/_Rfb2+AG549*AO549/_Rfb2+AO549+AO549*AQ549+AN549*AR549</f>
        <v>-814.023431407988</v>
      </c>
      <c r="AY549" s="0" t="n">
        <f aca="false">ATAN2(AW549,AX549)</f>
        <v>-1.36139852833069</v>
      </c>
      <c r="BA549" s="0" t="n">
        <f aca="false">SQRT(AT549^2+AU549^2)/SQRT(AW549^2+AX549^2)</f>
        <v>2.66374331985122</v>
      </c>
      <c r="BB549" s="0" t="n">
        <f aca="false">20*LOG(BA549)</f>
        <v>8.50984747195514</v>
      </c>
      <c r="BC549" s="0" t="n">
        <f aca="false">AV549-AY549</f>
        <v>-1.5869937036864</v>
      </c>
      <c r="BD549" s="0" t="n">
        <f aca="false">BC549*180/Pi-180</f>
        <v>-270.928041438966</v>
      </c>
      <c r="BF549" s="0" t="n">
        <f aca="false">20*LOG(BA549*J549*F549*C549)</f>
        <v>-35.9601591528853</v>
      </c>
      <c r="BG549" s="0" t="n">
        <f aca="false">(180/Pi)*(D549+H549+BC549)</f>
        <v>-269.398385345153</v>
      </c>
      <c r="BH549" s="0" t="n">
        <f aca="false">IF(BG549&gt;180,BG549-180,BG549+180)</f>
        <v>-89.3983853451532</v>
      </c>
      <c r="BI549" s="0" t="n">
        <f aca="false">IF(BH549&gt;180,BH549-360,BH549)</f>
        <v>-89.3983853451532</v>
      </c>
      <c r="BJ549" s="0" t="n">
        <f aca="false">SUM((BF550&lt;0)*(BF549&gt;0))*A549</f>
        <v>0</v>
      </c>
      <c r="BK549" s="0" t="n">
        <f aca="false">IF(BJ549&gt;0,BI549,0)</f>
        <v>0</v>
      </c>
      <c r="BM549" s="0" t="n">
        <f aca="false">20*LOG(J549*F549*C549)</f>
        <v>-44.4700066248404</v>
      </c>
      <c r="BN549" s="0" t="n">
        <f aca="false">(H549+D549)*180/Pi</f>
        <v>-178.470343906187</v>
      </c>
      <c r="BQ549" s="347" t="n">
        <f aca="false">20*LOG(BA549*7)</f>
        <v>25.4118082722403</v>
      </c>
    </row>
    <row r="550" customFormat="false" ht="12.75" hidden="false" customHeight="false" outlineLevel="0" collapsed="false">
      <c r="A550" s="0" t="n">
        <f aca="false">A549+5000</f>
        <v>1680000</v>
      </c>
      <c r="B550" s="0" t="n">
        <f aca="false">A550/1000</f>
        <v>1680</v>
      </c>
      <c r="C550" s="0" t="n">
        <f aca="false">SQRT((A550/Fesr)^2+1)</f>
        <v>1.00005571039097</v>
      </c>
      <c r="D550" s="0" t="n">
        <f aca="false">ATAN(A550/Fesr)</f>
        <v>0.0105553592759332</v>
      </c>
      <c r="F550" s="0" t="n">
        <f aca="false">(Ro/(Ro+Rdcr))/SQRT((A550/(Q*Fo))^2+(1-(A550^2/Fo^2))^2)</f>
        <v>0.000660150229836527</v>
      </c>
      <c r="G550" s="0" t="n">
        <f aca="false">-ATAN(A550*Fo/(Q*(Fo^2-A550^2)))</f>
        <v>0.0161253969336727</v>
      </c>
      <c r="H550" s="0" t="n">
        <f aca="false">IF(G550&gt;0,G550-Pi,G550)</f>
        <v>-3.12546725306633</v>
      </c>
      <c r="J550" s="0" t="n">
        <f aca="false">Vin/Vramp</f>
        <v>9</v>
      </c>
      <c r="M550" s="0" t="n">
        <f aca="false">1/(2*Pi*_Rfb1*(Cc1ea_u+Cc2ea_u)*A550)</f>
        <v>0.00350870686229622</v>
      </c>
      <c r="N550" s="0" t="n">
        <f aca="false">-Pi/2</f>
        <v>-1.570796325</v>
      </c>
      <c r="O550" s="0" t="n">
        <f aca="false">SQRT(1+(A550/Fz1_u)^2)</f>
        <v>41.052942272155</v>
      </c>
      <c r="P550" s="0" t="n">
        <f aca="false">ATAN2(Fz1_u,A550)</f>
        <v>1.54643512725993</v>
      </c>
      <c r="Q550" s="0" t="n">
        <f aca="false">SQRT(1+(A550/Fz2_u)^2)</f>
        <v>46569.7791677133</v>
      </c>
      <c r="R550" s="0" t="n">
        <f aca="false">ATAN2(Fz2_u,A550)</f>
        <v>1.57077485364175</v>
      </c>
      <c r="S550" s="0" t="n">
        <f aca="false">1/SQRT(1+(A550/Fp1_u)^2)</f>
        <v>0.00803358448129977</v>
      </c>
      <c r="T550" s="0" t="n">
        <f aca="false">-ATAN2(Fp1_u,A550)</f>
        <v>-1.56276265589853</v>
      </c>
      <c r="U550" s="0" t="n">
        <f aca="false">1/SQRT(1+(A550/Fp2_u)^2)</f>
        <v>0.214204124051921</v>
      </c>
      <c r="V550" s="0" t="n">
        <f aca="false">-ATAN2(Fp2_u,A550)</f>
        <v>-1.35491935790797</v>
      </c>
      <c r="X550" s="0" t="n">
        <f aca="false">20*LOG(C550*J550*O550*Q550*F550*M550*S550*U550)</f>
        <v>-23.275155425555</v>
      </c>
      <c r="Y550" s="0" t="n">
        <f aca="false">(180/Pi)*(D550+H550+N550+P550+R550+T550+V550)</f>
        <v>-257.039194850783</v>
      </c>
      <c r="Z550" s="0" t="n">
        <f aca="false">Y550+180</f>
        <v>-77.0391948507833</v>
      </c>
      <c r="AC550" s="0" t="n">
        <v>1</v>
      </c>
      <c r="AD550" s="0" t="n">
        <f aca="false">Rcea1_u*Cc1ea_u*A550*2*Pi</f>
        <v>41.040761069952</v>
      </c>
      <c r="AE550" s="0" t="n">
        <f aca="false">-Rcea1_u*Cc1ea_u*Cc2ea_u*(A550*2*Pi)^2</f>
        <v>-0.0649824100771948</v>
      </c>
      <c r="AF550" s="0" t="n">
        <f aca="false">(Cc2ea_u+Cc1ea_u)*A550*2*Pi</f>
        <v>0.0142502642604</v>
      </c>
      <c r="AG550" s="0" t="n">
        <f aca="false">AC550*AE550/(AE550^2+AF550^2)+AD550*AF550/(AE550^2+AF550^2)</f>
        <v>117.461521307778</v>
      </c>
      <c r="AH550" s="0" t="n">
        <f aca="false">AD550*AE550/(AE550^2+AF550^2)-AC550*AF550/(AE550^2+AF550^2)</f>
        <v>-605.808607346547</v>
      </c>
      <c r="AJ550" s="0" t="n">
        <f aca="false">_Rfb1</f>
        <v>20000</v>
      </c>
      <c r="AK550" s="0" t="n">
        <f aca="false">_Rfb1*Rcea2_u*Cc3ea_u*A550*2*Pi</f>
        <v>2489468.38753536</v>
      </c>
      <c r="AL550" s="0" t="n">
        <v>1</v>
      </c>
      <c r="AM550" s="0" t="n">
        <f aca="false">(_Rfb1+Rcea2_u)*Cc3ea_u*A550*2*Pi</f>
        <v>46569.7791569768</v>
      </c>
      <c r="AN550" s="0" t="n">
        <f aca="false">AJ550*AL550/(AL550^2+AM550^2)+AK550*AM550/(AL550^2+AM550^2)</f>
        <v>53.4567451449377</v>
      </c>
      <c r="AO550" s="0" t="n">
        <f aca="false">AK550*AL550/(AL550^2+AM550^2)-AJ550*AM550/(AL550^2+AM550^2)</f>
        <v>-0.428315178124842</v>
      </c>
      <c r="AQ550" s="0" t="n">
        <f aca="false">Eadcg/(1+(Eadcg*A550/GBP)^2)</f>
        <v>0.00403386646701989</v>
      </c>
      <c r="AR550" s="0" t="n">
        <f aca="false">-(A550*Eadcg*Eadcg/GBP)/(1+(Eadcg*A550/GBP)^2)</f>
        <v>-3.57142401524073</v>
      </c>
      <c r="AT550" s="0" t="n">
        <f aca="false">-AR550*AH550+AG550*AQ550</f>
        <v>-2163.12558482503</v>
      </c>
      <c r="AU550" s="0" t="n">
        <f aca="false">AQ550*AH550+AG550*AR550</f>
        <v>-421.948649091917</v>
      </c>
      <c r="AV550" s="0" t="n">
        <f aca="false">ATAN2(AT550,AU550)</f>
        <v>-2.94894740066645</v>
      </c>
      <c r="AW550" s="0" t="n">
        <f aca="false">AG550-AH550*AO550/_Rfb2+AG550*AN550/_Rfb2+AN550-AO550*AR550+AQ550*AN550</f>
        <v>172.31304382544</v>
      </c>
      <c r="AX550" s="0" t="n">
        <f aca="false">AH550+AH550*AN550/_Rfb2+AG550*AO550/_Rfb2+AO550+AO550*AQ550+AN550*AR550</f>
        <v>-811.75104377502</v>
      </c>
      <c r="AY550" s="0" t="n">
        <f aca="false">ATAN2(AW550,AX550)</f>
        <v>-1.36162788340587</v>
      </c>
      <c r="BA550" s="0" t="n">
        <f aca="false">SQRT(AT550^2+AU550^2)/SQRT(AW550^2+AX550^2)</f>
        <v>2.65581264558994</v>
      </c>
      <c r="BB550" s="0" t="n">
        <f aca="false">20*LOG(BA550)</f>
        <v>8.48394868909732</v>
      </c>
      <c r="BC550" s="0" t="n">
        <f aca="false">AV550-AY550</f>
        <v>-1.58731951726058</v>
      </c>
      <c r="BD550" s="0" t="n">
        <f aca="false">BC550*180/Pi-180</f>
        <v>-270.946709181696</v>
      </c>
      <c r="BF550" s="0" t="n">
        <f aca="false">20*LOG(BA550*J550*F550*C550)</f>
        <v>-36.0378616648527</v>
      </c>
      <c r="BG550" s="0" t="n">
        <f aca="false">(180/Pi)*(D550+H550+BC550)</f>
        <v>-269.418014454922</v>
      </c>
      <c r="BH550" s="0" t="n">
        <f aca="false">IF(BG550&gt;180,BG550-180,BG550+180)</f>
        <v>-89.4180144549216</v>
      </c>
      <c r="BI550" s="0" t="n">
        <f aca="false">IF(BH550&gt;180,BH550-360,BH550)</f>
        <v>-89.4180144549216</v>
      </c>
      <c r="BJ550" s="0" t="n">
        <f aca="false">SUM((BF551&lt;0)*(BF550&gt;0))*A550</f>
        <v>0</v>
      </c>
      <c r="BK550" s="0" t="n">
        <f aca="false">IF(BJ550&gt;0,BI550,0)</f>
        <v>0</v>
      </c>
      <c r="BM550" s="0" t="n">
        <f aca="false">20*LOG(J550*F550*C550)</f>
        <v>-44.52181035395</v>
      </c>
      <c r="BN550" s="0" t="n">
        <f aca="false">(H550+D550)*180/Pi</f>
        <v>-178.471305273225</v>
      </c>
      <c r="BQ550" s="347" t="n">
        <f aca="false">20*LOG(BA550*7)</f>
        <v>25.3859094893824</v>
      </c>
    </row>
    <row r="551" customFormat="false" ht="12.75" hidden="false" customHeight="false" outlineLevel="0" collapsed="false">
      <c r="A551" s="0" t="n">
        <f aca="false">A550+5000</f>
        <v>1685000</v>
      </c>
      <c r="B551" s="0" t="n">
        <f aca="false">A551/1000</f>
        <v>1685</v>
      </c>
      <c r="C551" s="0" t="n">
        <f aca="false">SQRT((A551/Fesr)^2+1)</f>
        <v>1.0000560424846</v>
      </c>
      <c r="D551" s="0" t="n">
        <f aca="false">ATAN(A551/Fesr)</f>
        <v>0.0105867716919125</v>
      </c>
      <c r="F551" s="0" t="n">
        <f aca="false">(Ro/(Ro+Rdcr))/SQRT((A551/(Q*Fo))^2+(1-(A551^2/Fo^2))^2)</f>
        <v>0.000656236156100252</v>
      </c>
      <c r="G551" s="0" t="n">
        <f aca="false">-ATAN(A551*Fo/(Q*(Fo^2-A551^2)))</f>
        <v>0.0160774919741021</v>
      </c>
      <c r="H551" s="0" t="n">
        <f aca="false">IF(G551&gt;0,G551-Pi,G551)</f>
        <v>-3.1255151580259</v>
      </c>
      <c r="J551" s="0" t="n">
        <f aca="false">Vin/Vramp</f>
        <v>9</v>
      </c>
      <c r="M551" s="0" t="n">
        <f aca="false">1/(2*Pi*_Rfb1*(Cc1ea_u+Cc2ea_u)*A551)</f>
        <v>0.00349829526923302</v>
      </c>
      <c r="N551" s="0" t="n">
        <f aca="false">-Pi/2</f>
        <v>-1.570796325</v>
      </c>
      <c r="O551" s="0" t="n">
        <f aca="false">SQRT(1+(A551/Fz1_u)^2)</f>
        <v>41.1750512590639</v>
      </c>
      <c r="P551" s="0" t="n">
        <f aca="false">ATAN2(Fz1_u,A551)</f>
        <v>1.54650738721577</v>
      </c>
      <c r="Q551" s="0" t="n">
        <f aca="false">SQRT(1+(A551/Fz2_u)^2)</f>
        <v>46708.3797008868</v>
      </c>
      <c r="R551" s="0" t="n">
        <f aca="false">ATAN2(Fz2_u,A551)</f>
        <v>1.57077491736031</v>
      </c>
      <c r="S551" s="0" t="n">
        <f aca="false">1/SQRT(1+(A551/Fp1_u)^2)</f>
        <v>0.00800974748334341</v>
      </c>
      <c r="T551" s="0" t="n">
        <f aca="false">-ATAN2(Fp1_u,A551)</f>
        <v>-1.56278649366345</v>
      </c>
      <c r="U551" s="0" t="n">
        <f aca="false">1/SQRT(1+(A551/Fp2_u)^2)</f>
        <v>0.213597544180484</v>
      </c>
      <c r="V551" s="0" t="n">
        <f aca="false">-ATAN2(Fp2_u,A551)</f>
        <v>-1.35554030947879</v>
      </c>
      <c r="X551" s="0" t="n">
        <f aca="false">20*LOG(C551*J551*O551*Q551*F551*M551*S551*U551)</f>
        <v>-23.3514500913836</v>
      </c>
      <c r="Y551" s="0" t="n">
        <f aca="false">(180/Pi)*(D551+H551+N551+P551+R551+T551+V551)</f>
        <v>-257.072939670274</v>
      </c>
      <c r="Z551" s="0" t="n">
        <f aca="false">Y551+180</f>
        <v>-77.072939670274</v>
      </c>
      <c r="AC551" s="0" t="n">
        <v>1</v>
      </c>
      <c r="AD551" s="0" t="n">
        <f aca="false">Rcea1_u*Cc1ea_u*A551*2*Pi</f>
        <v>41.162906192184</v>
      </c>
      <c r="AE551" s="0" t="n">
        <f aca="false">-Rcea1_u*Cc1ea_u*Cc2ea_u*(A551*2*Pi)^2</f>
        <v>-0.0653697857325054</v>
      </c>
      <c r="AF551" s="0" t="n">
        <f aca="false">(Cc2ea_u+Cc1ea_u)*A551*2*Pi</f>
        <v>0.014292675761175</v>
      </c>
      <c r="AG551" s="0" t="n">
        <f aca="false">AC551*AE551/(AE551^2+AF551^2)+AD551*AF551/(AE551^2+AF551^2)</f>
        <v>116.797211852631</v>
      </c>
      <c r="AH551" s="0" t="n">
        <f aca="false">AD551*AE551/(AE551^2+AF551^2)-AC551*AF551/(AE551^2+AF551^2)</f>
        <v>-604.156202606715</v>
      </c>
      <c r="AJ551" s="0" t="n">
        <f aca="false">_Rfb1</f>
        <v>20000</v>
      </c>
      <c r="AK551" s="0" t="n">
        <f aca="false">_Rfb1*Rcea2_u*Cc3ea_u*A551*2*Pi</f>
        <v>2496877.51964112</v>
      </c>
      <c r="AL551" s="0" t="n">
        <v>1</v>
      </c>
      <c r="AM551" s="0" t="n">
        <f aca="false">(_Rfb1+Rcea2_u)*Cc3ea_u*A551*2*Pi</f>
        <v>46708.3796901821</v>
      </c>
      <c r="AN551" s="0" t="n">
        <f aca="false">AJ551*AL551/(AL551^2+AM551^2)+AK551*AM551/(AL551^2+AM551^2)</f>
        <v>53.4567450904354</v>
      </c>
      <c r="AO551" s="0" t="n">
        <f aca="false">AK551*AL551/(AL551^2+AM551^2)-AJ551*AM551/(AL551^2+AM551^2)</f>
        <v>-0.427044213205757</v>
      </c>
      <c r="AQ551" s="0" t="n">
        <f aca="false">Eadcg/(1+(Eadcg*A551/GBP)^2)</f>
        <v>0.00400996215607695</v>
      </c>
      <c r="AR551" s="0" t="n">
        <f aca="false">-(A551*Eadcg*Eadcg/GBP)/(1+(Eadcg*A551/GBP)^2)</f>
        <v>-3.56082634478555</v>
      </c>
      <c r="AT551" s="0" t="n">
        <f aca="false">-AR551*AH551+AG551*AQ551</f>
        <v>-2150.82697020812</v>
      </c>
      <c r="AU551" s="0" t="n">
        <f aca="false">AQ551*AH551+AG551*AR551</f>
        <v>-418.317232471159</v>
      </c>
      <c r="AV551" s="0" t="n">
        <f aca="false">ATAN2(AT551,AU551)</f>
        <v>-2.94949944386189</v>
      </c>
      <c r="AW551" s="0" t="n">
        <f aca="false">AG551-AH551*AO551/_Rfb2+AG551*AN551/_Rfb2+AN551-AO551*AR551+AQ551*AN551</f>
        <v>171.641205000083</v>
      </c>
      <c r="AX551" s="0" t="n">
        <f aca="false">AH551+AH551*AN551/_Rfb2+AG551*AO551/_Rfb2+AO551+AO551*AQ551+AN551*AR551</f>
        <v>-809.490891236509</v>
      </c>
      <c r="AY551" s="0" t="n">
        <f aca="false">ATAN2(AW551,AX551)</f>
        <v>-1.36185493509393</v>
      </c>
      <c r="BA551" s="0" t="n">
        <f aca="false">SQRT(AT551^2+AU551^2)/SQRT(AW551^2+AX551^2)</f>
        <v>2.64792869321994</v>
      </c>
      <c r="BB551" s="0" t="n">
        <f aca="false">20*LOG(BA551)</f>
        <v>8.45812571385723</v>
      </c>
      <c r="BC551" s="0" t="n">
        <f aca="false">AV551-AY551</f>
        <v>-1.58764450876797</v>
      </c>
      <c r="BD551" s="0" t="n">
        <f aca="false">BC551*180/Pi-180</f>
        <v>-270.965329823468</v>
      </c>
      <c r="BF551" s="0" t="n">
        <f aca="false">20*LOG(BA551*J551*F551*C551)</f>
        <v>-36.1153342387041</v>
      </c>
      <c r="BG551" s="0" t="n">
        <f aca="false">(180/Pi)*(D551+H551+BC551)</f>
        <v>-269.437580049836</v>
      </c>
      <c r="BH551" s="0" t="n">
        <f aca="false">IF(BG551&gt;180,BG551-180,BG551+180)</f>
        <v>-89.4375800498359</v>
      </c>
      <c r="BI551" s="0" t="n">
        <f aca="false">IF(BH551&gt;180,BH551-360,BH551)</f>
        <v>-89.4375800498359</v>
      </c>
      <c r="BJ551" s="0" t="n">
        <f aca="false">SUM((BF552&lt;0)*(BF551&gt;0))*A551</f>
        <v>0</v>
      </c>
      <c r="BK551" s="0" t="n">
        <f aca="false">IF(BJ551&gt;0,BI551,0)</f>
        <v>0</v>
      </c>
      <c r="BM551" s="0" t="n">
        <f aca="false">20*LOG(J551*F551*C551)</f>
        <v>-44.5734599525613</v>
      </c>
      <c r="BN551" s="0" t="n">
        <f aca="false">(H551+D551)*180/Pi</f>
        <v>-178.472250226368</v>
      </c>
      <c r="BQ551" s="347" t="n">
        <f aca="false">20*LOG(BA551*7)</f>
        <v>25.3600865141424</v>
      </c>
    </row>
    <row r="552" customFormat="false" ht="12.75" hidden="false" customHeight="false" outlineLevel="0" collapsed="false">
      <c r="A552" s="0" t="n">
        <f aca="false">A551+5000</f>
        <v>1690000</v>
      </c>
      <c r="B552" s="0" t="n">
        <f aca="false">A552/1000</f>
        <v>1690</v>
      </c>
      <c r="C552" s="0" t="n">
        <f aca="false">SQRT((A552/Fesr)^2+1)</f>
        <v>1.00005637556503</v>
      </c>
      <c r="D552" s="0" t="n">
        <f aca="false">ATAN(A552/Fesr)</f>
        <v>0.0106181840869982</v>
      </c>
      <c r="F552" s="0" t="n">
        <f aca="false">(Ro/(Ro+Rdcr))/SQRT((A552/(Q*Fo))^2+(1-(A552^2/Fo^2))^2)</f>
        <v>0.00065235679573805</v>
      </c>
      <c r="G552" s="0" t="n">
        <f aca="false">-ATAN(A552*Fo/(Q*(Fo^2-A552^2)))</f>
        <v>0.0160298709631802</v>
      </c>
      <c r="H552" s="0" t="n">
        <f aca="false">IF(G552&gt;0,G552-Pi,G552)</f>
        <v>-3.12556277903682</v>
      </c>
      <c r="J552" s="0" t="n">
        <f aca="false">Vin/Vramp</f>
        <v>9</v>
      </c>
      <c r="M552" s="0" t="n">
        <f aca="false">1/(2*Pi*_Rfb1*(Cc1ea_u+Cc2ea_u)*A552)</f>
        <v>0.00348794528322937</v>
      </c>
      <c r="N552" s="0" t="n">
        <f aca="false">-Pi/2</f>
        <v>-1.570796325</v>
      </c>
      <c r="O552" s="0" t="n">
        <f aca="false">SQRT(1+(A552/Fz1_u)^2)</f>
        <v>41.297160459697</v>
      </c>
      <c r="P552" s="0" t="n">
        <f aca="false">ATAN2(Fz1_u,A552)</f>
        <v>1.54657921984935</v>
      </c>
      <c r="Q552" s="0" t="n">
        <f aca="false">SQRT(1+(A552/Fz2_u)^2)</f>
        <v>46846.9802340604</v>
      </c>
      <c r="R552" s="0" t="n">
        <f aca="false">ATAN2(Fz2_u,A552)</f>
        <v>1.57077498070183</v>
      </c>
      <c r="S552" s="0" t="n">
        <f aca="false">1/SQRT(1+(A552/Fp1_u)^2)</f>
        <v>0.00798605151917875</v>
      </c>
      <c r="T552" s="0" t="n">
        <f aca="false">-ATAN2(Fp1_u,A552)</f>
        <v>-1.56281019038552</v>
      </c>
      <c r="U552" s="0" t="n">
        <f aca="false">1/SQRT(1+(A552/Fp2_u)^2)</f>
        <v>0.212994308582783</v>
      </c>
      <c r="V552" s="0" t="n">
        <f aca="false">-ATAN2(Fp2_u,A552)</f>
        <v>-1.356157753942</v>
      </c>
      <c r="X552" s="0" t="n">
        <f aca="false">20*LOG(C552*J552*O552*Q552*F552*M552*S552*U552)</f>
        <v>-23.4275250892696</v>
      </c>
      <c r="Y552" s="0" t="n">
        <f aca="false">(180/Pi)*(D552+H552+N552+P552+R552+T552+V552)</f>
        <v>-257.106483703643</v>
      </c>
      <c r="Z552" s="0" t="n">
        <f aca="false">Y552+180</f>
        <v>-77.1064837036428</v>
      </c>
      <c r="AC552" s="0" t="n">
        <v>1</v>
      </c>
      <c r="AD552" s="0" t="n">
        <f aca="false">Rcea1_u*Cc1ea_u*A552*2*Pi</f>
        <v>41.285051314416</v>
      </c>
      <c r="AE552" s="0" t="n">
        <f aca="false">-Rcea1_u*Cc1ea_u*Cc2ea_u*(A552*2*Pi)^2</f>
        <v>-0.0657583125784708</v>
      </c>
      <c r="AF552" s="0" t="n">
        <f aca="false">(Cc2ea_u+Cc1ea_u)*A552*2*Pi</f>
        <v>0.01433508726195</v>
      </c>
      <c r="AG552" s="0" t="n">
        <f aca="false">AC552*AE552/(AE552^2+AF552^2)+AD552*AF552/(AE552^2+AF552^2)</f>
        <v>116.138433250964</v>
      </c>
      <c r="AH552" s="0" t="n">
        <f aca="false">AD552*AE552/(AE552^2+AF552^2)-AC552*AF552/(AE552^2+AF552^2)</f>
        <v>-602.512369702578</v>
      </c>
      <c r="AJ552" s="0" t="n">
        <f aca="false">_Rfb1</f>
        <v>20000</v>
      </c>
      <c r="AK552" s="0" t="n">
        <f aca="false">_Rfb1*Rcea2_u*Cc3ea_u*A552*2*Pi</f>
        <v>2504286.65174688</v>
      </c>
      <c r="AL552" s="0" t="n">
        <v>1</v>
      </c>
      <c r="AM552" s="0" t="n">
        <f aca="false">(_Rfb1+Rcea2_u)*Cc3ea_u*A552*2*Pi</f>
        <v>46846.9802233873</v>
      </c>
      <c r="AN552" s="0" t="n">
        <f aca="false">AJ552*AL552/(AL552^2+AM552^2)+AK552*AM552/(AL552^2+AM552^2)</f>
        <v>53.4567450364162</v>
      </c>
      <c r="AO552" s="0" t="n">
        <f aca="false">AK552*AL552/(AL552^2+AM552^2)-AJ552*AM552/(AL552^2+AM552^2)</f>
        <v>-0.425780768789142</v>
      </c>
      <c r="AQ552" s="0" t="n">
        <f aca="false">Eadcg/(1+(Eadcg*A552/GBP)^2)</f>
        <v>0.0039862696992036</v>
      </c>
      <c r="AR552" s="0" t="n">
        <f aca="false">-(A552*Eadcg*Eadcg/GBP)/(1+(Eadcg*A552/GBP)^2)</f>
        <v>-3.5502913822017</v>
      </c>
      <c r="AT552" s="0" t="n">
        <f aca="false">-AR552*AH552+AG552*AQ552</f>
        <v>-2138.63151470761</v>
      </c>
      <c r="AU552" s="0" t="n">
        <f aca="false">AQ552*AH552+AG552*AR552</f>
        <v>-414.727055516045</v>
      </c>
      <c r="AV552" s="0" t="n">
        <f aca="false">ATAN2(AT552,AU552)</f>
        <v>-2.95004838744017</v>
      </c>
      <c r="AW552" s="0" t="n">
        <f aca="false">AG552-AH552*AO552/_Rfb2+AG552*AN552/_Rfb2+AN552-AO552*AR552+AQ552*AN552</f>
        <v>170.974955492059</v>
      </c>
      <c r="AX552" s="0" t="n">
        <f aca="false">AH552+AH552*AN552/_Rfb2+AG552*AO552/_Rfb2+AO552+AO552*AQ552+AN552*AR552</f>
        <v>-807.242878809629</v>
      </c>
      <c r="AY552" s="0" t="n">
        <f aca="false">ATAN2(AW552,AX552)</f>
        <v>-1.36207970203968</v>
      </c>
      <c r="BA552" s="0" t="n">
        <f aca="false">SQRT(AT552^2+AU552^2)/SQRT(AW552^2+AX552^2)</f>
        <v>2.64009105101424</v>
      </c>
      <c r="BB552" s="0" t="n">
        <f aca="false">20*LOG(BA552)</f>
        <v>8.43237810005703</v>
      </c>
      <c r="BC552" s="0" t="n">
        <f aca="false">AV552-AY552</f>
        <v>-1.58796868540049</v>
      </c>
      <c r="BD552" s="0" t="n">
        <f aca="false">BC552*180/Pi-180</f>
        <v>-270.98390377635</v>
      </c>
      <c r="BF552" s="0" t="n">
        <f aca="false">20*LOG(BA552*J552*F552*C552)</f>
        <v>-36.1925782353904</v>
      </c>
      <c r="BG552" s="0" t="n">
        <f aca="false">(180/Pi)*(D552+H552+BC552)</f>
        <v>-269.457082687998</v>
      </c>
      <c r="BH552" s="0" t="n">
        <f aca="false">IF(BG552&gt;180,BG552-180,BG552+180)</f>
        <v>-89.4570826879979</v>
      </c>
      <c r="BI552" s="0" t="n">
        <f aca="false">IF(BH552&gt;180,BH552-360,BH552)</f>
        <v>-89.4570826879979</v>
      </c>
      <c r="BJ552" s="0" t="n">
        <f aca="false">SUM((BF553&lt;0)*(BF552&gt;0))*A552</f>
        <v>0</v>
      </c>
      <c r="BK552" s="0" t="n">
        <f aca="false">IF(BJ552&gt;0,BI552,0)</f>
        <v>0</v>
      </c>
      <c r="BM552" s="0" t="n">
        <f aca="false">20*LOG(J552*F552*C552)</f>
        <v>-44.6249563354474</v>
      </c>
      <c r="BN552" s="0" t="n">
        <f aca="false">(H552+D552)*180/Pi</f>
        <v>-178.473178911648</v>
      </c>
      <c r="BQ552" s="347" t="n">
        <f aca="false">20*LOG(BA552*7)</f>
        <v>25.3343389003422</v>
      </c>
    </row>
    <row r="553" customFormat="false" ht="12.75" hidden="false" customHeight="false" outlineLevel="0" collapsed="false">
      <c r="A553" s="0" t="n">
        <f aca="false">A552+5000</f>
        <v>1695000</v>
      </c>
      <c r="B553" s="0" t="n">
        <f aca="false">A553/1000</f>
        <v>1695</v>
      </c>
      <c r="C553" s="0" t="n">
        <f aca="false">SQRT((A553/Fesr)^2+1)</f>
        <v>1.00005670963225</v>
      </c>
      <c r="D553" s="0" t="n">
        <f aca="false">ATAN(A553/Fesr)</f>
        <v>0.0106495964611285</v>
      </c>
      <c r="F553" s="0" t="n">
        <f aca="false">(Ro/(Ro+Rdcr))/SQRT((A553/(Q*Fo))^2+(1-(A553^2/Fo^2))^2)</f>
        <v>0.000648511739398048</v>
      </c>
      <c r="G553" s="0" t="n">
        <f aca="false">-ATAN(A553*Fo/(Q*(Fo^2-A553^2)))</f>
        <v>0.0159825313823578</v>
      </c>
      <c r="H553" s="0" t="n">
        <f aca="false">IF(G553&gt;0,G553-Pi,G553)</f>
        <v>-3.12561011861764</v>
      </c>
      <c r="J553" s="0" t="n">
        <f aca="false">Vin/Vramp</f>
        <v>9</v>
      </c>
      <c r="M553" s="0" t="n">
        <f aca="false">1/(2*Pi*_Rfb1*(Cc1ea_u+Cc2ea_u)*A553)</f>
        <v>0.00347765635909006</v>
      </c>
      <c r="N553" s="0" t="n">
        <f aca="false">-Pi/2</f>
        <v>-1.570796325</v>
      </c>
      <c r="O553" s="0" t="n">
        <f aca="false">SQRT(1+(A553/Fz1_u)^2)</f>
        <v>41.419269872164</v>
      </c>
      <c r="P553" s="0" t="n">
        <f aca="false">ATAN2(Fz1_u,A553)</f>
        <v>1.54665062893935</v>
      </c>
      <c r="Q553" s="0" t="n">
        <f aca="false">SQRT(1+(A553/Fz2_u)^2)</f>
        <v>46985.5807672342</v>
      </c>
      <c r="R553" s="0" t="n">
        <f aca="false">ATAN2(Fz2_u,A553)</f>
        <v>1.57077504366965</v>
      </c>
      <c r="S553" s="0" t="n">
        <f aca="false">1/SQRT(1+(A553/Fp1_u)^2)</f>
        <v>0.0079624953408781</v>
      </c>
      <c r="T553" s="0" t="n">
        <f aca="false">-ATAN2(Fp1_u,A553)</f>
        <v>-1.56283374731282</v>
      </c>
      <c r="U553" s="0" t="n">
        <f aca="false">1/SQRT(1+(A553/Fp2_u)^2)</f>
        <v>0.212394390378298</v>
      </c>
      <c r="V553" s="0" t="n">
        <f aca="false">-ATAN2(Fp2_u,A553)</f>
        <v>-1.35677172045911</v>
      </c>
      <c r="X553" s="0" t="n">
        <f aca="false">20*LOG(C553*J553*O553*Q553*F553*M553*S553*U553)</f>
        <v>-23.5033816640616</v>
      </c>
      <c r="Y553" s="0" t="n">
        <f aca="false">(180/Pi)*(D553+H553+N553+P553+R553+T553+V553)</f>
        <v>-257.139828620842</v>
      </c>
      <c r="Z553" s="0" t="n">
        <f aca="false">Y553+180</f>
        <v>-77.1398286208421</v>
      </c>
      <c r="AC553" s="0" t="n">
        <v>1</v>
      </c>
      <c r="AD553" s="0" t="n">
        <f aca="false">Rcea1_u*Cc1ea_u*A553*2*Pi</f>
        <v>41.407196436648</v>
      </c>
      <c r="AE553" s="0" t="n">
        <f aca="false">-Rcea1_u*Cc1ea_u*Cc2ea_u*(A553*2*Pi)^2</f>
        <v>-0.0661479906150909</v>
      </c>
      <c r="AF553" s="0" t="n">
        <f aca="false">(Cc2ea_u+Cc1ea_u)*A553*2*Pi</f>
        <v>0.014377498762725</v>
      </c>
      <c r="AG553" s="0" t="n">
        <f aca="false">AC553*AE553/(AE553^2+AF553^2)+AD553*AF553/(AE553^2+AF553^2)</f>
        <v>115.485125284272</v>
      </c>
      <c r="AH553" s="0" t="n">
        <f aca="false">AD553*AE553/(AE553^2+AF553^2)-AC553*AF553/(AE553^2+AF553^2)</f>
        <v>-600.877045865887</v>
      </c>
      <c r="AJ553" s="0" t="n">
        <f aca="false">_Rfb1</f>
        <v>20000</v>
      </c>
      <c r="AK553" s="0" t="n">
        <f aca="false">_Rfb1*Rcea2_u*Cc3ea_u*A553*2*Pi</f>
        <v>2511695.78385264</v>
      </c>
      <c r="AL553" s="0" t="n">
        <v>1</v>
      </c>
      <c r="AM553" s="0" t="n">
        <f aca="false">(_Rfb1+Rcea2_u)*Cc3ea_u*A553*2*Pi</f>
        <v>46985.5807565926</v>
      </c>
      <c r="AN553" s="0" t="n">
        <f aca="false">AJ553*AL553/(AL553^2+AM553^2)+AK553*AM553/(AL553^2+AM553^2)</f>
        <v>53.4567449828743</v>
      </c>
      <c r="AO553" s="0" t="n">
        <f aca="false">AK553*AL553/(AL553^2+AM553^2)-AJ553*AM553/(AL553^2+AM553^2)</f>
        <v>-0.424524778321877</v>
      </c>
      <c r="AQ553" s="0" t="n">
        <f aca="false">Eadcg/(1+(Eadcg*A553/GBP)^2)</f>
        <v>0.00396278660034264</v>
      </c>
      <c r="AR553" s="0" t="n">
        <f aca="false">-(A553*Eadcg*Eadcg/GBP)/(1+(Eadcg*A553/GBP)^2)</f>
        <v>-3.53981857255506</v>
      </c>
      <c r="AT553" s="0" t="n">
        <f aca="false">-AR553*AH553+AG553*AQ553</f>
        <v>-2126.53808387107</v>
      </c>
      <c r="AU553" s="0" t="n">
        <f aca="false">AQ553*AH553+AG553*AR553</f>
        <v>-411.177538840927</v>
      </c>
      <c r="AV553" s="0" t="n">
        <f aca="false">ATAN2(AT553,AU553)</f>
        <v>-2.95059425695962</v>
      </c>
      <c r="AW553" s="0" t="n">
        <f aca="false">AG553-AH553*AO553/_Rfb2+AG553*AN553/_Rfb2+AN553-AO553*AR553+AQ553*AN553</f>
        <v>170.314234508673</v>
      </c>
      <c r="AX553" s="0" t="n">
        <f aca="false">AH553+AH553*AN553/_Rfb2+AG553*AO553/_Rfb2+AO553+AO553*AQ553+AN553*AR553</f>
        <v>-805.006912450887</v>
      </c>
      <c r="AY553" s="0" t="n">
        <f aca="false">ATAN2(AW553,AX553)</f>
        <v>-1.36230220269376</v>
      </c>
      <c r="BA553" s="0" t="n">
        <f aca="false">SQRT(AT553^2+AU553^2)/SQRT(AW553^2+AX553^2)</f>
        <v>2.63229931206094</v>
      </c>
      <c r="BB553" s="0" t="n">
        <f aca="false">20*LOG(BA553)</f>
        <v>8.40670540541709</v>
      </c>
      <c r="BC553" s="0" t="n">
        <f aca="false">AV553-AY553</f>
        <v>-1.58829205426586</v>
      </c>
      <c r="BD553" s="0" t="n">
        <f aca="false">BC553*180/Pi-180</f>
        <v>-271.002431447582</v>
      </c>
      <c r="BF553" s="0" t="n">
        <f aca="false">20*LOG(BA553*J553*F553*C553)</f>
        <v>-36.26959500384</v>
      </c>
      <c r="BG553" s="0" t="n">
        <f aca="false">(180/Pi)*(D553+H553+BC553)</f>
        <v>-269.476522920954</v>
      </c>
      <c r="BH553" s="0" t="n">
        <f aca="false">IF(BG553&gt;180,BG553-180,BG553+180)</f>
        <v>-89.4765229209543</v>
      </c>
      <c r="BI553" s="0" t="n">
        <f aca="false">IF(BH553&gt;180,BH553-360,BH553)</f>
        <v>-89.4765229209543</v>
      </c>
      <c r="BJ553" s="0" t="n">
        <f aca="false">SUM((BF554&lt;0)*(BF553&gt;0))*A553</f>
        <v>0</v>
      </c>
      <c r="BK553" s="0" t="n">
        <f aca="false">IF(BJ553&gt;0,BI553,0)</f>
        <v>0</v>
      </c>
      <c r="BM553" s="0" t="n">
        <f aca="false">20*LOG(J553*F553*C553)</f>
        <v>-44.6763004092571</v>
      </c>
      <c r="BN553" s="0" t="n">
        <f aca="false">(H553+D553)*180/Pi</f>
        <v>-178.474091473372</v>
      </c>
      <c r="BQ553" s="347" t="n">
        <f aca="false">20*LOG(BA553*7)</f>
        <v>25.3086662057022</v>
      </c>
    </row>
    <row r="554" customFormat="false" ht="12.75" hidden="false" customHeight="false" outlineLevel="0" collapsed="false">
      <c r="A554" s="0" t="n">
        <f aca="false">A553+5000</f>
        <v>1700000</v>
      </c>
      <c r="B554" s="0" t="n">
        <f aca="false">A554/1000</f>
        <v>1700</v>
      </c>
      <c r="C554" s="0" t="n">
        <f aca="false">SQRT((A554/Fesr)^2+1)</f>
        <v>1.00005704468626</v>
      </c>
      <c r="D554" s="0" t="n">
        <f aca="false">ATAN(A554/Fesr)</f>
        <v>0.0106810088142412</v>
      </c>
      <c r="F554" s="0" t="n">
        <f aca="false">(Ro/(Ro+Rdcr))/SQRT((A554/(Q*Fo))^2+(1-(A554^2/Fo^2))^2)</f>
        <v>0.000644700583745691</v>
      </c>
      <c r="G554" s="0" t="n">
        <f aca="false">-ATAN(A554*Fo/(Q*(Fo^2-A554^2)))</f>
        <v>0.0159354707427991</v>
      </c>
      <c r="H554" s="0" t="n">
        <f aca="false">IF(G554&gt;0,G554-Pi,G554)</f>
        <v>-3.1256571792572</v>
      </c>
      <c r="J554" s="0" t="n">
        <f aca="false">Vin/Vramp</f>
        <v>9</v>
      </c>
      <c r="M554" s="0" t="n">
        <f aca="false">1/(2*Pi*_Rfb1*(Cc1ea_u+Cc2ea_u)*A554)</f>
        <v>0.00346742795803391</v>
      </c>
      <c r="N554" s="0" t="n">
        <f aca="false">-Pi/2</f>
        <v>-1.570796325</v>
      </c>
      <c r="O554" s="0" t="n">
        <f aca="false">SQRT(1+(A554/Fz1_u)^2)</f>
        <v>41.5413794945969</v>
      </c>
      <c r="P554" s="0" t="n">
        <f aca="false">ATAN2(Fz1_u,A554)</f>
        <v>1.54672161822001</v>
      </c>
      <c r="Q554" s="0" t="n">
        <f aca="false">SQRT(1+(A554/Fz2_u)^2)</f>
        <v>47124.1813004082</v>
      </c>
      <c r="R554" s="0" t="n">
        <f aca="false">ATAN2(Fz2_u,A554)</f>
        <v>1.57077510626708</v>
      </c>
      <c r="S554" s="0" t="n">
        <f aca="false">1/SQRT(1+(A554/Fp1_u)^2)</f>
        <v>0.00793907771519297</v>
      </c>
      <c r="T554" s="0" t="n">
        <f aca="false">-ATAN2(Fp1_u,A554)</f>
        <v>-1.56285716567871</v>
      </c>
      <c r="U554" s="0" t="n">
        <f aca="false">1/SQRT(1+(A554/Fp2_u)^2)</f>
        <v>0.211797762965703</v>
      </c>
      <c r="V554" s="0" t="n">
        <f aca="false">-ATAN2(Fp2_u,A554)</f>
        <v>-1.35738223787449</v>
      </c>
      <c r="X554" s="0" t="n">
        <f aca="false">20*LOG(C554*J554*O554*Q554*F554*M554*S554*U554)</f>
        <v>-23.5790210501808</v>
      </c>
      <c r="Y554" s="0" t="n">
        <f aca="false">(180/Pi)*(D554+H554+N554+P554+R554+T554+V554)</f>
        <v>-257.172976073659</v>
      </c>
      <c r="Z554" s="0" t="n">
        <f aca="false">Y554+180</f>
        <v>-77.1729760736587</v>
      </c>
      <c r="AC554" s="0" t="n">
        <v>1</v>
      </c>
      <c r="AD554" s="0" t="n">
        <f aca="false">Rcea1_u*Cc1ea_u*A554*2*Pi</f>
        <v>41.52934155888</v>
      </c>
      <c r="AE554" s="0" t="n">
        <f aca="false">-Rcea1_u*Cc1ea_u*Cc2ea_u*(A554*2*Pi)^2</f>
        <v>-0.0665388198423657</v>
      </c>
      <c r="AF554" s="0" t="n">
        <f aca="false">(Cc2ea_u+Cc1ea_u)*A554*2*Pi</f>
        <v>0.0144199102635</v>
      </c>
      <c r="AG554" s="0" t="n">
        <f aca="false">AC554*AE554/(AE554^2+AF554^2)+AD554*AF554/(AE554^2+AF554^2)</f>
        <v>114.837228537027</v>
      </c>
      <c r="AH554" s="0" t="n">
        <f aca="false">AD554*AE554/(AE554^2+AF554^2)-AC554*AF554/(AE554^2+AF554^2)</f>
        <v>-599.250168892827</v>
      </c>
      <c r="AJ554" s="0" t="n">
        <f aca="false">_Rfb1</f>
        <v>20000</v>
      </c>
      <c r="AK554" s="0" t="n">
        <f aca="false">_Rfb1*Rcea2_u*Cc3ea_u*A554*2*Pi</f>
        <v>2519104.9159584</v>
      </c>
      <c r="AL554" s="0" t="n">
        <v>1</v>
      </c>
      <c r="AM554" s="0" t="n">
        <f aca="false">(_Rfb1+Rcea2_u)*Cc3ea_u*A554*2*Pi</f>
        <v>47124.1812897979</v>
      </c>
      <c r="AN554" s="0" t="n">
        <f aca="false">AJ554*AL554/(AL554^2+AM554^2)+AK554*AM554/(AL554^2+AM554^2)</f>
        <v>53.4567449298041</v>
      </c>
      <c r="AO554" s="0" t="n">
        <f aca="false">AK554*AL554/(AL554^2+AM554^2)-AJ554*AM554/(AL554^2+AM554^2)</f>
        <v>-0.423276176033821</v>
      </c>
      <c r="AQ554" s="0" t="n">
        <f aca="false">Eadcg/(1+(Eadcg*A554/GBP)^2)</f>
        <v>0.00393951040008943</v>
      </c>
      <c r="AR554" s="0" t="n">
        <f aca="false">-(A554*Eadcg*Eadcg/GBP)/(1+(Eadcg*A554/GBP)^2)</f>
        <v>-3.52940736744012</v>
      </c>
      <c r="AT554" s="0" t="n">
        <f aca="false">-AR554*AH554+AG554*AQ554</f>
        <v>-2114.54555857394</v>
      </c>
      <c r="AU554" s="0" t="n">
        <f aca="false">AQ554*AH554+AG554*AR554</f>
        <v>-407.668112727595</v>
      </c>
      <c r="AV554" s="0" t="n">
        <f aca="false">ATAN2(AT554,AU554)</f>
        <v>-2.95113707770381</v>
      </c>
      <c r="AW554" s="0" t="n">
        <f aca="false">AG554-AH554*AO554/_Rfb2+AG554*AN554/_Rfb2+AN554-AO554*AR554+AQ554*AN554</f>
        <v>169.658982066749</v>
      </c>
      <c r="AX554" s="0" t="n">
        <f aca="false">AH554+AH554*AN554/_Rfb2+AG554*AO554/_Rfb2+AO554+AO554*AQ554+AN554*AR554</f>
        <v>-802.78289904515</v>
      </c>
      <c r="AY554" s="0" t="n">
        <f aca="false">ATAN2(AW554,AX554)</f>
        <v>-1.36252245531508</v>
      </c>
      <c r="BA554" s="0" t="n">
        <f aca="false">SQRT(AT554^2+AU554^2)/SQRT(AW554^2+AX554^2)</f>
        <v>2.62455307419312</v>
      </c>
      <c r="BB554" s="0" t="n">
        <f aca="false">20*LOG(BA554)</f>
        <v>8.38110719151084</v>
      </c>
      <c r="BC554" s="0" t="n">
        <f aca="false">AV554-AY554</f>
        <v>-1.58861462238873</v>
      </c>
      <c r="BD554" s="0" t="n">
        <f aca="false">BC554*180/Pi-180</f>
        <v>-271.02091323965</v>
      </c>
      <c r="BF554" s="0" t="n">
        <f aca="false">20*LOG(BA554*J554*F554*C554)</f>
        <v>-36.3463858810999</v>
      </c>
      <c r="BG554" s="0" t="n">
        <f aca="false">(180/Pi)*(D554+H554+BC554)</f>
        <v>-269.495901293792</v>
      </c>
      <c r="BH554" s="0" t="n">
        <f aca="false">IF(BG554&gt;180,BG554-180,BG554+180)</f>
        <v>-89.4959012937925</v>
      </c>
      <c r="BI554" s="0" t="n">
        <f aca="false">IF(BH554&gt;180,BH554-360,BH554)</f>
        <v>-89.4959012937925</v>
      </c>
      <c r="BJ554" s="0" t="n">
        <f aca="false">SUM((BF555&lt;0)*(BF554&gt;0))*A554</f>
        <v>0</v>
      </c>
      <c r="BK554" s="0" t="n">
        <f aca="false">IF(BJ554&gt;0,BI554,0)</f>
        <v>0</v>
      </c>
      <c r="BM554" s="0" t="n">
        <f aca="false">20*LOG(J554*F554*C554)</f>
        <v>-44.7274930726107</v>
      </c>
      <c r="BN554" s="0" t="n">
        <f aca="false">(H554+D554)*180/Pi</f>
        <v>-178.474988054143</v>
      </c>
      <c r="BQ554" s="347" t="n">
        <f aca="false">20*LOG(BA554*7)</f>
        <v>25.283067991796</v>
      </c>
    </row>
    <row r="555" customFormat="false" ht="12.75" hidden="false" customHeight="false" outlineLevel="0" collapsed="false">
      <c r="A555" s="0" t="n">
        <f aca="false">A554+5000</f>
        <v>1705000</v>
      </c>
      <c r="B555" s="0" t="n">
        <f aca="false">A555/1000</f>
        <v>1705</v>
      </c>
      <c r="C555" s="0" t="n">
        <f aca="false">SQRT((A555/Fesr)^2+1)</f>
        <v>1.00005738072706</v>
      </c>
      <c r="D555" s="0" t="n">
        <f aca="false">ATAN(A555/Fesr)</f>
        <v>0.0107124211462745</v>
      </c>
      <c r="F555" s="0" t="n">
        <f aca="false">(Ro/(Ro+Rdcr))/SQRT((A555/(Q*Fo))^2+(1-(A555^2/Fo^2))^2)</f>
        <v>0.000640922931357898</v>
      </c>
      <c r="G555" s="0" t="n">
        <f aca="false">-ATAN(A555*Fo/(Q*(Fo^2-A555^2)))</f>
        <v>0.0158886865849454</v>
      </c>
      <c r="H555" s="0" t="n">
        <f aca="false">IF(G555&gt;0,G555-Pi,G555)</f>
        <v>-3.12570396341505</v>
      </c>
      <c r="J555" s="0" t="n">
        <f aca="false">Vin/Vramp</f>
        <v>9</v>
      </c>
      <c r="M555" s="0" t="n">
        <f aca="false">1/(2*Pi*_Rfb1*(Cc1ea_u+Cc2ea_u)*A555)</f>
        <v>0.00345725954759979</v>
      </c>
      <c r="N555" s="0" t="n">
        <f aca="false">-Pi/2</f>
        <v>-1.570796325</v>
      </c>
      <c r="O555" s="0" t="n">
        <f aca="false">SQRT(1+(A555/Fz1_u)^2)</f>
        <v>41.6634893251496</v>
      </c>
      <c r="P555" s="0" t="n">
        <f aca="false">ATAN2(Fz1_u,A555)</f>
        <v>1.54679219138182</v>
      </c>
      <c r="Q555" s="0" t="n">
        <f aca="false">SQRT(1+(A555/Fz2_u)^2)</f>
        <v>47262.7818335824</v>
      </c>
      <c r="R555" s="0" t="n">
        <f aca="false">ATAN2(Fz2_u,A555)</f>
        <v>1.57077516849737</v>
      </c>
      <c r="S555" s="0" t="n">
        <f aca="false">1/SQRT(1+(A555/Fp1_u)^2)</f>
        <v>0.00791579742333881</v>
      </c>
      <c r="T555" s="0" t="n">
        <f aca="false">-ATAN2(Fp1_u,A555)</f>
        <v>-1.56288044670212</v>
      </c>
      <c r="U555" s="0" t="n">
        <f aca="false">1/SQRT(1+(A555/Fp2_u)^2)</f>
        <v>0.211204400019363</v>
      </c>
      <c r="V555" s="0" t="n">
        <f aca="false">-ATAN2(Fp2_u,A555)</f>
        <v>-1.35798933471965</v>
      </c>
      <c r="X555" s="0" t="n">
        <f aca="false">20*LOG(C555*J555*O555*Q555*F555*M555*S555*U555)</f>
        <v>-23.6544444717358</v>
      </c>
      <c r="Y555" s="0" t="n">
        <f aca="false">(180/Pi)*(D555+H555+N555+P555+R555+T555+V555)</f>
        <v>-257.205927695955</v>
      </c>
      <c r="Z555" s="0" t="n">
        <f aca="false">Y555+180</f>
        <v>-77.2059276959552</v>
      </c>
      <c r="AC555" s="0" t="n">
        <v>1</v>
      </c>
      <c r="AD555" s="0" t="n">
        <f aca="false">Rcea1_u*Cc1ea_u*A555*2*Pi</f>
        <v>41.651486681112</v>
      </c>
      <c r="AE555" s="0" t="n">
        <f aca="false">-Rcea1_u*Cc1ea_u*Cc2ea_u*(A555*2*Pi)^2</f>
        <v>-0.0669308002602952</v>
      </c>
      <c r="AF555" s="0" t="n">
        <f aca="false">(Cc2ea_u+Cc1ea_u)*A555*2*Pi</f>
        <v>0.014462321764275</v>
      </c>
      <c r="AG555" s="0" t="n">
        <f aca="false">AC555*AE555/(AE555^2+AF555^2)+AD555*AF555/(AE555^2+AF555^2)</f>
        <v>114.194684384101</v>
      </c>
      <c r="AH555" s="0" t="n">
        <f aca="false">AD555*AE555/(AE555^2+AF555^2)-AC555*AF555/(AE555^2+AF555^2)</f>
        <v>-597.631677138458</v>
      </c>
      <c r="AJ555" s="0" t="n">
        <f aca="false">_Rfb1</f>
        <v>20000</v>
      </c>
      <c r="AK555" s="0" t="n">
        <f aca="false">_Rfb1*Rcea2_u*Cc3ea_u*A555*2*Pi</f>
        <v>2526514.04806416</v>
      </c>
      <c r="AL555" s="0" t="n">
        <v>1</v>
      </c>
      <c r="AM555" s="0" t="n">
        <f aca="false">(_Rfb1+Rcea2_u)*Cc3ea_u*A555*2*Pi</f>
        <v>47262.7818230032</v>
      </c>
      <c r="AN555" s="0" t="n">
        <f aca="false">AJ555*AL555/(AL555^2+AM555^2)+AK555*AM555/(AL555^2+AM555^2)</f>
        <v>53.4567448772002</v>
      </c>
      <c r="AO555" s="0" t="n">
        <f aca="false">AK555*AL555/(AL555^2+AM555^2)-AJ555*AM555/(AL555^2+AM555^2)</f>
        <v>-0.42203489692633</v>
      </c>
      <c r="AQ555" s="0" t="n">
        <f aca="false">Eadcg/(1+(Eadcg*A555/GBP)^2)</f>
        <v>0.00391643867504794</v>
      </c>
      <c r="AR555" s="0" t="n">
        <f aca="false">-(A555*Eadcg*Eadcg/GBP)/(1+(Eadcg*A555/GBP)^2)</f>
        <v>-3.5190572248842</v>
      </c>
      <c r="AT555" s="0" t="n">
        <f aca="false">-AR555*AH555+AG555*AQ555</f>
        <v>-2102.65283477534</v>
      </c>
      <c r="AU555" s="0" t="n">
        <f aca="false">AQ555*AH555+AG555*AR555</f>
        <v>-404.198216939019</v>
      </c>
      <c r="AV555" s="0" t="n">
        <f aca="false">ATAN2(AT555,AU555)</f>
        <v>-2.95167687468516</v>
      </c>
      <c r="AW555" s="0" t="n">
        <f aca="false">AG555-AH555*AO555/_Rfb2+AG555*AN555/_Rfb2+AN555-AO555*AR555+AQ555*AN555</f>
        <v>169.009138979985</v>
      </c>
      <c r="AX555" s="0" t="n">
        <f aca="false">AH555+AH555*AN555/_Rfb2+AG555*AO555/_Rfb2+AO555+AO555*AQ555+AN555*AR555</f>
        <v>-800.570746394809</v>
      </c>
      <c r="AY555" s="0" t="n">
        <f aca="false">ATAN2(AW555,AX555)</f>
        <v>-1.36274047797319</v>
      </c>
      <c r="BA555" s="0" t="n">
        <f aca="false">SQRT(AT555^2+AU555^2)/SQRT(AW555^2+AX555^2)</f>
        <v>2.61685193992003</v>
      </c>
      <c r="BB555" s="0" t="n">
        <f aca="false">20*LOG(BA555)</f>
        <v>8.35558302372032</v>
      </c>
      <c r="BC555" s="0" t="n">
        <f aca="false">AV555-AY555</f>
        <v>-1.58893639671197</v>
      </c>
      <c r="BD555" s="0" t="n">
        <f aca="false">BC555*180/Pi-180</f>
        <v>-271.039349550348</v>
      </c>
      <c r="BF555" s="0" t="n">
        <f aca="false">20*LOG(BA555*J555*F555*C555)</f>
        <v>-36.4229521924742</v>
      </c>
      <c r="BG555" s="0" t="n">
        <f aca="false">(180/Pi)*(D555+H555+BC555)</f>
        <v>-269.515218345235</v>
      </c>
      <c r="BH555" s="0" t="n">
        <f aca="false">IF(BG555&gt;180,BG555-180,BG555+180)</f>
        <v>-89.5152183452346</v>
      </c>
      <c r="BI555" s="0" t="n">
        <f aca="false">IF(BH555&gt;180,BH555-360,BH555)</f>
        <v>-89.5152183452346</v>
      </c>
      <c r="BJ555" s="0" t="n">
        <f aca="false">SUM((BF556&lt;0)*(BF555&gt;0))*A555</f>
        <v>0</v>
      </c>
      <c r="BK555" s="0" t="n">
        <f aca="false">IF(BJ555&gt;0,BI555,0)</f>
        <v>0</v>
      </c>
      <c r="BM555" s="0" t="n">
        <f aca="false">20*LOG(J555*F555*C555)</f>
        <v>-44.7785352161945</v>
      </c>
      <c r="BN555" s="0" t="n">
        <f aca="false">(H555+D555)*180/Pi</f>
        <v>-178.475868794887</v>
      </c>
      <c r="BQ555" s="347" t="n">
        <f aca="false">20*LOG(BA555*7)</f>
        <v>25.2575438240055</v>
      </c>
    </row>
    <row r="556" customFormat="false" ht="12.75" hidden="false" customHeight="false" outlineLevel="0" collapsed="false">
      <c r="A556" s="0" t="n">
        <f aca="false">A555+5000</f>
        <v>1710000</v>
      </c>
      <c r="B556" s="0" t="n">
        <f aca="false">A556/1000</f>
        <v>1710</v>
      </c>
      <c r="C556" s="0" t="n">
        <f aca="false">SQRT((A556/Fesr)^2+1)</f>
        <v>1.00005771775466</v>
      </c>
      <c r="D556" s="0" t="n">
        <f aca="false">ATAN(A556/Fesr)</f>
        <v>0.0107438334571663</v>
      </c>
      <c r="F556" s="0" t="n">
        <f aca="false">(Ro/(Ro+Rdcr))/SQRT((A556/(Q*Fo))^2+(1-(A556^2/Fo^2))^2)</f>
        <v>0.000637178390619374</v>
      </c>
      <c r="G556" s="0" t="n">
        <f aca="false">-ATAN(A556*Fo/(Q*(Fo^2-A556^2)))</f>
        <v>0.0158421764780855</v>
      </c>
      <c r="H556" s="0" t="n">
        <f aca="false">IF(G556&gt;0,G556-Pi,G556)</f>
        <v>-3.12575047352191</v>
      </c>
      <c r="J556" s="0" t="n">
        <f aca="false">Vin/Vramp</f>
        <v>9</v>
      </c>
      <c r="M556" s="0" t="n">
        <f aca="false">1/(2*Pi*_Rfb1*(Cc1ea_u+Cc2ea_u)*A556)</f>
        <v>0.00344715060155418</v>
      </c>
      <c r="N556" s="0" t="n">
        <f aca="false">-Pi/2</f>
        <v>-1.570796325</v>
      </c>
      <c r="O556" s="0" t="n">
        <f aca="false">SQRT(1+(A556/Fz1_u)^2)</f>
        <v>41.7855993619973</v>
      </c>
      <c r="P556" s="0" t="n">
        <f aca="false">ATAN2(Fz1_u,A556)</f>
        <v>1.54686235207214</v>
      </c>
      <c r="Q556" s="0" t="n">
        <f aca="false">SQRT(1+(A556/Fz2_u)^2)</f>
        <v>47401.3823667567</v>
      </c>
      <c r="R556" s="0" t="n">
        <f aca="false">ATAN2(Fz2_u,A556)</f>
        <v>1.57077523036373</v>
      </c>
      <c r="S556" s="0" t="n">
        <f aca="false">1/SQRT(1+(A556/Fp1_u)^2)</f>
        <v>0.00789265326078365</v>
      </c>
      <c r="T556" s="0" t="n">
        <f aca="false">-ATAN2(Fp1_u,A556)</f>
        <v>-1.56290359158769</v>
      </c>
      <c r="U556" s="0" t="n">
        <f aca="false">1/SQRT(1+(A556/Fp2_u)^2)</f>
        <v>0.210614275485895</v>
      </c>
      <c r="V556" s="0" t="n">
        <f aca="false">-ATAN2(Fp2_u,A556)</f>
        <v>-1.35859303921735</v>
      </c>
      <c r="X556" s="0" t="n">
        <f aca="false">20*LOG(C556*J556*O556*Q556*F556*M556*S556*U556)</f>
        <v>-23.7296531426362</v>
      </c>
      <c r="Y556" s="0" t="n">
        <f aca="false">(180/Pi)*(D556+H556+N556+P556+R556+T556+V556)</f>
        <v>-257.238685103909</v>
      </c>
      <c r="Z556" s="0" t="n">
        <f aca="false">Y556+180</f>
        <v>-77.2386851039088</v>
      </c>
      <c r="AC556" s="0" t="n">
        <v>1</v>
      </c>
      <c r="AD556" s="0" t="n">
        <f aca="false">Rcea1_u*Cc1ea_u*A556*2*Pi</f>
        <v>41.773631803344</v>
      </c>
      <c r="AE556" s="0" t="n">
        <f aca="false">-Rcea1_u*Cc1ea_u*Cc2ea_u*(A556*2*Pi)^2</f>
        <v>-0.0673239318688794</v>
      </c>
      <c r="AF556" s="0" t="n">
        <f aca="false">(Cc2ea_u+Cc1ea_u)*A556*2*Pi</f>
        <v>0.01450473326505</v>
      </c>
      <c r="AG556" s="0" t="n">
        <f aca="false">AC556*AE556/(AE556^2+AF556^2)+AD556*AF556/(AE556^2+AF556^2)</f>
        <v>113.557434978428</v>
      </c>
      <c r="AH556" s="0" t="n">
        <f aca="false">AD556*AE556/(AE556^2+AF556^2)-AC556*AF556/(AE556^2+AF556^2)</f>
        <v>-596.0215095112</v>
      </c>
      <c r="AJ556" s="0" t="n">
        <f aca="false">_Rfb1</f>
        <v>20000</v>
      </c>
      <c r="AK556" s="0" t="n">
        <f aca="false">_Rfb1*Rcea2_u*Cc3ea_u*A556*2*Pi</f>
        <v>2533923.18016992</v>
      </c>
      <c r="AL556" s="0" t="n">
        <v>1</v>
      </c>
      <c r="AM556" s="0" t="n">
        <f aca="false">(_Rfb1+Rcea2_u)*Cc3ea_u*A556*2*Pi</f>
        <v>47401.3823562085</v>
      </c>
      <c r="AN556" s="0" t="n">
        <f aca="false">AJ556*AL556/(AL556^2+AM556^2)+AK556*AM556/(AL556^2+AM556^2)</f>
        <v>53.456744825057</v>
      </c>
      <c r="AO556" s="0" t="n">
        <f aca="false">AK556*AL556/(AL556^2+AM556^2)-AJ556*AM556/(AL556^2+AM556^2)</f>
        <v>-0.420800876760979</v>
      </c>
      <c r="AQ556" s="0" t="n">
        <f aca="false">Eadcg/(1+(Eadcg*A556/GBP)^2)</f>
        <v>0.00389356903719996</v>
      </c>
      <c r="AR556" s="0" t="n">
        <f aca="false">-(A556*Eadcg*Eadcg/GBP)/(1+(Eadcg*A556/GBP)^2)</f>
        <v>-3.50876760925349</v>
      </c>
      <c r="AT556" s="0" t="n">
        <f aca="false">-AR556*AH556+AG556*AQ556</f>
        <v>-2090.85882327849</v>
      </c>
      <c r="AU556" s="0" t="n">
        <f aca="false">AQ556*AH556+AG556*AR556</f>
        <v>-400.767300537156</v>
      </c>
      <c r="AV556" s="0" t="n">
        <f aca="false">ATAN2(AT556,AU556)</f>
        <v>-2.95221367264846</v>
      </c>
      <c r="AW556" s="0" t="n">
        <f aca="false">AG556-AH556*AO556/_Rfb2+AG556*AN556/_Rfb2+AN556-AO556*AR556+AQ556*AN556</f>
        <v>168.364646846528</v>
      </c>
      <c r="AX556" s="0" t="n">
        <f aca="false">AH556+AH556*AN556/_Rfb2+AG556*AO556/_Rfb2+AO556+AO556*AQ556+AN556*AR556</f>
        <v>-798.370363209088</v>
      </c>
      <c r="AY556" s="0" t="n">
        <f aca="false">ATAN2(AW556,AX556)</f>
        <v>-1.36295628855069</v>
      </c>
      <c r="BA556" s="0" t="n">
        <f aca="false">SQRT(AT556^2+AU556^2)/SQRT(AW556^2+AX556^2)</f>
        <v>2.60919551635943</v>
      </c>
      <c r="BB556" s="0" t="n">
        <f aca="false">20*LOG(BA556)</f>
        <v>8.3301324711924</v>
      </c>
      <c r="BC556" s="0" t="n">
        <f aca="false">AV556-AY556</f>
        <v>-1.58925738409778</v>
      </c>
      <c r="BD556" s="0" t="n">
        <f aca="false">BC556*180/Pi-180</f>
        <v>-271.057740772853</v>
      </c>
      <c r="BF556" s="0" t="n">
        <f aca="false">20*LOG(BA556*J556*F556*C556)</f>
        <v>-36.4992952516617</v>
      </c>
      <c r="BG556" s="0" t="n">
        <f aca="false">(180/Pi)*(D556+H556+BC556)</f>
        <v>-269.534474607729</v>
      </c>
      <c r="BH556" s="0" t="n">
        <f aca="false">IF(BG556&gt;180,BG556-180,BG556+180)</f>
        <v>-89.5344746077295</v>
      </c>
      <c r="BI556" s="0" t="n">
        <f aca="false">IF(BH556&gt;180,BH556-360,BH556)</f>
        <v>-89.5344746077295</v>
      </c>
      <c r="BJ556" s="0" t="n">
        <f aca="false">SUM((BF557&lt;0)*(BF556&gt;0))*A556</f>
        <v>0</v>
      </c>
      <c r="BK556" s="0" t="n">
        <f aca="false">IF(BJ556&gt;0,BI556,0)</f>
        <v>0</v>
      </c>
      <c r="BM556" s="0" t="n">
        <f aca="false">20*LOG(J556*F556*C556)</f>
        <v>-44.8294277228541</v>
      </c>
      <c r="BN556" s="0" t="n">
        <f aca="false">(H556+D556)*180/Pi</f>
        <v>-178.476733834877</v>
      </c>
      <c r="BQ556" s="347" t="n">
        <f aca="false">20*LOG(BA556*7)</f>
        <v>25.2320932714775</v>
      </c>
    </row>
    <row r="557" customFormat="false" ht="12.75" hidden="false" customHeight="false" outlineLevel="0" collapsed="false">
      <c r="A557" s="0" t="n">
        <f aca="false">A556+5000</f>
        <v>1715000</v>
      </c>
      <c r="B557" s="0" t="n">
        <f aca="false">A557/1000</f>
        <v>1715</v>
      </c>
      <c r="C557" s="0" t="n">
        <f aca="false">SQRT((A557/Fesr)^2+1)</f>
        <v>1.00005805576904</v>
      </c>
      <c r="D557" s="0" t="n">
        <f aca="false">ATAN(A557/Fesr)</f>
        <v>0.0107752457468547</v>
      </c>
      <c r="F557" s="0" t="n">
        <f aca="false">(Ro/(Ro+Rdcr))/SQRT((A557/(Q*Fo))^2+(1-(A557^2/Fo^2))^2)</f>
        <v>0.000633466575621042</v>
      </c>
      <c r="G557" s="0" t="n">
        <f aca="false">-ATAN(A557*Fo/(Q*(Fo^2-A557^2)))</f>
        <v>0.0157959380199331</v>
      </c>
      <c r="H557" s="0" t="n">
        <f aca="false">IF(G557&gt;0,G557-Pi,G557)</f>
        <v>-3.12579671198007</v>
      </c>
      <c r="J557" s="0" t="n">
        <f aca="false">Vin/Vramp</f>
        <v>9</v>
      </c>
      <c r="M557" s="0" t="n">
        <f aca="false">1/(2*Pi*_Rfb1*(Cc1ea_u+Cc2ea_u)*A557)</f>
        <v>0.00343710059980037</v>
      </c>
      <c r="N557" s="0" t="n">
        <f aca="false">-Pi/2</f>
        <v>-1.570796325</v>
      </c>
      <c r="O557" s="0" t="n">
        <f aca="false">SQRT(1+(A557/Fz1_u)^2)</f>
        <v>41.907709603337</v>
      </c>
      <c r="P557" s="0" t="n">
        <f aca="false">ATAN2(Fz1_u,A557)</f>
        <v>1.54693210389585</v>
      </c>
      <c r="Q557" s="0" t="n">
        <f aca="false">SQRT(1+(A557/Fz2_u)^2)</f>
        <v>47539.9828999313</v>
      </c>
      <c r="R557" s="0" t="n">
        <f aca="false">ATAN2(Fz2_u,A557)</f>
        <v>1.57077529186936</v>
      </c>
      <c r="S557" s="0" t="n">
        <f aca="false">1/SQRT(1+(A557/Fp1_u)^2)</f>
        <v>0.00786964403704036</v>
      </c>
      <c r="T557" s="0" t="n">
        <f aca="false">-ATAN2(Fp1_u,A557)</f>
        <v>-1.56292660152605</v>
      </c>
      <c r="U557" s="0" t="n">
        <f aca="false">1/SQRT(1+(A557/Fp2_u)^2)</f>
        <v>0.210027363580765</v>
      </c>
      <c r="V557" s="0" t="n">
        <f aca="false">-ATAN2(Fp2_u,A557)</f>
        <v>-1.35919337928572</v>
      </c>
      <c r="X557" s="0" t="n">
        <f aca="false">20*LOG(C557*J557*O557*Q557*F557*M557*S557*U557)</f>
        <v>-23.804648266704</v>
      </c>
      <c r="Y557" s="0" t="n">
        <f aca="false">(180/Pi)*(D557+H557+N557+P557+R557+T557+V557)</f>
        <v>-257.271249896246</v>
      </c>
      <c r="Z557" s="0" t="n">
        <f aca="false">Y557+180</f>
        <v>-77.2712498962457</v>
      </c>
      <c r="AC557" s="0" t="n">
        <v>1</v>
      </c>
      <c r="AD557" s="0" t="n">
        <f aca="false">Rcea1_u*Cc1ea_u*A557*2*Pi</f>
        <v>41.895776925576</v>
      </c>
      <c r="AE557" s="0" t="n">
        <f aca="false">-Rcea1_u*Cc1ea_u*Cc2ea_u*(A557*2*Pi)^2</f>
        <v>-0.0677182146681183</v>
      </c>
      <c r="AF557" s="0" t="n">
        <f aca="false">(Cc2ea_u+Cc1ea_u)*A557*2*Pi</f>
        <v>0.014547144765825</v>
      </c>
      <c r="AG557" s="0" t="n">
        <f aca="false">AC557*AE557/(AE557^2+AF557^2)+AD557*AF557/(AE557^2+AF557^2)</f>
        <v>112.925423238879</v>
      </c>
      <c r="AH557" s="0" t="n">
        <f aca="false">AD557*AE557/(AE557^2+AF557^2)-AC557*AF557/(AE557^2+AF557^2)</f>
        <v>-594.419605467376</v>
      </c>
      <c r="AJ557" s="0" t="n">
        <f aca="false">_Rfb1</f>
        <v>20000</v>
      </c>
      <c r="AK557" s="0" t="n">
        <f aca="false">_Rfb1*Rcea2_u*Cc3ea_u*A557*2*Pi</f>
        <v>2541332.31227568</v>
      </c>
      <c r="AL557" s="0" t="n">
        <v>1</v>
      </c>
      <c r="AM557" s="0" t="n">
        <f aca="false">(_Rfb1+Rcea2_u)*Cc3ea_u*A557*2*Pi</f>
        <v>47539.9828894138</v>
      </c>
      <c r="AN557" s="0" t="n">
        <f aca="false">AJ557*AL557/(AL557^2+AM557^2)+AK557*AM557/(AL557^2+AM557^2)</f>
        <v>53.4567447733692</v>
      </c>
      <c r="AO557" s="0" t="n">
        <f aca="false">AK557*AL557/(AL557^2+AM557^2)-AJ557*AM557/(AL557^2+AM557^2)</f>
        <v>-0.419574052048477</v>
      </c>
      <c r="AQ557" s="0" t="n">
        <f aca="false">Eadcg/(1+(Eadcg*A557/GBP)^2)</f>
        <v>0.00387089913328711</v>
      </c>
      <c r="AR557" s="0" t="n">
        <f aca="false">-(A557*Eadcg*Eadcg/GBP)/(1+(Eadcg*A557/GBP)^2)</f>
        <v>-3.49853799116056</v>
      </c>
      <c r="AT557" s="0" t="n">
        <f aca="false">-AR557*AH557+AG557*AQ557</f>
        <v>-2079.16244949534</v>
      </c>
      <c r="AU557" s="0" t="n">
        <f aca="false">AQ557*AH557+AG557*AR557</f>
        <v>-397.374821704715</v>
      </c>
      <c r="AV557" s="0" t="n">
        <f aca="false">ATAN2(AT557,AU557)</f>
        <v>-2.95274749607441</v>
      </c>
      <c r="AW557" s="0" t="n">
        <f aca="false">AG557-AH557*AO557/_Rfb2+AG557*AN557/_Rfb2+AN557-AO557*AR557+AQ557*AN557</f>
        <v>167.725448036773</v>
      </c>
      <c r="AX557" s="0" t="n">
        <f aca="false">AH557+AH557*AN557/_Rfb2+AG557*AO557/_Rfb2+AO557+AO557*AQ557+AN557*AR557</f>
        <v>-796.181659093489</v>
      </c>
      <c r="AY557" s="0" t="n">
        <f aca="false">ATAN2(AW557,AX557)</f>
        <v>-1.3631699047455</v>
      </c>
      <c r="BA557" s="0" t="n">
        <f aca="false">SQRT(AT557^2+AU557^2)/SQRT(AW557^2+AX557^2)</f>
        <v>2.60158341517109</v>
      </c>
      <c r="BB557" s="0" t="n">
        <f aca="false">20*LOG(BA557)</f>
        <v>8.30475510679551</v>
      </c>
      <c r="BC557" s="0" t="n">
        <f aca="false">AV557-AY557</f>
        <v>-1.58957759132891</v>
      </c>
      <c r="BD557" s="0" t="n">
        <f aca="false">BC557*180/Pi-180</f>
        <v>-271.076087295787</v>
      </c>
      <c r="BF557" s="0" t="n">
        <f aca="false">20*LOG(BA557*J557*F557*C557)</f>
        <v>-36.5754163608905</v>
      </c>
      <c r="BG557" s="0" t="n">
        <f aca="false">(180/Pi)*(D557+H557+BC557)</f>
        <v>-269.553670607544</v>
      </c>
      <c r="BH557" s="0" t="n">
        <f aca="false">IF(BG557&gt;180,BG557-180,BG557+180)</f>
        <v>-89.5536706075444</v>
      </c>
      <c r="BI557" s="0" t="n">
        <f aca="false">IF(BH557&gt;180,BH557-360,BH557)</f>
        <v>-89.5536706075444</v>
      </c>
      <c r="BJ557" s="0" t="n">
        <f aca="false">SUM((BF558&lt;0)*(BF557&gt;0))*A557</f>
        <v>0</v>
      </c>
      <c r="BK557" s="0" t="n">
        <f aca="false">IF(BJ557&gt;0,BI557,0)</f>
        <v>0</v>
      </c>
      <c r="BM557" s="0" t="n">
        <f aca="false">20*LOG(J557*F557*C557)</f>
        <v>-44.880171467686</v>
      </c>
      <c r="BN557" s="0" t="n">
        <f aca="false">(H557+D557)*180/Pi</f>
        <v>-178.477583311757</v>
      </c>
      <c r="BQ557" s="347" t="n">
        <f aca="false">20*LOG(BA557*7)</f>
        <v>25.2067159070806</v>
      </c>
    </row>
    <row r="558" customFormat="false" ht="12.75" hidden="false" customHeight="false" outlineLevel="0" collapsed="false">
      <c r="A558" s="0" t="n">
        <f aca="false">A557+5000</f>
        <v>1720000</v>
      </c>
      <c r="B558" s="0" t="n">
        <f aca="false">A558/1000</f>
        <v>1720</v>
      </c>
      <c r="C558" s="0" t="n">
        <f aca="false">SQRT((A558/Fesr)^2+1)</f>
        <v>1.00005839477021</v>
      </c>
      <c r="D558" s="0" t="n">
        <f aca="false">ATAN(A558/Fesr)</f>
        <v>0.0108066580152778</v>
      </c>
      <c r="F558" s="0" t="n">
        <f aca="false">(Ro/(Ro+Rdcr))/SQRT((A558/(Q*Fo))^2+(1-(A558^2/Fo^2))^2)</f>
        <v>0.000629787106060547</v>
      </c>
      <c r="G558" s="0" t="n">
        <f aca="false">-ATAN(A558*Fo/(Q*(Fo^2-A558^2)))</f>
        <v>0.0157499688362133</v>
      </c>
      <c r="H558" s="0" t="n">
        <f aca="false">IF(G558&gt;0,G558-Pi,G558)</f>
        <v>-3.12584268116379</v>
      </c>
      <c r="J558" s="0" t="n">
        <f aca="false">Vin/Vramp</f>
        <v>9</v>
      </c>
      <c r="M558" s="0" t="n">
        <f aca="false">1/(2*Pi*_Rfb1*(Cc1ea_u+Cc2ea_u)*A558)</f>
        <v>0.00342710902828933</v>
      </c>
      <c r="N558" s="0" t="n">
        <f aca="false">-Pi/2</f>
        <v>-1.570796325</v>
      </c>
      <c r="O558" s="0" t="n">
        <f aca="false">SQRT(1+(A558/Fz1_u)^2)</f>
        <v>42.0298200473862</v>
      </c>
      <c r="P558" s="0" t="n">
        <f aca="false">ATAN2(Fz1_u,A558)</f>
        <v>1.54700145041594</v>
      </c>
      <c r="Q558" s="0" t="n">
        <f aca="false">SQRT(1+(A558/Fz2_u)^2)</f>
        <v>47678.583433106</v>
      </c>
      <c r="R558" s="0" t="n">
        <f aca="false">ATAN2(Fz2_u,A558)</f>
        <v>1.5707753530174</v>
      </c>
      <c r="S558" s="0" t="n">
        <f aca="false">1/SQRT(1+(A558/Fp1_u)^2)</f>
        <v>0.00784676857546252</v>
      </c>
      <c r="T558" s="0" t="n">
        <f aca="false">-ATAN2(Fp1_u,A558)</f>
        <v>-1.56294947769396</v>
      </c>
      <c r="U558" s="0" t="n">
        <f aca="false">1/SQRT(1+(A558/Fp2_u)^2)</f>
        <v>0.209443638784945</v>
      </c>
      <c r="V558" s="0" t="n">
        <f aca="false">-ATAN2(Fp2_u,A558)</f>
        <v>-1.35979038254229</v>
      </c>
      <c r="X558" s="0" t="n">
        <f aca="false">20*LOG(C558*J558*O558*Q558*F558*M558*S558*U558)</f>
        <v>-23.8794310377842</v>
      </c>
      <c r="Y558" s="0" t="n">
        <f aca="false">(180/Pi)*(D558+H558+N558+P558+R558+T558+V558)</f>
        <v>-257.303623654472</v>
      </c>
      <c r="Z558" s="0" t="n">
        <f aca="false">Y558+180</f>
        <v>-77.3036236544718</v>
      </c>
      <c r="AC558" s="0" t="n">
        <v>1</v>
      </c>
      <c r="AD558" s="0" t="n">
        <f aca="false">Rcea1_u*Cc1ea_u*A558*2*Pi</f>
        <v>42.017922047808</v>
      </c>
      <c r="AE558" s="0" t="n">
        <f aca="false">-Rcea1_u*Cc1ea_u*Cc2ea_u*(A558*2*Pi)^2</f>
        <v>-0.0681136486580119</v>
      </c>
      <c r="AF558" s="0" t="n">
        <f aca="false">(Cc2ea_u+Cc1ea_u)*A558*2*Pi</f>
        <v>0.0145895562666</v>
      </c>
      <c r="AG558" s="0" t="n">
        <f aca="false">AC558*AE558/(AE558^2+AF558^2)+AD558*AF558/(AE558^2+AF558^2)</f>
        <v>112.298592838345</v>
      </c>
      <c r="AH558" s="0" t="n">
        <f aca="false">AD558*AE558/(AE558^2+AF558^2)-AC558*AF558/(AE558^2+AF558^2)</f>
        <v>-592.825905005799</v>
      </c>
      <c r="AJ558" s="0" t="n">
        <f aca="false">_Rfb1</f>
        <v>20000</v>
      </c>
      <c r="AK558" s="0" t="n">
        <f aca="false">_Rfb1*Rcea2_u*Cc3ea_u*A558*2*Pi</f>
        <v>2548741.44438144</v>
      </c>
      <c r="AL558" s="0" t="n">
        <v>1</v>
      </c>
      <c r="AM558" s="0" t="n">
        <f aca="false">(_Rfb1+Rcea2_u)*Cc3ea_u*A558*2*Pi</f>
        <v>47678.5834226191</v>
      </c>
      <c r="AN558" s="0" t="n">
        <f aca="false">AJ558*AL558/(AL558^2+AM558^2)+AK558*AM558/(AL558^2+AM558^2)</f>
        <v>53.4567447221315</v>
      </c>
      <c r="AO558" s="0" t="n">
        <f aca="false">AK558*AL558/(AL558^2+AM558^2)-AJ558*AM558/(AL558^2+AM558^2)</f>
        <v>-0.418354360037783</v>
      </c>
      <c r="AQ558" s="0" t="n">
        <f aca="false">Eadcg/(1+(Eadcg*A558/GBP)^2)</f>
        <v>0.0038484266442055</v>
      </c>
      <c r="AR558" s="0" t="n">
        <f aca="false">-(A558*Eadcg*Eadcg/GBP)/(1+(Eadcg*A558/GBP)^2)</f>
        <v>-3.48836784737363</v>
      </c>
      <c r="AT558" s="0" t="n">
        <f aca="false">-AR558*AH558+AG558*AQ558</f>
        <v>-2067.56265321562</v>
      </c>
      <c r="AU558" s="0" t="n">
        <f aca="false">AQ558*AH558+AG558*AR558</f>
        <v>-394.020247570785</v>
      </c>
      <c r="AV558" s="0" t="n">
        <f aca="false">ATAN2(AT558,AU558)</f>
        <v>-2.953278369183</v>
      </c>
      <c r="AW558" s="0" t="n">
        <f aca="false">AG558-AH558*AO558/_Rfb2+AG558*AN558/_Rfb2+AN558-AO558*AR558+AQ558*AN558</f>
        <v>167.091485681374</v>
      </c>
      <c r="AX558" s="0" t="n">
        <f aca="false">AH558+AH558*AN558/_Rfb2+AG558*AO558/_Rfb2+AO558+AO558*AQ558+AN558*AR558</f>
        <v>-794.004544539373</v>
      </c>
      <c r="AY558" s="0" t="n">
        <f aca="false">ATAN2(AW558,AX558)</f>
        <v>-1.36338134407322</v>
      </c>
      <c r="BA558" s="0" t="n">
        <f aca="false">SQRT(AT558^2+AU558^2)/SQRT(AW558^2+AX558^2)</f>
        <v>2.59401525249153</v>
      </c>
      <c r="BB558" s="0" t="n">
        <f aca="false">20*LOG(BA558)</f>
        <v>8.27945050707712</v>
      </c>
      <c r="BC558" s="0" t="n">
        <f aca="false">AV558-AY558</f>
        <v>-1.58989702510978</v>
      </c>
      <c r="BD558" s="0" t="n">
        <f aca="false">BC558*180/Pi-180</f>
        <v>-271.094389503286</v>
      </c>
      <c r="BF558" s="0" t="n">
        <f aca="false">20*LOG(BA558*J558*F558*C558)</f>
        <v>-36.6513168110515</v>
      </c>
      <c r="BG558" s="0" t="n">
        <f aca="false">(180/Pi)*(D558+H558+BC558)</f>
        <v>-269.572806864853</v>
      </c>
      <c r="BH558" s="0" t="n">
        <f aca="false">IF(BG558&gt;180,BG558-180,BG558+180)</f>
        <v>-89.572806864853</v>
      </c>
      <c r="BI558" s="0" t="n">
        <f aca="false">IF(BH558&gt;180,BH558-360,BH558)</f>
        <v>-89.572806864853</v>
      </c>
      <c r="BJ558" s="0" t="n">
        <f aca="false">SUM((BF559&lt;0)*(BF558&gt;0))*A558</f>
        <v>0</v>
      </c>
      <c r="BK558" s="0" t="n">
        <f aca="false">IF(BJ558&gt;0,BI558,0)</f>
        <v>0</v>
      </c>
      <c r="BM558" s="0" t="n">
        <f aca="false">20*LOG(J558*F558*C558)</f>
        <v>-44.9307673181286</v>
      </c>
      <c r="BN558" s="0" t="n">
        <f aca="false">(H558+D558)*180/Pi</f>
        <v>-178.478417361567</v>
      </c>
      <c r="BQ558" s="347" t="n">
        <f aca="false">20*LOG(BA558*7)</f>
        <v>25.1814113073623</v>
      </c>
    </row>
    <row r="559" customFormat="false" ht="12.75" hidden="false" customHeight="false" outlineLevel="0" collapsed="false">
      <c r="A559" s="0" t="n">
        <f aca="false">A558+5000</f>
        <v>1725000</v>
      </c>
      <c r="B559" s="0" t="n">
        <f aca="false">A559/1000</f>
        <v>1725</v>
      </c>
      <c r="C559" s="0" t="n">
        <f aca="false">SQRT((A559/Fesr)^2+1)</f>
        <v>1.00005873475817</v>
      </c>
      <c r="D559" s="0" t="n">
        <f aca="false">ATAN(A559/Fesr)</f>
        <v>0.0108380702623736</v>
      </c>
      <c r="F559" s="0" t="n">
        <f aca="false">(Ro/(Ro+Rdcr))/SQRT((A559/(Q*Fo))^2+(1-(A559^2/Fo^2))^2)</f>
        <v>0.000626139607144768</v>
      </c>
      <c r="G559" s="0" t="n">
        <f aca="false">-ATAN(A559*Fo/(Q*(Fo^2-A559^2)))</f>
        <v>0.0157042665802546</v>
      </c>
      <c r="H559" s="0" t="n">
        <f aca="false">IF(G559&gt;0,G559-Pi,G559)</f>
        <v>-3.12588838341975</v>
      </c>
      <c r="J559" s="0" t="n">
        <f aca="false">Vin/Vramp</f>
        <v>9</v>
      </c>
      <c r="M559" s="0" t="n">
        <f aca="false">1/(2*Pi*_Rfb1*(Cc1ea_u+Cc2ea_u)*A559)</f>
        <v>0.00341717537893197</v>
      </c>
      <c r="N559" s="0" t="n">
        <f aca="false">-Pi/2</f>
        <v>-1.570796325</v>
      </c>
      <c r="O559" s="0" t="n">
        <f aca="false">SQRT(1+(A559/Fz1_u)^2)</f>
        <v>42.1519306923833</v>
      </c>
      <c r="P559" s="0" t="n">
        <f aca="false">ATAN2(Fz1_u,A559)</f>
        <v>1.54707039515413</v>
      </c>
      <c r="Q559" s="0" t="n">
        <f aca="false">SQRT(1+(A559/Fz2_u)^2)</f>
        <v>47817.1839662809</v>
      </c>
      <c r="R559" s="0" t="n">
        <f aca="false">ATAN2(Fz2_u,A559)</f>
        <v>1.57077541381096</v>
      </c>
      <c r="S559" s="0" t="n">
        <f aca="false">1/SQRT(1+(A559/Fp1_u)^2)</f>
        <v>0.00782402571304389</v>
      </c>
      <c r="T559" s="0" t="n">
        <f aca="false">-ATAN2(Fp1_u,A559)</f>
        <v>-1.56297222125454</v>
      </c>
      <c r="U559" s="0" t="n">
        <f aca="false">1/SQRT(1+(A559/Fp2_u)^2)</f>
        <v>0.20886307584161</v>
      </c>
      <c r="V559" s="0" t="n">
        <f aca="false">-ATAN2(Fp2_u,A559)</f>
        <v>-1.36038407630793</v>
      </c>
      <c r="X559" s="0" t="n">
        <f aca="false">20*LOG(C559*J559*O559*Q559*F559*M559*S559*U559)</f>
        <v>-23.9540026398534</v>
      </c>
      <c r="Y559" s="0" t="n">
        <f aca="false">(180/Pi)*(D559+H559+N559+P559+R559+T559+V559)</f>
        <v>-257.3358079431</v>
      </c>
      <c r="Z559" s="0" t="n">
        <f aca="false">Y559+180</f>
        <v>-77.3358079431004</v>
      </c>
      <c r="AC559" s="0" t="n">
        <v>1</v>
      </c>
      <c r="AD559" s="0" t="n">
        <f aca="false">Rcea1_u*Cc1ea_u*A559*2*Pi</f>
        <v>42.14006717004</v>
      </c>
      <c r="AE559" s="0" t="n">
        <f aca="false">-Rcea1_u*Cc1ea_u*Cc2ea_u*(A559*2*Pi)^2</f>
        <v>-0.0685102338385603</v>
      </c>
      <c r="AF559" s="0" t="n">
        <f aca="false">(Cc2ea_u+Cc1ea_u)*A559*2*Pi</f>
        <v>0.014631967767375</v>
      </c>
      <c r="AG559" s="0" t="n">
        <f aca="false">AC559*AE559/(AE559^2+AF559^2)+AD559*AF559/(AE559^2+AF559^2)</f>
        <v>111.676888192046</v>
      </c>
      <c r="AH559" s="0" t="n">
        <f aca="false">AD559*AE559/(AE559^2+AF559^2)-AC559*AF559/(AE559^2+AF559^2)</f>
        <v>-591.240348662404</v>
      </c>
      <c r="AJ559" s="0" t="n">
        <f aca="false">_Rfb1</f>
        <v>20000</v>
      </c>
      <c r="AK559" s="0" t="n">
        <f aca="false">_Rfb1*Rcea2_u*Cc3ea_u*A559*2*Pi</f>
        <v>2556150.5764872</v>
      </c>
      <c r="AL559" s="0" t="n">
        <v>1</v>
      </c>
      <c r="AM559" s="0" t="n">
        <f aca="false">(_Rfb1+Rcea2_u)*Cc3ea_u*A559*2*Pi</f>
        <v>47817.1839558244</v>
      </c>
      <c r="AN559" s="0" t="n">
        <f aca="false">AJ559*AL559/(AL559^2+AM559^2)+AK559*AM559/(AL559^2+AM559^2)</f>
        <v>53.4567446713388</v>
      </c>
      <c r="AO559" s="0" t="n">
        <f aca="false">AK559*AL559/(AL559^2+AM559^2)-AJ559*AM559/(AL559^2+AM559^2)</f>
        <v>-0.417141738705403</v>
      </c>
      <c r="AQ559" s="0" t="n">
        <f aca="false">Eadcg/(1+(Eadcg*A559/GBP)^2)</f>
        <v>0.00382614928441256</v>
      </c>
      <c r="AR559" s="0" t="n">
        <f aca="false">-(A559*Eadcg*Eadcg/GBP)/(1+(Eadcg*A559/GBP)^2)</f>
        <v>-3.47825666072735</v>
      </c>
      <c r="AT559" s="0" t="n">
        <f aca="false">-AR559*AH559+AG559*AQ559</f>
        <v>-2056.05838837993</v>
      </c>
      <c r="AU559" s="0" t="n">
        <f aca="false">AQ559*AH559+AG559*AR559</f>
        <v>-390.703054040239</v>
      </c>
      <c r="AV559" s="0" t="n">
        <f aca="false">ATAN2(AT559,AU559)</f>
        <v>-2.95380631593695</v>
      </c>
      <c r="AW559" s="0" t="n">
        <f aca="false">AG559-AH559*AO559/_Rfb2+AG559*AN559/_Rfb2+AN559-AO559*AR559+AQ559*AN559</f>
        <v>166.462703659469</v>
      </c>
      <c r="AX559" s="0" t="n">
        <f aca="false">AH559+AH559*AN559/_Rfb2+AG559*AO559/_Rfb2+AO559+AO559*AQ559+AN559*AR559</f>
        <v>-791.838930913679</v>
      </c>
      <c r="AY559" s="0" t="n">
        <f aca="false">ATAN2(AW559,AX559)</f>
        <v>-1.36359062386937</v>
      </c>
      <c r="BA559" s="0" t="n">
        <f aca="false">SQRT(AT559^2+AU559^2)/SQRT(AW559^2+AX559^2)</f>
        <v>2.5864906488697</v>
      </c>
      <c r="BB559" s="0" t="n">
        <f aca="false">20*LOG(BA559)</f>
        <v>8.25421825222173</v>
      </c>
      <c r="BC559" s="0" t="n">
        <f aca="false">AV559-AY559</f>
        <v>-1.59021569206759</v>
      </c>
      <c r="BD559" s="0" t="n">
        <f aca="false">BC559*180/Pi-180</f>
        <v>-271.112647775059</v>
      </c>
      <c r="BF559" s="0" t="n">
        <f aca="false">20*LOG(BA559*J559*F559*C559)</f>
        <v>-36.7269978818289</v>
      </c>
      <c r="BG559" s="0" t="n">
        <f aca="false">(180/Pi)*(D559+H559+BC559)</f>
        <v>-269.591883893824</v>
      </c>
      <c r="BH559" s="0" t="n">
        <f aca="false">IF(BG559&gt;180,BG559-180,BG559+180)</f>
        <v>-89.5918838938245</v>
      </c>
      <c r="BI559" s="0" t="n">
        <f aca="false">IF(BH559&gt;180,BH559-360,BH559)</f>
        <v>-89.5918838938245</v>
      </c>
      <c r="BJ559" s="0" t="n">
        <f aca="false">SUM((BF560&lt;0)*(BF559&gt;0))*A559</f>
        <v>0</v>
      </c>
      <c r="BK559" s="0" t="n">
        <f aca="false">IF(BJ559&gt;0,BI559,0)</f>
        <v>0</v>
      </c>
      <c r="BM559" s="0" t="n">
        <f aca="false">20*LOG(J559*F559*C559)</f>
        <v>-44.9812161340506</v>
      </c>
      <c r="BN559" s="0" t="n">
        <f aca="false">(H559+D559)*180/Pi</f>
        <v>-178.479236118765</v>
      </c>
      <c r="BQ559" s="347" t="n">
        <f aca="false">20*LOG(BA559*7)</f>
        <v>25.1561790525069</v>
      </c>
    </row>
    <row r="560" customFormat="false" ht="12.75" hidden="false" customHeight="false" outlineLevel="0" collapsed="false">
      <c r="A560" s="0" t="n">
        <f aca="false">A559+5000</f>
        <v>1730000</v>
      </c>
      <c r="B560" s="0" t="n">
        <f aca="false">A560/1000</f>
        <v>1730</v>
      </c>
      <c r="C560" s="0" t="n">
        <f aca="false">SQRT((A560/Fesr)^2+1)</f>
        <v>1.00005907573292</v>
      </c>
      <c r="D560" s="0" t="n">
        <f aca="false">ATAN(A560/Fesr)</f>
        <v>0.01086948248808</v>
      </c>
      <c r="F560" s="0" t="n">
        <f aca="false">(Ro/(Ro+Rdcr))/SQRT((A560/(Q*Fo))^2+(1-(A560^2/Fo^2))^2)</f>
        <v>0.000622523709494309</v>
      </c>
      <c r="G560" s="0" t="n">
        <f aca="false">-ATAN(A560*Fo/(Q*(Fo^2-A560^2)))</f>
        <v>0.0156588289325888</v>
      </c>
      <c r="H560" s="0" t="n">
        <f aca="false">IF(G560&gt;0,G560-Pi,G560)</f>
        <v>-3.12593382106741</v>
      </c>
      <c r="J560" s="0" t="n">
        <f aca="false">Vin/Vramp</f>
        <v>9</v>
      </c>
      <c r="M560" s="0" t="n">
        <f aca="false">1/(2*Pi*_Rfb1*(Cc1ea_u+Cc2ea_u)*A560)</f>
        <v>0.00340729914951309</v>
      </c>
      <c r="N560" s="0" t="n">
        <f aca="false">-Pi/2</f>
        <v>-1.570796325</v>
      </c>
      <c r="O560" s="0" t="n">
        <f aca="false">SQRT(1+(A560/Fz1_u)^2)</f>
        <v>42.2740415365868</v>
      </c>
      <c r="P560" s="0" t="n">
        <f aca="false">ATAN2(Fz1_u,A560)</f>
        <v>1.54713894159147</v>
      </c>
      <c r="Q560" s="0" t="n">
        <f aca="false">SQRT(1+(A560/Fz2_u)^2)</f>
        <v>47955.7844994559</v>
      </c>
      <c r="R560" s="0" t="n">
        <f aca="false">ATAN2(Fz2_u,A560)</f>
        <v>1.57077547425311</v>
      </c>
      <c r="S560" s="0" t="n">
        <f aca="false">1/SQRT(1+(A560/Fp1_u)^2)</f>
        <v>0.00780141430022135</v>
      </c>
      <c r="T560" s="0" t="n">
        <f aca="false">-ATAN2(Fp1_u,A560)</f>
        <v>-1.56299483335748</v>
      </c>
      <c r="U560" s="0" t="n">
        <f aca="false">1/SQRT(1+(A560/Fp2_u)^2)</f>
        <v>0.208285649752887</v>
      </c>
      <c r="V560" s="0" t="n">
        <f aca="false">-ATAN2(Fp2_u,A560)</f>
        <v>-1.3609744876108</v>
      </c>
      <c r="X560" s="0" t="n">
        <f aca="false">20*LOG(C560*J560*O560*Q560*F560*M560*S560*U560)</f>
        <v>-24.0283642471274</v>
      </c>
      <c r="Y560" s="0" t="n">
        <f aca="false">(180/Pi)*(D560+H560+N560+P560+R560+T560+V560)</f>
        <v>-257.367804309876</v>
      </c>
      <c r="Z560" s="0" t="n">
        <f aca="false">Y560+180</f>
        <v>-77.3678043098758</v>
      </c>
      <c r="AC560" s="0" t="n">
        <v>1</v>
      </c>
      <c r="AD560" s="0" t="n">
        <f aca="false">Rcea1_u*Cc1ea_u*A560*2*Pi</f>
        <v>42.262212292272</v>
      </c>
      <c r="AE560" s="0" t="n">
        <f aca="false">-Rcea1_u*Cc1ea_u*Cc2ea_u*(A560*2*Pi)^2</f>
        <v>-0.0689079702097634</v>
      </c>
      <c r="AF560" s="0" t="n">
        <f aca="false">(Cc2ea_u+Cc1ea_u)*A560*2*Pi</f>
        <v>0.01467437926815</v>
      </c>
      <c r="AG560" s="0" t="n">
        <f aca="false">AC560*AE560/(AE560^2+AF560^2)+AD560*AF560/(AE560^2+AF560^2)</f>
        <v>111.060254446035</v>
      </c>
      <c r="AH560" s="0" t="n">
        <f aca="false">AD560*AE560/(AE560^2+AF560^2)-AC560*AF560/(AE560^2+AF560^2)</f>
        <v>-589.662877504938</v>
      </c>
      <c r="AJ560" s="0" t="n">
        <f aca="false">_Rfb1</f>
        <v>20000</v>
      </c>
      <c r="AK560" s="0" t="n">
        <f aca="false">_Rfb1*Rcea2_u*Cc3ea_u*A560*2*Pi</f>
        <v>2563559.70859296</v>
      </c>
      <c r="AL560" s="0" t="n">
        <v>1</v>
      </c>
      <c r="AM560" s="0" t="n">
        <f aca="false">(_Rfb1+Rcea2_u)*Cc3ea_u*A560*2*Pi</f>
        <v>47955.7844890296</v>
      </c>
      <c r="AN560" s="0" t="n">
        <f aca="false">AJ560*AL560/(AL560^2+AM560^2)+AK560*AM560/(AL560^2+AM560^2)</f>
        <v>53.4567446209857</v>
      </c>
      <c r="AO560" s="0" t="n">
        <f aca="false">AK560*AL560/(AL560^2+AM560^2)-AJ560*AM560/(AL560^2+AM560^2)</f>
        <v>-0.415936126744876</v>
      </c>
      <c r="AQ560" s="0" t="n">
        <f aca="false">Eadcg/(1+(Eadcg*A560/GBP)^2)</f>
        <v>0.00380406480134593</v>
      </c>
      <c r="AR560" s="0" t="n">
        <f aca="false">-(A560*Eadcg*Eadcg/GBP)/(1+(Eadcg*A560/GBP)^2)</f>
        <v>-3.4682039200351</v>
      </c>
      <c r="AT560" s="0" t="n">
        <f aca="false">-AR560*AH560+AG560*AQ560</f>
        <v>-2044.64862285704</v>
      </c>
      <c r="AU560" s="0" t="n">
        <f aca="false">AQ560*AH560+AG560*AR560</f>
        <v>-387.422725626812</v>
      </c>
      <c r="AV560" s="0" t="n">
        <f aca="false">ATAN2(AT560,AU560)</f>
        <v>-2.95433136004503</v>
      </c>
      <c r="AW560" s="0" t="n">
        <f aca="false">AG560-AH560*AO560/_Rfb2+AG560*AN560/_Rfb2+AN560-AO560*AR560+AQ560*AN560</f>
        <v>165.839046587116</v>
      </c>
      <c r="AX560" s="0" t="n">
        <f aca="false">AH560+AH560*AN560/_Rfb2+AG560*AO560/_Rfb2+AO560+AO560*AQ560+AN560*AR560</f>
        <v>-789.684730448778</v>
      </c>
      <c r="AY560" s="0" t="n">
        <f aca="false">ATAN2(AW560,AX560)</f>
        <v>-1.36379776129159</v>
      </c>
      <c r="BA560" s="0" t="n">
        <f aca="false">SQRT(AT560^2+AU560^2)/SQRT(AW560^2+AX560^2)</f>
        <v>2.57900922920397</v>
      </c>
      <c r="BB560" s="0" t="n">
        <f aca="false">20*LOG(BA560)</f>
        <v>8.22905792600951</v>
      </c>
      <c r="BC560" s="0" t="n">
        <f aca="false">AV560-AY560</f>
        <v>-1.59053359875344</v>
      </c>
      <c r="BD560" s="0" t="n">
        <f aca="false">BC560*180/Pi-180</f>
        <v>-271.130862486458</v>
      </c>
      <c r="BF560" s="0" t="n">
        <f aca="false">20*LOG(BA560*J560*F560*C560)</f>
        <v>-36.8024608418299</v>
      </c>
      <c r="BG560" s="0" t="n">
        <f aca="false">(180/Pi)*(D560+H560+BC560)</f>
        <v>-269.610902202709</v>
      </c>
      <c r="BH560" s="0" t="n">
        <f aca="false">IF(BG560&gt;180,BG560-180,BG560+180)</f>
        <v>-89.6109022027085</v>
      </c>
      <c r="BI560" s="0" t="n">
        <f aca="false">IF(BH560&gt;180,BH560-360,BH560)</f>
        <v>-89.6109022027085</v>
      </c>
      <c r="BJ560" s="0" t="n">
        <f aca="false">SUM((BF561&lt;0)*(BF560&gt;0))*A560</f>
        <v>0</v>
      </c>
      <c r="BK560" s="0" t="n">
        <f aca="false">IF(BJ560&gt;0,BI560,0)</f>
        <v>0</v>
      </c>
      <c r="BM560" s="0" t="n">
        <f aca="false">20*LOG(J560*F560*C560)</f>
        <v>-45.0315187678394</v>
      </c>
      <c r="BN560" s="0" t="n">
        <f aca="false">(H560+D560)*180/Pi</f>
        <v>-178.48003971625</v>
      </c>
      <c r="BQ560" s="347" t="n">
        <f aca="false">20*LOG(BA560*7)</f>
        <v>25.1310187262946</v>
      </c>
    </row>
    <row r="561" customFormat="false" ht="12.75" hidden="false" customHeight="false" outlineLevel="0" collapsed="false">
      <c r="A561" s="0" t="n">
        <f aca="false">A560+5000</f>
        <v>1735000</v>
      </c>
      <c r="B561" s="0" t="n">
        <f aca="false">A561/1000</f>
        <v>1735</v>
      </c>
      <c r="C561" s="0" t="n">
        <f aca="false">SQRT((A561/Fesr)^2+1)</f>
        <v>1.00005941769445</v>
      </c>
      <c r="D561" s="0" t="n">
        <f aca="false">ATAN(A561/Fesr)</f>
        <v>0.0109008946923352</v>
      </c>
      <c r="F561" s="0" t="n">
        <f aca="false">(Ro/(Ro+Rdcr))/SQRT((A561/(Q*Fo))^2+(1-(A561^2/Fo^2))^2)</f>
        <v>0.000618939049049917</v>
      </c>
      <c r="G561" s="0" t="n">
        <f aca="false">-ATAN(A561*Fo/(Q*(Fo^2-A561^2)))</f>
        <v>0.0156136536005579</v>
      </c>
      <c r="H561" s="0" t="n">
        <f aca="false">IF(G561&gt;0,G561-Pi,G561)</f>
        <v>-3.12597899639944</v>
      </c>
      <c r="J561" s="0" t="n">
        <f aca="false">Vin/Vramp</f>
        <v>9</v>
      </c>
      <c r="M561" s="0" t="n">
        <f aca="false">1/(2*Pi*_Rfb1*(Cc1ea_u+Cc2ea_u)*A561)</f>
        <v>0.00339747984360671</v>
      </c>
      <c r="N561" s="0" t="n">
        <f aca="false">-Pi/2</f>
        <v>-1.570796325</v>
      </c>
      <c r="O561" s="0" t="n">
        <f aca="false">SQRT(1+(A561/Fz1_u)^2)</f>
        <v>42.3961525782755</v>
      </c>
      <c r="P561" s="0" t="n">
        <f aca="false">ATAN2(Fz1_u,A561)</f>
        <v>1.54720709316892</v>
      </c>
      <c r="Q561" s="0" t="n">
        <f aca="false">SQRT(1+(A561/Fz2_u)^2)</f>
        <v>48094.3850326312</v>
      </c>
      <c r="R561" s="0" t="n">
        <f aca="false">ATAN2(Fz2_u,A561)</f>
        <v>1.57077553434689</v>
      </c>
      <c r="S561" s="0" t="n">
        <f aca="false">1/SQRT(1+(A561/Fp1_u)^2)</f>
        <v>0.0077789332006812</v>
      </c>
      <c r="T561" s="0" t="n">
        <f aca="false">-ATAN2(Fp1_u,A561)</f>
        <v>-1.5630173151392</v>
      </c>
      <c r="U561" s="0" t="n">
        <f aca="false">1/SQRT(1+(A561/Fp2_u)^2)</f>
        <v>0.20771133577665</v>
      </c>
      <c r="V561" s="0" t="n">
        <f aca="false">-ATAN2(Fp2_u,A561)</f>
        <v>-1.36156164319013</v>
      </c>
      <c r="X561" s="0" t="n">
        <f aca="false">20*LOG(C561*J561*O561*Q561*F561*M561*S561*U561)</f>
        <v>-24.1025170241671</v>
      </c>
      <c r="Y561" s="0" t="n">
        <f aca="false">(180/Pi)*(D561+H561+N561+P561+R561+T561+V561)</f>
        <v>-257.399614285994</v>
      </c>
      <c r="Z561" s="0" t="n">
        <f aca="false">Y561+180</f>
        <v>-77.3996142859937</v>
      </c>
      <c r="AC561" s="0" t="n">
        <v>1</v>
      </c>
      <c r="AD561" s="0" t="n">
        <f aca="false">Rcea1_u*Cc1ea_u*A561*2*Pi</f>
        <v>42.384357414504</v>
      </c>
      <c r="AE561" s="0" t="n">
        <f aca="false">-Rcea1_u*Cc1ea_u*Cc2ea_u*(A561*2*Pi)^2</f>
        <v>-0.0693068577716212</v>
      </c>
      <c r="AF561" s="0" t="n">
        <f aca="false">(Cc2ea_u+Cc1ea_u)*A561*2*Pi</f>
        <v>0.014716790768925</v>
      </c>
      <c r="AG561" s="0" t="n">
        <f aca="false">AC561*AE561/(AE561^2+AF561^2)+AD561*AF561/(AE561^2+AF561^2)</f>
        <v>110.448637465908</v>
      </c>
      <c r="AH561" s="0" t="n">
        <f aca="false">AD561*AE561/(AE561^2+AF561^2)-AC561*AF561/(AE561^2+AF561^2)</f>
        <v>-588.093433127693</v>
      </c>
      <c r="AJ561" s="0" t="n">
        <f aca="false">_Rfb1</f>
        <v>20000</v>
      </c>
      <c r="AK561" s="0" t="n">
        <f aca="false">_Rfb1*Rcea2_u*Cc3ea_u*A561*2*Pi</f>
        <v>2570968.84069872</v>
      </c>
      <c r="AL561" s="0" t="n">
        <v>1</v>
      </c>
      <c r="AM561" s="0" t="n">
        <f aca="false">(_Rfb1+Rcea2_u)*Cc3ea_u*A561*2*Pi</f>
        <v>48094.3850222349</v>
      </c>
      <c r="AN561" s="0" t="n">
        <f aca="false">AJ561*AL561/(AL561^2+AM561^2)+AK561*AM561/(AL561^2+AM561^2)</f>
        <v>53.4567445710674</v>
      </c>
      <c r="AO561" s="0" t="n">
        <f aca="false">AK561*AL561/(AL561^2+AM561^2)-AJ561*AM561/(AL561^2+AM561^2)</f>
        <v>-0.414737463556448</v>
      </c>
      <c r="AQ561" s="0" t="n">
        <f aca="false">Eadcg/(1+(Eadcg*A561/GBP)^2)</f>
        <v>0.00378217097485399</v>
      </c>
      <c r="AR561" s="0" t="n">
        <f aca="false">-(A561*Eadcg*Eadcg/GBP)/(1+(Eadcg*A561/GBP)^2)</f>
        <v>-3.45820912000287</v>
      </c>
      <c r="AT561" s="0" t="n">
        <f aca="false">-AR561*AH561+AG561*AQ561</f>
        <v>-2033.33233822515</v>
      </c>
      <c r="AU561" s="0" t="n">
        <f aca="false">AQ561*AH561+AG561*AR561</f>
        <v>-384.178755289772</v>
      </c>
      <c r="AV561" s="0" t="n">
        <f aca="false">ATAN2(AT561,AU561)</f>
        <v>-2.95485352496532</v>
      </c>
      <c r="AW561" s="0" t="n">
        <f aca="false">AG561-AH561*AO561/_Rfb2+AG561*AN561/_Rfb2+AN561-AO561*AR561+AQ561*AN561</f>
        <v>165.220459805926</v>
      </c>
      <c r="AX561" s="0" t="n">
        <f aca="false">AH561+AH561*AN561/_Rfb2+AG561*AO561/_Rfb2+AO561+AO561*AQ561+AN561*AR561</f>
        <v>-787.541856232449</v>
      </c>
      <c r="AY561" s="0" t="n">
        <f aca="false">ATAN2(AW561,AX561)</f>
        <v>-1.3640027733219</v>
      </c>
      <c r="BA561" s="0" t="n">
        <f aca="false">SQRT(AT561^2+AU561^2)/SQRT(AW561^2+AX561^2)</f>
        <v>2.57157062268003</v>
      </c>
      <c r="BB561" s="0" t="n">
        <f aca="false">20*LOG(BA561)</f>
        <v>8.20396911577546</v>
      </c>
      <c r="BC561" s="0" t="n">
        <f aca="false">AV561-AY561</f>
        <v>-1.59085075164342</v>
      </c>
      <c r="BD561" s="0" t="n">
        <f aca="false">BC561*180/Pi-180</f>
        <v>-271.149034008535</v>
      </c>
      <c r="BF561" s="0" t="n">
        <f aca="false">20*LOG(BA561*J561*F561*C561)</f>
        <v>-36.877706948712</v>
      </c>
      <c r="BG561" s="0" t="n">
        <f aca="false">(180/Pi)*(D561+H561+BC561)</f>
        <v>-269.629862293921</v>
      </c>
      <c r="BH561" s="0" t="n">
        <f aca="false">IF(BG561&gt;180,BG561-180,BG561+180)</f>
        <v>-89.629862293921</v>
      </c>
      <c r="BI561" s="0" t="n">
        <f aca="false">IF(BH561&gt;180,BH561-360,BH561)</f>
        <v>-89.629862293921</v>
      </c>
      <c r="BJ561" s="0" t="n">
        <f aca="false">SUM((BF562&lt;0)*(BF561&gt;0))*A561</f>
        <v>0</v>
      </c>
      <c r="BK561" s="0" t="n">
        <f aca="false">IF(BJ561&gt;0,BI561,0)</f>
        <v>0</v>
      </c>
      <c r="BM561" s="0" t="n">
        <f aca="false">20*LOG(J561*F561*C561)</f>
        <v>-45.0816760644875</v>
      </c>
      <c r="BN561" s="0" t="n">
        <f aca="false">(H561+D561)*180/Pi</f>
        <v>-178.480828285386</v>
      </c>
      <c r="BQ561" s="347" t="n">
        <f aca="false">20*LOG(BA561*7)</f>
        <v>25.1059299160606</v>
      </c>
    </row>
    <row r="562" customFormat="false" ht="12.75" hidden="false" customHeight="false" outlineLevel="0" collapsed="false">
      <c r="A562" s="0" t="n">
        <f aca="false">A561+5000</f>
        <v>1740000</v>
      </c>
      <c r="B562" s="0" t="n">
        <f aca="false">A562/1000</f>
        <v>1740</v>
      </c>
      <c r="C562" s="0" t="n">
        <f aca="false">SQRT((A562/Fesr)^2+1)</f>
        <v>1.00005976064277</v>
      </c>
      <c r="D562" s="0" t="n">
        <f aca="false">ATAN(A562/Fesr)</f>
        <v>0.0109323068750771</v>
      </c>
      <c r="F562" s="0" t="n">
        <f aca="false">(Ro/(Ro+Rdcr))/SQRT((A562/(Q*Fo))^2+(1-(A562^2/Fo^2))^2)</f>
        <v>0.000615385266980781</v>
      </c>
      <c r="G562" s="0" t="n">
        <f aca="false">-ATAN(A562*Fo/(Q*(Fo^2-A562^2)))</f>
        <v>0.0155687383179276</v>
      </c>
      <c r="H562" s="0" t="n">
        <f aca="false">IF(G562&gt;0,G562-Pi,G562)</f>
        <v>-3.12602391168207</v>
      </c>
      <c r="J562" s="0" t="n">
        <f aca="false">Vin/Vramp</f>
        <v>9</v>
      </c>
      <c r="M562" s="0" t="n">
        <f aca="false">1/(2*Pi*_Rfb1*(Cc1ea_u+Cc2ea_u)*A562)</f>
        <v>0.0033877169704929</v>
      </c>
      <c r="N562" s="0" t="n">
        <f aca="false">-Pi/2</f>
        <v>-1.570796325</v>
      </c>
      <c r="O562" s="0" t="n">
        <f aca="false">SQRT(1+(A562/Fz1_u)^2)</f>
        <v>42.518263815748</v>
      </c>
      <c r="P562" s="0" t="n">
        <f aca="false">ATAN2(Fz1_u,A562)</f>
        <v>1.54727485328792</v>
      </c>
      <c r="Q562" s="0" t="n">
        <f aca="false">SQRT(1+(A562/Fz2_u)^2)</f>
        <v>48232.9855658066</v>
      </c>
      <c r="R562" s="0" t="n">
        <f aca="false">ATAN2(Fz2_u,A562)</f>
        <v>1.57077559409531</v>
      </c>
      <c r="S562" s="0" t="n">
        <f aca="false">1/SQRT(1+(A562/Fp1_u)^2)</f>
        <v>0.00775658129116882</v>
      </c>
      <c r="T562" s="0" t="n">
        <f aca="false">-ATAN2(Fp1_u,A562)</f>
        <v>-1.56303966772308</v>
      </c>
      <c r="U562" s="0" t="n">
        <f aca="false">1/SQRT(1+(A562/Fp2_u)^2)</f>
        <v>0.207140109423356</v>
      </c>
      <c r="V562" s="0" t="n">
        <f aca="false">-ATAN2(Fp2_u,A562)</f>
        <v>-1.36214556950007</v>
      </c>
      <c r="X562" s="0" t="n">
        <f aca="false">20*LOG(C562*J562*O562*Q562*F562*M562*S562*U562)</f>
        <v>-24.1764621259826</v>
      </c>
      <c r="Y562" s="0" t="n">
        <f aca="false">(180/Pi)*(D562+H562+N562+P562+R562+T562+V562)</f>
        <v>-257.431239386318</v>
      </c>
      <c r="Z562" s="0" t="n">
        <f aca="false">Y562+180</f>
        <v>-77.4312393863177</v>
      </c>
      <c r="AC562" s="0" t="n">
        <v>1</v>
      </c>
      <c r="AD562" s="0" t="n">
        <f aca="false">Rcea1_u*Cc1ea_u*A562*2*Pi</f>
        <v>42.506502536736</v>
      </c>
      <c r="AE562" s="0" t="n">
        <f aca="false">-Rcea1_u*Cc1ea_u*Cc2ea_u*(A562*2*Pi)^2</f>
        <v>-0.0697068965241336</v>
      </c>
      <c r="AF562" s="0" t="n">
        <f aca="false">(Cc2ea_u+Cc1ea_u)*A562*2*Pi</f>
        <v>0.0147592022697</v>
      </c>
      <c r="AG562" s="0" t="n">
        <f aca="false">AC562*AE562/(AE562^2+AF562^2)+AD562*AF562/(AE562^2+AF562^2)</f>
        <v>109.841983825714</v>
      </c>
      <c r="AH562" s="0" t="n">
        <f aca="false">AD562*AE562/(AE562^2+AF562^2)-AC562*AF562/(AE562^2+AF562^2)</f>
        <v>-586.531957646286</v>
      </c>
      <c r="AJ562" s="0" t="n">
        <f aca="false">_Rfb1</f>
        <v>20000</v>
      </c>
      <c r="AK562" s="0" t="n">
        <f aca="false">_Rfb1*Rcea2_u*Cc3ea_u*A562*2*Pi</f>
        <v>2578377.97280448</v>
      </c>
      <c r="AL562" s="0" t="n">
        <v>1</v>
      </c>
      <c r="AM562" s="0" t="n">
        <f aca="false">(_Rfb1+Rcea2_u)*Cc3ea_u*A562*2*Pi</f>
        <v>48232.9855554402</v>
      </c>
      <c r="AN562" s="0" t="n">
        <f aca="false">AJ562*AL562/(AL562^2+AM562^2)+AK562*AM562/(AL562^2+AM562^2)</f>
        <v>53.4567445215788</v>
      </c>
      <c r="AO562" s="0" t="n">
        <f aca="false">AK562*AL562/(AL562^2+AM562^2)-AJ562*AM562/(AL562^2+AM562^2)</f>
        <v>-0.413545689236909</v>
      </c>
      <c r="AQ562" s="0" t="n">
        <f aca="false">Eadcg/(1+(Eadcg*A562/GBP)^2)</f>
        <v>0.00376046561663789</v>
      </c>
      <c r="AR562" s="0" t="n">
        <f aca="false">-(A562*Eadcg*Eadcg/GBP)/(1+(Eadcg*A562/GBP)^2)</f>
        <v>-3.44827176114461</v>
      </c>
      <c r="AT562" s="0" t="n">
        <f aca="false">-AR562*AH562+AG562*AQ562</f>
        <v>-2022.10852955711</v>
      </c>
      <c r="AU562" s="0" t="n">
        <f aca="false">AQ562*AH562+AG562*AR562</f>
        <v>-380.970644274102</v>
      </c>
      <c r="AV562" s="0" t="n">
        <f aca="false">ATAN2(AT562,AU562)</f>
        <v>-2.9553728339085</v>
      </c>
      <c r="AW562" s="0" t="n">
        <f aca="false">AG562-AH562*AO562/_Rfb2+AG562*AN562/_Rfb2+AN562-AO562*AR562+AQ562*AN562</f>
        <v>164.606889371899</v>
      </c>
      <c r="AX562" s="0" t="n">
        <f aca="false">AH562+AH562*AN562/_Rfb2+AG562*AO562/_Rfb2+AO562+AO562*AQ562+AN562*AR562</f>
        <v>-785.410222197996</v>
      </c>
      <c r="AY562" s="0" t="n">
        <f aca="false">ATAN2(AW562,AX562)</f>
        <v>-1.36420567676883</v>
      </c>
      <c r="BA562" s="0" t="n">
        <f aca="false">SQRT(AT562^2+AU562^2)/SQRT(AW562^2+AX562^2)</f>
        <v>2.56417446270996</v>
      </c>
      <c r="BB562" s="0" t="n">
        <f aca="false">20*LOG(BA562)</f>
        <v>8.17895141236925</v>
      </c>
      <c r="BC562" s="0" t="n">
        <f aca="false">AV562-AY562</f>
        <v>-1.59116715713966</v>
      </c>
      <c r="BD562" s="0" t="n">
        <f aca="false">BC562*180/Pi-180</f>
        <v>-271.167162708106</v>
      </c>
      <c r="BF562" s="0" t="n">
        <f aca="false">20*LOG(BA562*J562*F562*C562)</f>
        <v>-36.9527374493086</v>
      </c>
      <c r="BG562" s="0" t="n">
        <f aca="false">(180/Pi)*(D562+H562+BC562)</f>
        <v>-269.648764664126</v>
      </c>
      <c r="BH562" s="0" t="n">
        <f aca="false">IF(BG562&gt;180,BG562-180,BG562+180)</f>
        <v>-89.6487646641261</v>
      </c>
      <c r="BI562" s="0" t="n">
        <f aca="false">IF(BH562&gt;180,BH562-360,BH562)</f>
        <v>-89.6487646641261</v>
      </c>
      <c r="BJ562" s="0" t="n">
        <f aca="false">SUM((BF563&lt;0)*(BF562&gt;0))*A562</f>
        <v>0</v>
      </c>
      <c r="BK562" s="0" t="n">
        <f aca="false">IF(BJ562&gt;0,BI562,0)</f>
        <v>0</v>
      </c>
      <c r="BM562" s="0" t="n">
        <f aca="false">20*LOG(J562*F562*C562)</f>
        <v>-45.1316888616778</v>
      </c>
      <c r="BN562" s="0" t="n">
        <f aca="false">(H562+D562)*180/Pi</f>
        <v>-178.48160195602</v>
      </c>
      <c r="BQ562" s="347" t="n">
        <f aca="false">20*LOG(BA562*7)</f>
        <v>25.0809122126544</v>
      </c>
    </row>
    <row r="563" customFormat="false" ht="12.75" hidden="false" customHeight="false" outlineLevel="0" collapsed="false">
      <c r="A563" s="0" t="n">
        <f aca="false">A562+5000</f>
        <v>1745000</v>
      </c>
      <c r="B563" s="0" t="n">
        <f aca="false">A563/1000</f>
        <v>1745</v>
      </c>
      <c r="C563" s="0" t="n">
        <f aca="false">SQRT((A563/Fesr)^2+1)</f>
        <v>1.00006010457787</v>
      </c>
      <c r="D563" s="0" t="n">
        <f aca="false">ATAN(A563/Fesr)</f>
        <v>0.0109637190362438</v>
      </c>
      <c r="F563" s="0" t="n">
        <f aca="false">(Ro/(Ro+Rdcr))/SQRT((A563/(Q*Fo))^2+(1-(A563^2/Fo^2))^2)</f>
        <v>0.000611862009594665</v>
      </c>
      <c r="G563" s="0" t="n">
        <f aca="false">-ATAN(A563*Fo/(Q*(Fo^2-A563^2)))</f>
        <v>0.0155240808445075</v>
      </c>
      <c r="H563" s="0" t="n">
        <f aca="false">IF(G563&gt;0,G563-Pi,G563)</f>
        <v>-3.12606856915549</v>
      </c>
      <c r="J563" s="0" t="n">
        <f aca="false">Vin/Vramp</f>
        <v>9</v>
      </c>
      <c r="M563" s="0" t="n">
        <f aca="false">1/(2*Pi*_Rfb1*(Cc1ea_u+Cc2ea_u)*A563)</f>
        <v>0.00337801004507601</v>
      </c>
      <c r="N563" s="0" t="n">
        <f aca="false">-Pi/2</f>
        <v>-1.570796325</v>
      </c>
      <c r="O563" s="0" t="n">
        <f aca="false">SQRT(1+(A563/Fz1_u)^2)</f>
        <v>42.6403752473221</v>
      </c>
      <c r="P563" s="0" t="n">
        <f aca="false">ATAN2(Fz1_u,A563)</f>
        <v>1.54734222531096</v>
      </c>
      <c r="Q563" s="0" t="n">
        <f aca="false">SQRT(1+(A563/Fz2_u)^2)</f>
        <v>48371.5860989822</v>
      </c>
      <c r="R563" s="0" t="n">
        <f aca="false">ATAN2(Fz2_u,A563)</f>
        <v>1.57077565350132</v>
      </c>
      <c r="S563" s="0" t="n">
        <f aca="false">1/SQRT(1+(A563/Fp1_u)^2)</f>
        <v>0.00773435746130167</v>
      </c>
      <c r="T563" s="0" t="n">
        <f aca="false">-ATAN2(Fp1_u,A563)</f>
        <v>-1.56306189221961</v>
      </c>
      <c r="U563" s="0" t="n">
        <f aca="false">1/SQRT(1+(A563/Fp2_u)^2)</f>
        <v>0.20657194645293</v>
      </c>
      <c r="V563" s="0" t="n">
        <f aca="false">-ATAN2(Fp2_u,A563)</f>
        <v>-1.36272629271339</v>
      </c>
      <c r="X563" s="0" t="n">
        <f aca="false">20*LOG(C563*J563*O563*Q563*F563*M563*S563*U563)</f>
        <v>-24.2502006981367</v>
      </c>
      <c r="Y563" s="0" t="n">
        <f aca="false">(180/Pi)*(D563+H563+N563+P563+R563+T563+V563)</f>
        <v>-257.462681109594</v>
      </c>
      <c r="Z563" s="0" t="n">
        <f aca="false">Y563+180</f>
        <v>-77.4626811095937</v>
      </c>
      <c r="AC563" s="0" t="n">
        <v>1</v>
      </c>
      <c r="AD563" s="0" t="n">
        <f aca="false">Rcea1_u*Cc1ea_u*A563*2*Pi</f>
        <v>42.628647658968</v>
      </c>
      <c r="AE563" s="0" t="n">
        <f aca="false">-Rcea1_u*Cc1ea_u*Cc2ea_u*(A563*2*Pi)^2</f>
        <v>-0.0701080864673008</v>
      </c>
      <c r="AF563" s="0" t="n">
        <f aca="false">(Cc2ea_u+Cc1ea_u)*A563*2*Pi</f>
        <v>0.014801613770475</v>
      </c>
      <c r="AG563" s="0" t="n">
        <f aca="false">AC563*AE563/(AE563^2+AF563^2)+AD563*AF563/(AE563^2+AF563^2)</f>
        <v>109.240240797062</v>
      </c>
      <c r="AH563" s="0" t="n">
        <f aca="false">AD563*AE563/(AE563^2+AF563^2)-AC563*AF563/(AE563^2+AF563^2)</f>
        <v>-584.978393692495</v>
      </c>
      <c r="AJ563" s="0" t="n">
        <f aca="false">_Rfb1</f>
        <v>20000</v>
      </c>
      <c r="AK563" s="0" t="n">
        <f aca="false">_Rfb1*Rcea2_u*Cc3ea_u*A563*2*Pi</f>
        <v>2585787.10491024</v>
      </c>
      <c r="AL563" s="0" t="n">
        <v>1</v>
      </c>
      <c r="AM563" s="0" t="n">
        <f aca="false">(_Rfb1+Rcea2_u)*Cc3ea_u*A563*2*Pi</f>
        <v>48371.5860886455</v>
      </c>
      <c r="AN563" s="0" t="n">
        <f aca="false">AJ563*AL563/(AL563^2+AM563^2)+AK563*AM563/(AL563^2+AM563^2)</f>
        <v>53.456744472515</v>
      </c>
      <c r="AO563" s="0" t="n">
        <f aca="false">AK563*AL563/(AL563^2+AM563^2)-AJ563*AM563/(AL563^2+AM563^2)</f>
        <v>-0.412360744569623</v>
      </c>
      <c r="AQ563" s="0" t="n">
        <f aca="false">Eadcg/(1+(Eadcg*A563/GBP)^2)</f>
        <v>0.00373894656970469</v>
      </c>
      <c r="AR563" s="0" t="n">
        <f aca="false">-(A563*Eadcg*Eadcg/GBP)/(1+(Eadcg*A563/GBP)^2)</f>
        <v>-3.43839134969898</v>
      </c>
      <c r="AT563" s="0" t="n">
        <f aca="false">-AR563*AH563+AG563*AQ563</f>
        <v>-2010.97620520948</v>
      </c>
      <c r="AU563" s="0" t="n">
        <f aca="false">AQ563*AH563+AG563*AR563</f>
        <v>-377.797901954099</v>
      </c>
      <c r="AV563" s="0" t="n">
        <f aca="false">ATAN2(AT563,AU563)</f>
        <v>-2.95588930984098</v>
      </c>
      <c r="AW563" s="0" t="n">
        <f aca="false">AG563-AH563*AO563/_Rfb2+AG563*AN563/_Rfb2+AN563-AO563*AR563+AQ563*AN563</f>
        <v>163.998282044457</v>
      </c>
      <c r="AX563" s="0" t="n">
        <f aca="false">AH563+AH563*AN563/_Rfb2+AG563*AO563/_Rfb2+AO563+AO563*AQ563+AN563*AR563</f>
        <v>-783.289743114488</v>
      </c>
      <c r="AY563" s="0" t="n">
        <f aca="false">ATAN2(AW563,AX563)</f>
        <v>-1.36440648826957</v>
      </c>
      <c r="BA563" s="0" t="n">
        <f aca="false">SQRT(AT563^2+AU563^2)/SQRT(AW563^2+AX563^2)</f>
        <v>2.55682038687224</v>
      </c>
      <c r="BB563" s="0" t="n">
        <f aca="false">20*LOG(BA563)</f>
        <v>8.15400441011552</v>
      </c>
      <c r="BC563" s="0" t="n">
        <f aca="false">AV563-AY563</f>
        <v>-1.59148282157141</v>
      </c>
      <c r="BD563" s="0" t="n">
        <f aca="false">BC563*180/Pi-180</f>
        <v>-271.185248947808</v>
      </c>
      <c r="BF563" s="0" t="n">
        <f aca="false">20*LOG(BA563*J563*F563*C563)</f>
        <v>-37.0275535797524</v>
      </c>
      <c r="BG563" s="0" t="n">
        <f aca="false">(180/Pi)*(D563+H563+BC563)</f>
        <v>-269.66760980432</v>
      </c>
      <c r="BH563" s="0" t="n">
        <f aca="false">IF(BG563&gt;180,BG563-180,BG563+180)</f>
        <v>-89.6676098043197</v>
      </c>
      <c r="BI563" s="0" t="n">
        <f aca="false">IF(BH563&gt;180,BH563-360,BH563)</f>
        <v>-89.6676098043197</v>
      </c>
      <c r="BJ563" s="0" t="n">
        <f aca="false">SUM((BF564&lt;0)*(BF563&gt;0))*A563</f>
        <v>0</v>
      </c>
      <c r="BK563" s="0" t="n">
        <f aca="false">IF(BJ563&gt;0,BI563,0)</f>
        <v>0</v>
      </c>
      <c r="BM563" s="0" t="n">
        <f aca="false">20*LOG(J563*F563*C563)</f>
        <v>-45.1815579898679</v>
      </c>
      <c r="BN563" s="0" t="n">
        <f aca="false">(H563+D563)*180/Pi</f>
        <v>-178.482360856512</v>
      </c>
      <c r="BQ563" s="347" t="n">
        <f aca="false">20*LOG(BA563*7)</f>
        <v>25.0559652104007</v>
      </c>
    </row>
    <row r="564" customFormat="false" ht="12.75" hidden="false" customHeight="false" outlineLevel="0" collapsed="false">
      <c r="A564" s="0" t="n">
        <f aca="false">A563+5000</f>
        <v>1750000</v>
      </c>
      <c r="B564" s="0" t="n">
        <f aca="false">A564/1000</f>
        <v>1750</v>
      </c>
      <c r="C564" s="0" t="n">
        <f aca="false">SQRT((A564/Fesr)^2+1)</f>
        <v>1.00006044949975</v>
      </c>
      <c r="D564" s="0" t="n">
        <f aca="false">ATAN(A564/Fesr)</f>
        <v>0.0109951311757733</v>
      </c>
      <c r="F564" s="0" t="n">
        <f aca="false">(Ro/(Ro+Rdcr))/SQRT((A564/(Q*Fo))^2+(1-(A564^2/Fo^2))^2)</f>
        <v>0.000608368928249846</v>
      </c>
      <c r="G564" s="0" t="n">
        <f aca="false">-ATAN(A564*Fo/(Q*(Fo^2-A564^2)))</f>
        <v>0.0154796789657777</v>
      </c>
      <c r="H564" s="0" t="n">
        <f aca="false">IF(G564&gt;0,G564-Pi,G564)</f>
        <v>-3.12611297103422</v>
      </c>
      <c r="J564" s="0" t="n">
        <f aca="false">Vin/Vramp</f>
        <v>9</v>
      </c>
      <c r="M564" s="0" t="n">
        <f aca="false">1/(2*Pi*_Rfb1*(Cc1ea_u+Cc2ea_u)*A564)</f>
        <v>0.00336835858780437</v>
      </c>
      <c r="N564" s="0" t="n">
        <f aca="false">-Pi/2</f>
        <v>-1.570796325</v>
      </c>
      <c r="O564" s="0" t="n">
        <f aca="false">SQRT(1+(A564/Fz1_u)^2)</f>
        <v>42.762486871335</v>
      </c>
      <c r="P564" s="0" t="n">
        <f aca="false">ATAN2(Fz1_u,A564)</f>
        <v>1.54740921256215</v>
      </c>
      <c r="Q564" s="0" t="n">
        <f aca="false">SQRT(1+(A564/Fz2_u)^2)</f>
        <v>48510.1866321579</v>
      </c>
      <c r="R564" s="0" t="n">
        <f aca="false">ATAN2(Fz2_u,A564)</f>
        <v>1.57077571256788</v>
      </c>
      <c r="S564" s="0" t="n">
        <f aca="false">1/SQRT(1+(A564/Fp1_u)^2)</f>
        <v>0.00771226061338538</v>
      </c>
      <c r="T564" s="0" t="n">
        <f aca="false">-ATAN2(Fp1_u,A564)</f>
        <v>-1.56308398972659</v>
      </c>
      <c r="U564" s="0" t="n">
        <f aca="false">1/SQRT(1+(A564/Fp2_u)^2)</f>
        <v>0.206006822871699</v>
      </c>
      <c r="V564" s="0" t="n">
        <f aca="false">-ATAN2(Fp2_u,A564)</f>
        <v>-1.36330383872514</v>
      </c>
      <c r="X564" s="0" t="n">
        <f aca="false">20*LOG(C564*J564*O564*Q564*F564*M564*S564*U564)</f>
        <v>-24.3237338768466</v>
      </c>
      <c r="Y564" s="0" t="n">
        <f aca="false">(180/Pi)*(D564+H564+N564+P564+R564+T564+V564)</f>
        <v>-257.493940938659</v>
      </c>
      <c r="Z564" s="0" t="n">
        <f aca="false">Y564+180</f>
        <v>-77.4939409386593</v>
      </c>
      <c r="AC564" s="0" t="n">
        <v>1</v>
      </c>
      <c r="AD564" s="0" t="n">
        <f aca="false">Rcea1_u*Cc1ea_u*A564*2*Pi</f>
        <v>42.7507927812</v>
      </c>
      <c r="AE564" s="0" t="n">
        <f aca="false">-Rcea1_u*Cc1ea_u*Cc2ea_u*(A564*2*Pi)^2</f>
        <v>-0.0705104276011228</v>
      </c>
      <c r="AF564" s="0" t="n">
        <f aca="false">(Cc2ea_u+Cc1ea_u)*A564*2*Pi</f>
        <v>0.01484402527125</v>
      </c>
      <c r="AG564" s="0" t="n">
        <f aca="false">AC564*AE564/(AE564^2+AF564^2)+AD564*AF564/(AE564^2+AF564^2)</f>
        <v>108.64335633841</v>
      </c>
      <c r="AH564" s="0" t="n">
        <f aca="false">AD564*AE564/(AE564^2+AF564^2)-AC564*AF564/(AE564^2+AF564^2)</f>
        <v>-583.432684409138</v>
      </c>
      <c r="AJ564" s="0" t="n">
        <f aca="false">_Rfb1</f>
        <v>20000</v>
      </c>
      <c r="AK564" s="0" t="n">
        <f aca="false">_Rfb1*Rcea2_u*Cc3ea_u*A564*2*Pi</f>
        <v>2593196.237016</v>
      </c>
      <c r="AL564" s="0" t="n">
        <v>1</v>
      </c>
      <c r="AM564" s="0" t="n">
        <f aca="false">(_Rfb1+Rcea2_u)*Cc3ea_u*A564*2*Pi</f>
        <v>48510.1866218508</v>
      </c>
      <c r="AN564" s="0" t="n">
        <f aca="false">AJ564*AL564/(AL564^2+AM564^2)+AK564*AM564/(AL564^2+AM564^2)</f>
        <v>53.4567444238712</v>
      </c>
      <c r="AO564" s="0" t="n">
        <f aca="false">AK564*AL564/(AL564^2+AM564^2)-AJ564*AM564/(AL564^2+AM564^2)</f>
        <v>-0.411182571014713</v>
      </c>
      <c r="AQ564" s="0" t="n">
        <f aca="false">Eadcg/(1+(Eadcg*A564/GBP)^2)</f>
        <v>0.00371761170783152</v>
      </c>
      <c r="AR564" s="0" t="n">
        <f aca="false">-(A564*Eadcg*Eadcg/GBP)/(1+(Eadcg*A564/GBP)^2)</f>
        <v>-3.42856739754762</v>
      </c>
      <c r="AT564" s="0" t="n">
        <f aca="false">-AR564*AH564+AG564*AQ564</f>
        <v>-1999.93438661536</v>
      </c>
      <c r="AU564" s="0" t="n">
        <f aca="false">AQ564*AH564+AG564*AR564</f>
        <v>-374.660045680313</v>
      </c>
      <c r="AV564" s="0" t="n">
        <f aca="false">ATAN2(AT564,AU564)</f>
        <v>-2.95640297548811</v>
      </c>
      <c r="AW564" s="0" t="n">
        <f aca="false">AG564-AH564*AO564/_Rfb2+AG564*AN564/_Rfb2+AN564-AO564*AR564+AQ564*AN564</f>
        <v>163.394585275669</v>
      </c>
      <c r="AX564" s="0" t="n">
        <f aca="false">AH564+AH564*AN564/_Rfb2+AG564*AO564/_Rfb2+AO564+AO564*AQ564+AN564*AR564</f>
        <v>-781.180334577121</v>
      </c>
      <c r="AY564" s="0" t="n">
        <f aca="false">ATAN2(AW564,AX564)</f>
        <v>-1.36460522429208</v>
      </c>
      <c r="BA564" s="0" t="n">
        <f aca="false">SQRT(AT564^2+AU564^2)/SQRT(AW564^2+AX564^2)</f>
        <v>2.54950803685289</v>
      </c>
      <c r="BB564" s="0" t="n">
        <f aca="false">20*LOG(BA564)</f>
        <v>8.12912770677477</v>
      </c>
      <c r="BC564" s="0" t="n">
        <f aca="false">AV564-AY564</f>
        <v>-1.59179775119603</v>
      </c>
      <c r="BD564" s="0" t="n">
        <f aca="false">BC564*180/Pi-180</f>
        <v>-271.203293086163</v>
      </c>
      <c r="BF564" s="0" t="n">
        <f aca="false">20*LOG(BA564*J564*F564*C564)</f>
        <v>-37.1021565655979</v>
      </c>
      <c r="BG564" s="0" t="n">
        <f aca="false">(180/Pi)*(D564+H564+BC564)</f>
        <v>-269.686398199908</v>
      </c>
      <c r="BH564" s="0" t="n">
        <f aca="false">IF(BG564&gt;180,BG564-180,BG564+180)</f>
        <v>-89.6863981999084</v>
      </c>
      <c r="BI564" s="0" t="n">
        <f aca="false">IF(BH564&gt;180,BH564-360,BH564)</f>
        <v>-89.6863981999084</v>
      </c>
      <c r="BJ564" s="0" t="n">
        <f aca="false">SUM((BF565&lt;0)*(BF564&gt;0))*A564</f>
        <v>0</v>
      </c>
      <c r="BK564" s="0" t="n">
        <f aca="false">IF(BJ564&gt;0,BI564,0)</f>
        <v>0</v>
      </c>
      <c r="BM564" s="0" t="n">
        <f aca="false">20*LOG(J564*F564*C564)</f>
        <v>-45.2312842723727</v>
      </c>
      <c r="BN564" s="0" t="n">
        <f aca="false">(H564+D564)*180/Pi</f>
        <v>-178.483105113746</v>
      </c>
      <c r="BQ564" s="347" t="n">
        <f aca="false">20*LOG(BA564*7)</f>
        <v>25.0310885070599</v>
      </c>
    </row>
    <row r="565" customFormat="false" ht="12.75" hidden="false" customHeight="false" outlineLevel="0" collapsed="false">
      <c r="A565" s="0" t="n">
        <f aca="false">A564+5000</f>
        <v>1755000</v>
      </c>
      <c r="B565" s="0" t="n">
        <f aca="false">A565/1000</f>
        <v>1755</v>
      </c>
      <c r="C565" s="0" t="n">
        <f aca="false">SQRT((A565/Fesr)^2+1)</f>
        <v>1.00006079540841</v>
      </c>
      <c r="D565" s="0" t="n">
        <f aca="false">ATAN(A565/Fesr)</f>
        <v>0.0110265432936037</v>
      </c>
      <c r="F565" s="0" t="n">
        <f aca="false">(Ro/(Ro+Rdcr))/SQRT((A565/(Q*Fo))^2+(1-(A565^2/Fo^2))^2)</f>
        <v>0.000604905679268804</v>
      </c>
      <c r="G565" s="0" t="n">
        <f aca="false">-ATAN(A565*Fo/(Q*(Fo^2-A565^2)))</f>
        <v>0.0154355304925224</v>
      </c>
      <c r="H565" s="0" t="n">
        <f aca="false">IF(G565&gt;0,G565-Pi,G565)</f>
        <v>-3.12615711950748</v>
      </c>
      <c r="J565" s="0" t="n">
        <f aca="false">Vin/Vramp</f>
        <v>9</v>
      </c>
      <c r="M565" s="0" t="n">
        <f aca="false">1/(2*Pi*_Rfb1*(Cc1ea_u+Cc2ea_u)*A565)</f>
        <v>0.00335876212459125</v>
      </c>
      <c r="N565" s="0" t="n">
        <f aca="false">-Pi/2</f>
        <v>-1.570796325</v>
      </c>
      <c r="O565" s="0" t="n">
        <f aca="false">SQRT(1+(A565/Fz1_u)^2)</f>
        <v>42.884598686143</v>
      </c>
      <c r="P565" s="0" t="n">
        <f aca="false">ATAN2(Fz1_u,A565)</f>
        <v>1.54747581832775</v>
      </c>
      <c r="Q565" s="0" t="n">
        <f aca="false">SQRT(1+(A565/Fz2_u)^2)</f>
        <v>48648.7871653338</v>
      </c>
      <c r="R565" s="0" t="n">
        <f aca="false">ATAN2(Fz2_u,A565)</f>
        <v>1.57077577129787</v>
      </c>
      <c r="S565" s="0" t="n">
        <f aca="false">1/SQRT(1+(A565/Fp1_u)^2)</f>
        <v>0.00769028966223305</v>
      </c>
      <c r="T565" s="0" t="n">
        <f aca="false">-ATAN2(Fp1_u,A565)</f>
        <v>-1.56310596132931</v>
      </c>
      <c r="U565" s="0" t="n">
        <f aca="false">1/SQRT(1+(A565/Fp2_u)^2)</f>
        <v>0.205444714929356</v>
      </c>
      <c r="V565" s="0" t="n">
        <f aca="false">-ATAN2(Fp2_u,A565)</f>
        <v>-1.36387823315627</v>
      </c>
      <c r="X565" s="0" t="n">
        <f aca="false">20*LOG(C565*J565*O565*Q565*F565*M565*S565*U565)</f>
        <v>-24.3970627890838</v>
      </c>
      <c r="Y565" s="0" t="n">
        <f aca="false">(180/Pi)*(D565+H565+N565+P565+R565+T565+V565)</f>
        <v>-257.525020340652</v>
      </c>
      <c r="Z565" s="0" t="n">
        <f aca="false">Y565+180</f>
        <v>-77.5250203406518</v>
      </c>
      <c r="AC565" s="0" t="n">
        <v>1</v>
      </c>
      <c r="AD565" s="0" t="n">
        <f aca="false">Rcea1_u*Cc1ea_u*A565*2*Pi</f>
        <v>42.872937903432</v>
      </c>
      <c r="AE565" s="0" t="n">
        <f aca="false">-Rcea1_u*Cc1ea_u*Cc2ea_u*(A565*2*Pi)^2</f>
        <v>-0.0709139199255994</v>
      </c>
      <c r="AF565" s="0" t="n">
        <f aca="false">(Cc2ea_u+Cc1ea_u)*A565*2*Pi</f>
        <v>0.014886436772025</v>
      </c>
      <c r="AG565" s="0" t="n">
        <f aca="false">AC565*AE565/(AE565^2+AF565^2)+AD565*AF565/(AE565^2+AF565^2)</f>
        <v>108.051279084556</v>
      </c>
      <c r="AH565" s="0" t="n">
        <f aca="false">AD565*AE565/(AE565^2+AF565^2)-AC565*AF565/(AE565^2+AF565^2)</f>
        <v>-581.894773444997</v>
      </c>
      <c r="AJ565" s="0" t="n">
        <f aca="false">_Rfb1</f>
        <v>20000</v>
      </c>
      <c r="AK565" s="0" t="n">
        <f aca="false">_Rfb1*Rcea2_u*Cc3ea_u*A565*2*Pi</f>
        <v>2600605.36912176</v>
      </c>
      <c r="AL565" s="0" t="n">
        <v>1</v>
      </c>
      <c r="AM565" s="0" t="n">
        <f aca="false">(_Rfb1+Rcea2_u)*Cc3ea_u*A565*2*Pi</f>
        <v>48648.7871550561</v>
      </c>
      <c r="AN565" s="0" t="n">
        <f aca="false">AJ565*AL565/(AL565^2+AM565^2)+AK565*AM565/(AL565^2+AM565^2)</f>
        <v>53.4567443756425</v>
      </c>
      <c r="AO565" s="0" t="n">
        <f aca="false">AK565*AL565/(AL565^2+AM565^2)-AJ565*AM565/(AL565^2+AM565^2)</f>
        <v>-0.410011110699423</v>
      </c>
      <c r="AQ565" s="0" t="n">
        <f aca="false">Eadcg/(1+(Eadcg*A565/GBP)^2)</f>
        <v>0.00369645893504026</v>
      </c>
      <c r="AR565" s="0" t="n">
        <f aca="false">-(A565*Eadcg*Eadcg/GBP)/(1+(Eadcg*A565/GBP)^2)</f>
        <v>-3.41879942213471</v>
      </c>
      <c r="AT565" s="0" t="n">
        <f aca="false">-AR565*AH565+AG565*AQ565</f>
        <v>-1988.98210808095</v>
      </c>
      <c r="AU565" s="0" t="n">
        <f aca="false">AQ565*AH565+AG565*AR565</f>
        <v>-371.556600629749</v>
      </c>
      <c r="AV565" s="0" t="n">
        <f aca="false">ATAN2(AT565,AU565)</f>
        <v>-2.95691385333717</v>
      </c>
      <c r="AW565" s="0" t="n">
        <f aca="false">AG565-AH565*AO565/_Rfb2+AG565*AN565/_Rfb2+AN565-AO565*AR565+AQ565*AN565</f>
        <v>162.795747199657</v>
      </c>
      <c r="AX565" s="0" t="n">
        <f aca="false">AH565+AH565*AN565/_Rfb2+AG565*AO565/_Rfb2+AO565+AO565*AQ565+AN565*AR565</f>
        <v>-779.081912997715</v>
      </c>
      <c r="AY565" s="0" t="n">
        <f aca="false">ATAN2(AW565,AX565)</f>
        <v>-1.36480190113716</v>
      </c>
      <c r="BA565" s="0" t="n">
        <f aca="false">SQRT(AT565^2+AU565^2)/SQRT(AW565^2+AX565^2)</f>
        <v>2.54223705838748</v>
      </c>
      <c r="BB565" s="0" t="n">
        <f aca="false">20*LOG(BA565)</f>
        <v>8.10432090350485</v>
      </c>
      <c r="BC565" s="0" t="n">
        <f aca="false">AV565-AY565</f>
        <v>-1.59211195220001</v>
      </c>
      <c r="BD565" s="0" t="n">
        <f aca="false">BC565*180/Pi-180</f>
        <v>-271.221295477631</v>
      </c>
      <c r="BF565" s="0" t="n">
        <f aca="false">20*LOG(BA565*J565*F565*C565)</f>
        <v>-37.1765476219414</v>
      </c>
      <c r="BG565" s="0" t="n">
        <f aca="false">(180/Pi)*(D565+H565+BC565)</f>
        <v>-269.705130330789</v>
      </c>
      <c r="BH565" s="0" t="n">
        <f aca="false">IF(BG565&gt;180,BG565-180,BG565+180)</f>
        <v>-89.7051303307893</v>
      </c>
      <c r="BI565" s="0" t="n">
        <f aca="false">IF(BH565&gt;180,BH565-360,BH565)</f>
        <v>-89.7051303307893</v>
      </c>
      <c r="BJ565" s="0" t="n">
        <f aca="false">SUM((BF566&lt;0)*(BF565&gt;0))*A565</f>
        <v>0</v>
      </c>
      <c r="BK565" s="0" t="n">
        <f aca="false">IF(BJ565&gt;0,BI565,0)</f>
        <v>0</v>
      </c>
      <c r="BM565" s="0" t="n">
        <f aca="false">20*LOG(J565*F565*C565)</f>
        <v>-45.2808685254462</v>
      </c>
      <c r="BN565" s="0" t="n">
        <f aca="false">(H565+D565)*180/Pi</f>
        <v>-178.483834853159</v>
      </c>
      <c r="BQ565" s="347" t="n">
        <f aca="false">20*LOG(BA565*7)</f>
        <v>25.00628170379</v>
      </c>
    </row>
    <row r="566" customFormat="false" ht="12.75" hidden="false" customHeight="false" outlineLevel="0" collapsed="false">
      <c r="A566" s="0" t="n">
        <f aca="false">A565+5000</f>
        <v>1760000</v>
      </c>
      <c r="B566" s="0" t="n">
        <f aca="false">A566/1000</f>
        <v>1760</v>
      </c>
      <c r="C566" s="0" t="n">
        <f aca="false">SQRT((A566/Fesr)^2+1)</f>
        <v>1.00006114230386</v>
      </c>
      <c r="D566" s="0" t="n">
        <f aca="false">ATAN(A566/Fesr)</f>
        <v>0.011057955389673</v>
      </c>
      <c r="F566" s="0" t="n">
        <f aca="false">(Ro/(Ro+Rdcr))/SQRT((A566/(Q*Fo))^2+(1-(A566^2/Fo^2))^2)</f>
        <v>0.000601471923853628</v>
      </c>
      <c r="G566" s="0" t="n">
        <f aca="false">-ATAN(A566*Fo/(Q*(Fo^2-A566^2)))</f>
        <v>0.0153916332604686</v>
      </c>
      <c r="H566" s="0" t="n">
        <f aca="false">IF(G566&gt;0,G566-Pi,G566)</f>
        <v>-3.12620101673953</v>
      </c>
      <c r="J566" s="0" t="n">
        <f aca="false">Vin/Vramp</f>
        <v>9</v>
      </c>
      <c r="M566" s="0" t="n">
        <f aca="false">1/(2*Pi*_Rfb1*(Cc1ea_u+Cc2ea_u)*A566)</f>
        <v>0.0033492201867373</v>
      </c>
      <c r="N566" s="0" t="n">
        <f aca="false">-Pi/2</f>
        <v>-1.570796325</v>
      </c>
      <c r="O566" s="0" t="n">
        <f aca="false">SQRT(1+(A566/Fz1_u)^2)</f>
        <v>43.0067106901207</v>
      </c>
      <c r="P566" s="0" t="n">
        <f aca="false">ATAN2(Fz1_u,A566)</f>
        <v>1.54754204585668</v>
      </c>
      <c r="Q566" s="0" t="n">
        <f aca="false">SQRT(1+(A566/Fz2_u)^2)</f>
        <v>48787.3876985099</v>
      </c>
      <c r="R566" s="0" t="n">
        <f aca="false">ATAN2(Fz2_u,A566)</f>
        <v>1.57077582969417</v>
      </c>
      <c r="S566" s="0" t="n">
        <f aca="false">1/SQRT(1+(A566/Fp1_u)^2)</f>
        <v>0.00766844353498763</v>
      </c>
      <c r="T566" s="0" t="n">
        <f aca="false">-ATAN2(Fp1_u,A566)</f>
        <v>-1.56312780810075</v>
      </c>
      <c r="U566" s="0" t="n">
        <f aca="false">1/SQRT(1+(A566/Fp2_u)^2)</f>
        <v>0.204885599115982</v>
      </c>
      <c r="V566" s="0" t="n">
        <f aca="false">-ATAN2(Fp2_u,A566)</f>
        <v>-1.3644495013572</v>
      </c>
      <c r="X566" s="0" t="n">
        <f aca="false">20*LOG(C566*J566*O566*Q566*F566*M566*S566*U566)</f>
        <v>-24.4701885526738</v>
      </c>
      <c r="Y566" s="0" t="n">
        <f aca="false">(180/Pi)*(D566+H566+N566+P566+R566+T566+V566)</f>
        <v>-257.555920767211</v>
      </c>
      <c r="Z566" s="0" t="n">
        <f aca="false">Y566+180</f>
        <v>-77.5559207672112</v>
      </c>
      <c r="AC566" s="0" t="n">
        <v>1</v>
      </c>
      <c r="AD566" s="0" t="n">
        <f aca="false">Rcea1_u*Cc1ea_u*A566*2*Pi</f>
        <v>42.995083025664</v>
      </c>
      <c r="AE566" s="0" t="n">
        <f aca="false">-Rcea1_u*Cc1ea_u*Cc2ea_u*(A566*2*Pi)^2</f>
        <v>-0.0713185634407307</v>
      </c>
      <c r="AF566" s="0" t="n">
        <f aca="false">(Cc2ea_u+Cc1ea_u)*A566*2*Pi</f>
        <v>0.0149288482728</v>
      </c>
      <c r="AG566" s="0" t="n">
        <f aca="false">AC566*AE566/(AE566^2+AF566^2)+AD566*AF566/(AE566^2+AF566^2)</f>
        <v>107.463958336295</v>
      </c>
      <c r="AH566" s="0" t="n">
        <f aca="false">AD566*AE566/(AE566^2+AF566^2)-AC566*AF566/(AE566^2+AF566^2)</f>
        <v>-580.3646049498</v>
      </c>
      <c r="AJ566" s="0" t="n">
        <f aca="false">_Rfb1</f>
        <v>20000</v>
      </c>
      <c r="AK566" s="0" t="n">
        <f aca="false">_Rfb1*Rcea2_u*Cc3ea_u*A566*2*Pi</f>
        <v>2608014.50122752</v>
      </c>
      <c r="AL566" s="0" t="n">
        <v>1</v>
      </c>
      <c r="AM566" s="0" t="n">
        <f aca="false">(_Rfb1+Rcea2_u)*Cc3ea_u*A566*2*Pi</f>
        <v>48787.3876882614</v>
      </c>
      <c r="AN566" s="0" t="n">
        <f aca="false">AJ566*AL566/(AL566^2+AM566^2)+AK566*AM566/(AL566^2+AM566^2)</f>
        <v>53.4567443278242</v>
      </c>
      <c r="AO566" s="0" t="n">
        <f aca="false">AK566*AL566/(AL566^2+AM566^2)-AJ566*AM566/(AL566^2+AM566^2)</f>
        <v>-0.408846306408643</v>
      </c>
      <c r="AQ566" s="0" t="n">
        <f aca="false">Eadcg/(1+(Eadcg*A566/GBP)^2)</f>
        <v>0.00367548618508282</v>
      </c>
      <c r="AR566" s="0" t="n">
        <f aca="false">-(A566*Eadcg*Eadcg/GBP)/(1+(Eadcg*A566/GBP)^2)</f>
        <v>-3.40908694638802</v>
      </c>
      <c r="AT566" s="0" t="n">
        <f aca="false">-AR566*AH566+AG566*AQ566</f>
        <v>-1978.11841658574</v>
      </c>
      <c r="AU566" s="0" t="n">
        <f aca="false">AQ566*AH566+AG566*AR566</f>
        <v>-368.487099659252</v>
      </c>
      <c r="AV566" s="0" t="n">
        <f aca="false">ATAN2(AT566,AU566)</f>
        <v>-2.95742196564054</v>
      </c>
      <c r="AW566" s="0" t="n">
        <f aca="false">AG566-AH566*AO566/_Rfb2+AG566*AN566/_Rfb2+AN566-AO566*AR566+AQ566*AN566</f>
        <v>162.2017166222</v>
      </c>
      <c r="AX566" s="0" t="n">
        <f aca="false">AH566+AH566*AN566/_Rfb2+AG566*AO566/_Rfb2+AO566+AO566*AQ566+AN566*AR566</f>
        <v>-776.994395595318</v>
      </c>
      <c r="AY566" s="0" t="n">
        <f aca="false">ATAN2(AW566,AX566)</f>
        <v>-1.36499653494052</v>
      </c>
      <c r="BA566" s="0" t="n">
        <f aca="false">SQRT(AT566^2+AU566^2)/SQRT(AW566^2+AX566^2)</f>
        <v>2.53500710120422</v>
      </c>
      <c r="BB566" s="0" t="n">
        <f aca="false">20*LOG(BA566)</f>
        <v>8.07958360482291</v>
      </c>
      <c r="BC566" s="0" t="n">
        <f aca="false">AV566-AY566</f>
        <v>-1.59242543070002</v>
      </c>
      <c r="BD566" s="0" t="n">
        <f aca="false">BC566*180/Pi-180</f>
        <v>-271.239256472669</v>
      </c>
      <c r="BF566" s="0" t="n">
        <f aca="false">20*LOG(BA566*J566*F566*C566)</f>
        <v>-37.2507279535395</v>
      </c>
      <c r="BG566" s="0" t="n">
        <f aca="false">(180/Pi)*(D566+H566+BC566)</f>
        <v>-269.723806671428</v>
      </c>
      <c r="BH566" s="0" t="n">
        <f aca="false">IF(BG566&gt;180,BG566-180,BG566+180)</f>
        <v>-89.7238066714275</v>
      </c>
      <c r="BI566" s="0" t="n">
        <f aca="false">IF(BH566&gt;180,BH566-360,BH566)</f>
        <v>-89.7238066714275</v>
      </c>
      <c r="BJ566" s="0" t="n">
        <f aca="false">SUM((BF567&lt;0)*(BF566&gt;0))*A566</f>
        <v>0</v>
      </c>
      <c r="BK566" s="0" t="n">
        <f aca="false">IF(BJ566&gt;0,BI566,0)</f>
        <v>0</v>
      </c>
      <c r="BM566" s="0" t="n">
        <f aca="false">20*LOG(J566*F566*C566)</f>
        <v>-45.3303115583625</v>
      </c>
      <c r="BN566" s="0" t="n">
        <f aca="false">(H566+D566)*180/Pi</f>
        <v>-178.484550198758</v>
      </c>
      <c r="BQ566" s="347" t="n">
        <f aca="false">20*LOG(BA566*7)</f>
        <v>24.981544405108</v>
      </c>
    </row>
    <row r="567" customFormat="false" ht="12.75" hidden="false" customHeight="false" outlineLevel="0" collapsed="false">
      <c r="A567" s="0" t="n">
        <f aca="false">A566+5000</f>
        <v>1765000</v>
      </c>
      <c r="B567" s="0" t="n">
        <f aca="false">A567/1000</f>
        <v>1765</v>
      </c>
      <c r="C567" s="0" t="n">
        <f aca="false">SQRT((A567/Fesr)^2+1)</f>
        <v>1.00006149018608</v>
      </c>
      <c r="D567" s="0" t="n">
        <f aca="false">ATAN(A567/Fesr)</f>
        <v>0.0110893674639192</v>
      </c>
      <c r="F567" s="0" t="n">
        <f aca="false">(Ro/(Ro+Rdcr))/SQRT((A567/(Q*Fo))^2+(1-(A567^2/Fo^2))^2)</f>
        <v>0.000598067328003101</v>
      </c>
      <c r="G567" s="0" t="n">
        <f aca="false">-ATAN(A567*Fo/(Q*(Fo^2-A567^2)))</f>
        <v>0.0153479851299325</v>
      </c>
      <c r="H567" s="0" t="n">
        <f aca="false">IF(G567&gt;0,G567-Pi,G567)</f>
        <v>-3.12624466487007</v>
      </c>
      <c r="J567" s="0" t="n">
        <f aca="false">Vin/Vramp</f>
        <v>9</v>
      </c>
      <c r="M567" s="0" t="n">
        <f aca="false">1/(2*Pi*_Rfb1*(Cc1ea_u+Cc2ea_u)*A567)</f>
        <v>0.00333973231085419</v>
      </c>
      <c r="N567" s="0" t="n">
        <f aca="false">-Pi/2</f>
        <v>-1.570796325</v>
      </c>
      <c r="O567" s="0" t="n">
        <f aca="false">SQRT(1+(A567/Fz1_u)^2)</f>
        <v>43.1288228816613</v>
      </c>
      <c r="P567" s="0" t="n">
        <f aca="false">ATAN2(Fz1_u,A567)</f>
        <v>1.54760789836112</v>
      </c>
      <c r="Q567" s="0" t="n">
        <f aca="false">SQRT(1+(A567/Fz2_u)^2)</f>
        <v>48925.9882316862</v>
      </c>
      <c r="R567" s="0" t="n">
        <f aca="false">ATAN2(Fz2_u,A567)</f>
        <v>1.57077588775961</v>
      </c>
      <c r="S567" s="0" t="n">
        <f aca="false">1/SQRT(1+(A567/Fp1_u)^2)</f>
        <v>0.00764672117094732</v>
      </c>
      <c r="T567" s="0" t="n">
        <f aca="false">-ATAN2(Fp1_u,A567)</f>
        <v>-1.5631495311017</v>
      </c>
      <c r="U567" s="0" t="n">
        <f aca="false">1/SQRT(1+(A567/Fp2_u)^2)</f>
        <v>0.2043294521591</v>
      </c>
      <c r="V567" s="0" t="n">
        <f aca="false">-ATAN2(Fp2_u,A567)</f>
        <v>-1.3650176684113</v>
      </c>
      <c r="X567" s="0" t="n">
        <f aca="false">20*LOG(C567*J567*O567*Q567*F567*M567*S567*U567)</f>
        <v>-24.5431122763931</v>
      </c>
      <c r="Y567" s="0" t="n">
        <f aca="false">(180/Pi)*(D567+H567+N567+P567+R567+T567+V567)</f>
        <v>-257.586643654682</v>
      </c>
      <c r="Z567" s="0" t="n">
        <f aca="false">Y567+180</f>
        <v>-77.5866436546816</v>
      </c>
      <c r="AC567" s="0" t="n">
        <v>1</v>
      </c>
      <c r="AD567" s="0" t="n">
        <f aca="false">Rcea1_u*Cc1ea_u*A567*2*Pi</f>
        <v>43.117228147896</v>
      </c>
      <c r="AE567" s="0" t="n">
        <f aca="false">-Rcea1_u*Cc1ea_u*Cc2ea_u*(A567*2*Pi)^2</f>
        <v>-0.0717243581465168</v>
      </c>
      <c r="AF567" s="0" t="n">
        <f aca="false">(Cc2ea_u+Cc1ea_u)*A567*2*Pi</f>
        <v>0.014971259773575</v>
      </c>
      <c r="AG567" s="0" t="n">
        <f aca="false">AC567*AE567/(AE567^2+AF567^2)+AD567*AF567/(AE567^2+AF567^2)</f>
        <v>106.881344050274</v>
      </c>
      <c r="AH567" s="0" t="n">
        <f aca="false">AD567*AE567/(AE567^2+AF567^2)-AC567*AF567/(AE567^2+AF567^2)</f>
        <v>-578.84212356924</v>
      </c>
      <c r="AJ567" s="0" t="n">
        <f aca="false">_Rfb1</f>
        <v>20000</v>
      </c>
      <c r="AK567" s="0" t="n">
        <f aca="false">_Rfb1*Rcea2_u*Cc3ea_u*A567*2*Pi</f>
        <v>2615423.63333328</v>
      </c>
      <c r="AL567" s="0" t="n">
        <v>1</v>
      </c>
      <c r="AM567" s="0" t="n">
        <f aca="false">(_Rfb1+Rcea2_u)*Cc3ea_u*A567*2*Pi</f>
        <v>48925.9882214667</v>
      </c>
      <c r="AN567" s="0" t="n">
        <f aca="false">AJ567*AL567/(AL567^2+AM567^2)+AK567*AM567/(AL567^2+AM567^2)</f>
        <v>53.4567442804118</v>
      </c>
      <c r="AO567" s="0" t="n">
        <f aca="false">AK567*AL567/(AL567^2+AM567^2)-AJ567*AM567/(AL567^2+AM567^2)</f>
        <v>-0.407688101575593</v>
      </c>
      <c r="AQ567" s="0" t="n">
        <f aca="false">Eadcg/(1+(Eadcg*A567/GBP)^2)</f>
        <v>0.00365469142093648</v>
      </c>
      <c r="AR567" s="0" t="n">
        <f aca="false">-(A567*Eadcg*Eadcg/GBP)/(1+(Eadcg*A567/GBP)^2)</f>
        <v>-3.39942949864117</v>
      </c>
      <c r="AT567" s="0" t="n">
        <f aca="false">-AR567*AH567+AG567*AQ567</f>
        <v>-1967.34237158622</v>
      </c>
      <c r="AU567" s="0" t="n">
        <f aca="false">AQ567*AH567+AG567*AR567</f>
        <v>-365.451083162001</v>
      </c>
      <c r="AV567" s="0" t="n">
        <f aca="false">ATAN2(AT567,AU567)</f>
        <v>-2.95792733441858</v>
      </c>
      <c r="AW567" s="0" t="n">
        <f aca="false">AG567-AH567*AO567/_Rfb2+AG567*AN567/_Rfb2+AN567-AO567*AR567+AQ567*AN567</f>
        <v>161.612443010505</v>
      </c>
      <c r="AX567" s="0" t="n">
        <f aca="false">AH567+AH567*AN567/_Rfb2+AG567*AO567/_Rfb2+AO567+AO567*AQ567+AN567*AR567</f>
        <v>-774.917700386952</v>
      </c>
      <c r="AY567" s="0" t="n">
        <f aca="false">ATAN2(AW567,AX567)</f>
        <v>-1.36518914167477</v>
      </c>
      <c r="BA567" s="0" t="n">
        <f aca="false">SQRT(AT567^2+AU567^2)/SQRT(AW567^2+AX567^2)</f>
        <v>2.52781781896795</v>
      </c>
      <c r="BB567" s="0" t="n">
        <f aca="false">20*LOG(BA567)</f>
        <v>8.0549154185679</v>
      </c>
      <c r="BC567" s="0" t="n">
        <f aca="false">AV567-AY567</f>
        <v>-1.59273819274381</v>
      </c>
      <c r="BD567" s="0" t="n">
        <f aca="false">BC567*180/Pi-180</f>
        <v>-271.257176417791</v>
      </c>
      <c r="BF567" s="0" t="n">
        <f aca="false">20*LOG(BA567*J567*F567*C567)</f>
        <v>-37.3246987549264</v>
      </c>
      <c r="BG567" s="0" t="n">
        <f aca="false">(180/Pi)*(D567+H567+BC567)</f>
        <v>-269.742427690933</v>
      </c>
      <c r="BH567" s="0" t="n">
        <f aca="false">IF(BG567&gt;180,BG567-180,BG567+180)</f>
        <v>-89.7424276909331</v>
      </c>
      <c r="BI567" s="0" t="n">
        <f aca="false">IF(BH567&gt;180,BH567-360,BH567)</f>
        <v>-89.7424276909331</v>
      </c>
      <c r="BJ567" s="0" t="n">
        <f aca="false">SUM((BF568&lt;0)*(BF567&gt;0))*A567</f>
        <v>0</v>
      </c>
      <c r="BK567" s="0" t="n">
        <f aca="false">IF(BJ567&gt;0,BI567,0)</f>
        <v>0</v>
      </c>
      <c r="BM567" s="0" t="n">
        <f aca="false">20*LOG(J567*F567*C567)</f>
        <v>-45.3796141734943</v>
      </c>
      <c r="BN567" s="0" t="n">
        <f aca="false">(H567+D567)*180/Pi</f>
        <v>-178.485251273142</v>
      </c>
      <c r="BQ567" s="347" t="n">
        <f aca="false">20*LOG(BA567*7)</f>
        <v>24.956876218853</v>
      </c>
    </row>
    <row r="568" customFormat="false" ht="12.75" hidden="false" customHeight="false" outlineLevel="0" collapsed="false">
      <c r="A568" s="0" t="n">
        <f aca="false">A567+5000</f>
        <v>1770000</v>
      </c>
      <c r="B568" s="0" t="n">
        <f aca="false">A568/1000</f>
        <v>1770</v>
      </c>
      <c r="C568" s="0" t="n">
        <f aca="false">SQRT((A568/Fesr)^2+1)</f>
        <v>1.00006183905508</v>
      </c>
      <c r="D568" s="0" t="n">
        <f aca="false">ATAN(A568/Fesr)</f>
        <v>0.0111207795162803</v>
      </c>
      <c r="F568" s="0" t="n">
        <f aca="false">(Ro/(Ro+Rdcr))/SQRT((A568/(Q*Fo))^2+(1-(A568^2/Fo^2))^2)</f>
        <v>0.000594691562431424</v>
      </c>
      <c r="G568" s="0" t="n">
        <f aca="false">-ATAN(A568*Fo/(Q*(Fo^2-A568^2)))</f>
        <v>0.0153045839854705</v>
      </c>
      <c r="H568" s="0" t="n">
        <f aca="false">IF(G568&gt;0,G568-Pi,G568)</f>
        <v>-3.12628806601453</v>
      </c>
      <c r="J568" s="0" t="n">
        <f aca="false">Vin/Vramp</f>
        <v>9</v>
      </c>
      <c r="M568" s="0" t="n">
        <f aca="false">1/(2*Pi*_Rfb1*(Cc1ea_u+Cc2ea_u)*A568)</f>
        <v>0.00333029803878963</v>
      </c>
      <c r="N568" s="0" t="n">
        <f aca="false">-Pi/2</f>
        <v>-1.570796325</v>
      </c>
      <c r="O568" s="0" t="n">
        <f aca="false">SQRT(1+(A568/Fz1_u)^2)</f>
        <v>43.2509352591763</v>
      </c>
      <c r="P568" s="0" t="n">
        <f aca="false">ATAN2(Fz1_u,A568)</f>
        <v>1.54767337901697</v>
      </c>
      <c r="Q568" s="0" t="n">
        <f aca="false">SQRT(1+(A568/Fz2_u)^2)</f>
        <v>49064.5887648626</v>
      </c>
      <c r="R568" s="0" t="n">
        <f aca="false">ATAN2(Fz2_u,A568)</f>
        <v>1.57077594549699</v>
      </c>
      <c r="S568" s="0" t="n">
        <f aca="false">1/SQRT(1+(A568/Fp1_u)^2)</f>
        <v>0.00762512152139387</v>
      </c>
      <c r="T568" s="0" t="n">
        <f aca="false">-ATAN2(Fp1_u,A568)</f>
        <v>-1.56317113138099</v>
      </c>
      <c r="U568" s="0" t="n">
        <f aca="false">1/SQRT(1+(A568/Fp2_u)^2)</f>
        <v>0.203776251020774</v>
      </c>
      <c r="V568" s="0" t="n">
        <f aca="false">-ATAN2(Fp2_u,A568)</f>
        <v>-1.36558275913838</v>
      </c>
      <c r="X568" s="0" t="n">
        <f aca="false">20*LOG(C568*J568*O568*Q568*F568*M568*S568*U568)</f>
        <v>-24.6158350600664</v>
      </c>
      <c r="Y568" s="0" t="n">
        <f aca="false">(180/Pi)*(D568+H568+N568+P568+R568+T568+V568)</f>
        <v>-257.617190424309</v>
      </c>
      <c r="Z568" s="0" t="n">
        <f aca="false">Y568+180</f>
        <v>-77.6171904243088</v>
      </c>
      <c r="AC568" s="0" t="n">
        <v>1</v>
      </c>
      <c r="AD568" s="0" t="n">
        <f aca="false">Rcea1_u*Cc1ea_u*A568*2*Pi</f>
        <v>43.239373270128</v>
      </c>
      <c r="AE568" s="0" t="n">
        <f aca="false">-Rcea1_u*Cc1ea_u*Cc2ea_u*(A568*2*Pi)^2</f>
        <v>-0.0721313040429576</v>
      </c>
      <c r="AF568" s="0" t="n">
        <f aca="false">(Cc2ea_u+Cc1ea_u)*A568*2*Pi</f>
        <v>0.01501367127435</v>
      </c>
      <c r="AG568" s="0" t="n">
        <f aca="false">AC568*AE568/(AE568^2+AF568^2)+AD568*AF568/(AE568^2+AF568^2)</f>
        <v>106.303386829009</v>
      </c>
      <c r="AH568" s="0" t="n">
        <f aca="false">AD568*AE568/(AE568^2+AF568^2)-AC568*AF568/(AE568^2+AF568^2)</f>
        <v>-577.327274440049</v>
      </c>
      <c r="AJ568" s="0" t="n">
        <f aca="false">_Rfb1</f>
        <v>20000</v>
      </c>
      <c r="AK568" s="0" t="n">
        <f aca="false">_Rfb1*Rcea2_u*Cc3ea_u*A568*2*Pi</f>
        <v>2622832.76543904</v>
      </c>
      <c r="AL568" s="0" t="n">
        <v>1</v>
      </c>
      <c r="AM568" s="0" t="n">
        <f aca="false">(_Rfb1+Rcea2_u)*Cc3ea_u*A568*2*Pi</f>
        <v>49064.5887546719</v>
      </c>
      <c r="AN568" s="0" t="n">
        <f aca="false">AJ568*AL568/(AL568^2+AM568^2)+AK568*AM568/(AL568^2+AM568^2)</f>
        <v>53.4567442334006</v>
      </c>
      <c r="AO568" s="0" t="n">
        <f aca="false">AK568*AL568/(AL568^2+AM568^2)-AJ568*AM568/(AL568^2+AM568^2)</f>
        <v>-0.406536440272666</v>
      </c>
      <c r="AQ568" s="0" t="n">
        <f aca="false">Eadcg/(1+(Eadcg*A568/GBP)^2)</f>
        <v>0.00363407263430927</v>
      </c>
      <c r="AR568" s="0" t="n">
        <f aca="false">-(A568*Eadcg*Eadcg/GBP)/(1+(Eadcg*A568/GBP)^2)</f>
        <v>-3.38982661255734</v>
      </c>
      <c r="AT568" s="0" t="n">
        <f aca="false">-AR568*AH568+AG568*AQ568</f>
        <v>-1956.65304482307</v>
      </c>
      <c r="AU568" s="0" t="n">
        <f aca="false">AQ568*AH568+AG568*AR568</f>
        <v>-362.448098927034</v>
      </c>
      <c r="AV568" s="0" t="n">
        <f aca="false">ATAN2(AT568,AU568)</f>
        <v>-2.95842998146268</v>
      </c>
      <c r="AW568" s="0" t="n">
        <f aca="false">AG568-AH568*AO568/_Rfb2+AG568*AN568/_Rfb2+AN568-AO568*AR568+AQ568*AN568</f>
        <v>161.027876483164</v>
      </c>
      <c r="AX568" s="0" t="n">
        <f aca="false">AH568+AH568*AN568/_Rfb2+AG568*AO568/_Rfb2+AO568+AO568*AQ568+AN568*AR568</f>
        <v>-772.851746178457</v>
      </c>
      <c r="AY568" s="0" t="n">
        <f aca="false">ATAN2(AW568,AX568)</f>
        <v>-1.36537973715145</v>
      </c>
      <c r="BA568" s="0" t="n">
        <f aca="false">SQRT(AT568^2+AU568^2)/SQRT(AW568^2+AX568^2)</f>
        <v>2.52066886922506</v>
      </c>
      <c r="BB568" s="0" t="n">
        <f aca="false">20*LOG(BA568)</f>
        <v>8.03031595586365</v>
      </c>
      <c r="BC568" s="0" t="n">
        <f aca="false">AV568-AY568</f>
        <v>-1.59305024431123</v>
      </c>
      <c r="BD568" s="0" t="n">
        <f aca="false">BC568*180/Pi-180</f>
        <v>-271.275055655615</v>
      </c>
      <c r="BF568" s="0" t="n">
        <f aca="false">20*LOG(BA568*J568*F568*C568)</f>
        <v>-37.3984612105285</v>
      </c>
      <c r="BG568" s="0" t="n">
        <f aca="false">(180/Pi)*(D568+H568+BC568)</f>
        <v>-269.760993853136</v>
      </c>
      <c r="BH568" s="0" t="n">
        <f aca="false">IF(BG568&gt;180,BG568-180,BG568+180)</f>
        <v>-89.7609938531355</v>
      </c>
      <c r="BI568" s="0" t="n">
        <f aca="false">IF(BH568&gt;180,BH568-360,BH568)</f>
        <v>-89.7609938531355</v>
      </c>
      <c r="BJ568" s="0" t="n">
        <f aca="false">SUM((BF569&lt;0)*(BF568&gt;0))*A568</f>
        <v>0</v>
      </c>
      <c r="BK568" s="0" t="n">
        <f aca="false">IF(BJ568&gt;0,BI568,0)</f>
        <v>0</v>
      </c>
      <c r="BM568" s="0" t="n">
        <f aca="false">20*LOG(J568*F568*C568)</f>
        <v>-45.4287771663921</v>
      </c>
      <c r="BN568" s="0" t="n">
        <f aca="false">(H568+D568)*180/Pi</f>
        <v>-178.485938197521</v>
      </c>
      <c r="BQ568" s="347" t="n">
        <f aca="false">20*LOG(BA568*7)</f>
        <v>24.9322767561488</v>
      </c>
    </row>
    <row r="569" customFormat="false" ht="12.75" hidden="false" customHeight="false" outlineLevel="0" collapsed="false">
      <c r="A569" s="0" t="n">
        <f aca="false">A568+5000</f>
        <v>1775000</v>
      </c>
      <c r="B569" s="0" t="n">
        <f aca="false">A569/1000</f>
        <v>1775</v>
      </c>
      <c r="C569" s="0" t="n">
        <f aca="false">SQRT((A569/Fesr)^2+1)</f>
        <v>1.00006218891086</v>
      </c>
      <c r="D569" s="0" t="n">
        <f aca="false">ATAN(A569/Fesr)</f>
        <v>0.0111521915466944</v>
      </c>
      <c r="F569" s="0" t="n">
        <f aca="false">(Ro/(Ro+Rdcr))/SQRT((A569/(Q*Fo))^2+(1-(A569^2/Fo^2))^2)</f>
        <v>0.000591344302488537</v>
      </c>
      <c r="G569" s="0" t="n">
        <f aca="false">-ATAN(A569*Fo/(Q*(Fo^2-A569^2)))</f>
        <v>0.0152614277355371</v>
      </c>
      <c r="H569" s="0" t="n">
        <f aca="false">IF(G569&gt;0,G569-Pi,G569)</f>
        <v>-3.12633122226446</v>
      </c>
      <c r="J569" s="0" t="n">
        <f aca="false">Vin/Vramp</f>
        <v>9</v>
      </c>
      <c r="M569" s="0" t="n">
        <f aca="false">1/(2*Pi*_Rfb1*(Cc1ea_u+Cc2ea_u)*A569)</f>
        <v>0.0033209169175536</v>
      </c>
      <c r="N569" s="0" t="n">
        <f aca="false">-Pi/2</f>
        <v>-1.570796325</v>
      </c>
      <c r="O569" s="0" t="n">
        <f aca="false">SQRT(1+(A569/Fz1_u)^2)</f>
        <v>43.3730478210948</v>
      </c>
      <c r="P569" s="0" t="n">
        <f aca="false">ATAN2(Fz1_u,A569)</f>
        <v>1.54773849096436</v>
      </c>
      <c r="Q569" s="0" t="n">
        <f aca="false">SQRT(1+(A569/Fz2_u)^2)</f>
        <v>49203.1892980392</v>
      </c>
      <c r="R569" s="0" t="n">
        <f aca="false">ATAN2(Fz2_u,A569)</f>
        <v>1.5707760029091</v>
      </c>
      <c r="S569" s="0" t="n">
        <f aca="false">1/SQRT(1+(A569/Fp1_u)^2)</f>
        <v>0.00760364354942388</v>
      </c>
      <c r="T569" s="0" t="n">
        <f aca="false">-ATAN2(Fp1_u,A569)</f>
        <v>-1.56319260997562</v>
      </c>
      <c r="U569" s="0" t="n">
        <f aca="false">1/SQRT(1+(A569/Fp2_u)^2)</f>
        <v>0.203225972894749</v>
      </c>
      <c r="V569" s="0" t="n">
        <f aca="false">-ATAN2(Fp2_u,A569)</f>
        <v>-1.36614479809803</v>
      </c>
      <c r="X569" s="0" t="n">
        <f aca="false">20*LOG(C569*J569*O569*Q569*F569*M569*S569*U569)</f>
        <v>-24.6883579946611</v>
      </c>
      <c r="Y569" s="0" t="n">
        <f aca="false">(180/Pi)*(D569+H569+N569+P569+R569+T569+V569)</f>
        <v>-257.647562482435</v>
      </c>
      <c r="Z569" s="0" t="n">
        <f aca="false">Y569+180</f>
        <v>-77.6475624824349</v>
      </c>
      <c r="AC569" s="0" t="n">
        <v>1</v>
      </c>
      <c r="AD569" s="0" t="n">
        <f aca="false">Rcea1_u*Cc1ea_u*A569*2*Pi</f>
        <v>43.36151839236</v>
      </c>
      <c r="AE569" s="0" t="n">
        <f aca="false">-Rcea1_u*Cc1ea_u*Cc2ea_u*(A569*2*Pi)^2</f>
        <v>-0.072539401130053</v>
      </c>
      <c r="AF569" s="0" t="n">
        <f aca="false">(Cc2ea_u+Cc1ea_u)*A569*2*Pi</f>
        <v>0.015056082775125</v>
      </c>
      <c r="AG569" s="0" t="n">
        <f aca="false">AC569*AE569/(AE569^2+AF569^2)+AD569*AF569/(AE569^2+AF569^2)</f>
        <v>105.730037911084</v>
      </c>
      <c r="AH569" s="0" t="n">
        <f aca="false">AD569*AE569/(AE569^2+AF569^2)-AC569*AF569/(AE569^2+AF569^2)</f>
        <v>-575.820003185117</v>
      </c>
      <c r="AJ569" s="0" t="n">
        <f aca="false">_Rfb1</f>
        <v>20000</v>
      </c>
      <c r="AK569" s="0" t="n">
        <f aca="false">_Rfb1*Rcea2_u*Cc3ea_u*A569*2*Pi</f>
        <v>2630241.8975448</v>
      </c>
      <c r="AL569" s="0" t="n">
        <v>1</v>
      </c>
      <c r="AM569" s="0" t="n">
        <f aca="false">(_Rfb1+Rcea2_u)*Cc3ea_u*A569*2*Pi</f>
        <v>49203.1892878772</v>
      </c>
      <c r="AN569" s="0" t="n">
        <f aca="false">AJ569*AL569/(AL569^2+AM569^2)+AK569*AM569/(AL569^2+AM569^2)</f>
        <v>53.4567441867861</v>
      </c>
      <c r="AO569" s="0" t="n">
        <f aca="false">AK569*AL569/(AL569^2+AM569^2)-AJ569*AM569/(AL569^2+AM569^2)</f>
        <v>-0.405391267202422</v>
      </c>
      <c r="AQ569" s="0" t="n">
        <f aca="false">Eadcg/(1+(Eadcg*A569/GBP)^2)</f>
        <v>0.00361362784515507</v>
      </c>
      <c r="AR569" s="0" t="n">
        <f aca="false">-(A569*Eadcg*Eadcg/GBP)/(1+(Eadcg*A569/GBP)^2)</f>
        <v>-3.38027782705418</v>
      </c>
      <c r="AT569" s="0" t="n">
        <f aca="false">-AR569*AH569+AG569*AQ569</f>
        <v>-1946.04952013185</v>
      </c>
      <c r="AU569" s="0" t="n">
        <f aca="false">AQ569*AH569+AG569*AR569</f>
        <v>-359.477702001743</v>
      </c>
      <c r="AV569" s="0" t="n">
        <f aca="false">ATAN2(AT569,AU569)</f>
        <v>-2.95892992833813</v>
      </c>
      <c r="AW569" s="0" t="n">
        <f aca="false">AG569-AH569*AO569/_Rfb2+AG569*AN569/_Rfb2+AN569-AO569*AR569+AQ569*AN569</f>
        <v>160.447967800285</v>
      </c>
      <c r="AX569" s="0" t="n">
        <f aca="false">AH569+AH569*AN569/_Rfb2+AG569*AO569/_Rfb2+AO569+AO569*AQ569+AN569*AR569</f>
        <v>-770.796452555469</v>
      </c>
      <c r="AY569" s="0" t="n">
        <f aca="false">ATAN2(AW569,AX569)</f>
        <v>-1.36556833702297</v>
      </c>
      <c r="BA569" s="0" t="n">
        <f aca="false">SQRT(AT569^2+AU569^2)/SQRT(AW569^2+AX569^2)</f>
        <v>2.5135599133494</v>
      </c>
      <c r="BB569" s="0" t="n">
        <f aca="false">20*LOG(BA569)</f>
        <v>8.00578483108236</v>
      </c>
      <c r="BC569" s="0" t="n">
        <f aca="false">AV569-AY569</f>
        <v>-1.59336159131516</v>
      </c>
      <c r="BD569" s="0" t="n">
        <f aca="false">BC569*180/Pi-180</f>
        <v>-271.292894524925</v>
      </c>
      <c r="BF569" s="0" t="n">
        <f aca="false">20*LOG(BA569*J569*F569*C569)</f>
        <v>-37.4720164947785</v>
      </c>
      <c r="BG569" s="0" t="n">
        <f aca="false">(180/Pi)*(D569+H569+BC569)</f>
        <v>-269.779505616658</v>
      </c>
      <c r="BH569" s="0" t="n">
        <f aca="false">IF(BG569&gt;180,BG569-180,BG569+180)</f>
        <v>-89.779505616658</v>
      </c>
      <c r="BI569" s="0" t="n">
        <f aca="false">IF(BH569&gt;180,BH569-360,BH569)</f>
        <v>-89.779505616658</v>
      </c>
      <c r="BJ569" s="0" t="n">
        <f aca="false">SUM((BF570&lt;0)*(BF569&gt;0))*A569</f>
        <v>0</v>
      </c>
      <c r="BK569" s="0" t="n">
        <f aca="false">IF(BJ569&gt;0,BI569,0)</f>
        <v>0</v>
      </c>
      <c r="BM569" s="0" t="n">
        <f aca="false">20*LOG(J569*F569*C569)</f>
        <v>-45.4778013258608</v>
      </c>
      <c r="BN569" s="0" t="n">
        <f aca="false">(H569+D569)*180/Pi</f>
        <v>-178.486611091733</v>
      </c>
      <c r="BQ569" s="347" t="n">
        <f aca="false">20*LOG(BA569*7)</f>
        <v>24.9077456313675</v>
      </c>
    </row>
    <row r="570" customFormat="false" ht="12.75" hidden="false" customHeight="false" outlineLevel="0" collapsed="false">
      <c r="A570" s="0" t="n">
        <f aca="false">A569+5000</f>
        <v>1780000</v>
      </c>
      <c r="B570" s="0" t="n">
        <f aca="false">A570/1000</f>
        <v>1780</v>
      </c>
      <c r="C570" s="0" t="n">
        <f aca="false">SQRT((A570/Fesr)^2+1)</f>
        <v>1.00006253975342</v>
      </c>
      <c r="D570" s="0" t="n">
        <f aca="false">ATAN(A570/Fesr)</f>
        <v>0.0111836035550996</v>
      </c>
      <c r="F570" s="0" t="n">
        <f aca="false">(Ro/(Ro+Rdcr))/SQRT((A570/(Q*Fo))^2+(1-(A570^2/Fo^2))^2)</f>
        <v>0.00058802522808202</v>
      </c>
      <c r="G570" s="0" t="n">
        <f aca="false">-ATAN(A570*Fo/(Q*(Fo^2-A570^2)))</f>
        <v>0.0152185143121478</v>
      </c>
      <c r="H570" s="0" t="n">
        <f aca="false">IF(G570&gt;0,G570-Pi,G570)</f>
        <v>-3.12637413568785</v>
      </c>
      <c r="J570" s="0" t="n">
        <f aca="false">Vin/Vramp</f>
        <v>9</v>
      </c>
      <c r="M570" s="0" t="n">
        <f aca="false">1/(2*Pi*_Rfb1*(Cc1ea_u+Cc2ea_u)*A570)</f>
        <v>0.00331158849924587</v>
      </c>
      <c r="N570" s="0" t="n">
        <f aca="false">-Pi/2</f>
        <v>-1.570796325</v>
      </c>
      <c r="O570" s="0" t="n">
        <f aca="false">SQRT(1+(A570/Fz1_u)^2)</f>
        <v>43.4951605658636</v>
      </c>
      <c r="P570" s="0" t="n">
        <f aca="false">ATAN2(Fz1_u,A570)</f>
        <v>1.5478032373082</v>
      </c>
      <c r="Q570" s="0" t="n">
        <f aca="false">SQRT(1+(A570/Fz2_u)^2)</f>
        <v>49341.7898312159</v>
      </c>
      <c r="R570" s="0" t="n">
        <f aca="false">ATAN2(Fz2_u,A570)</f>
        <v>1.57077605999867</v>
      </c>
      <c r="S570" s="0" t="n">
        <f aca="false">1/SQRT(1+(A570/Fp1_u)^2)</f>
        <v>0.00758228622978285</v>
      </c>
      <c r="T570" s="0" t="n">
        <f aca="false">-ATAN2(Fp1_u,A570)</f>
        <v>-1.56321396791095</v>
      </c>
      <c r="U570" s="0" t="n">
        <f aca="false">1/SQRT(1+(A570/Fp2_u)^2)</f>
        <v>0.202678595203633</v>
      </c>
      <c r="V570" s="0" t="n">
        <f aca="false">-ATAN2(Fp2_u,A570)</f>
        <v>-1.36670380959303</v>
      </c>
      <c r="X570" s="0" t="n">
        <f aca="false">20*LOG(C570*J570*O570*Q570*F570*M570*S570*U570)</f>
        <v>-24.7606821623813</v>
      </c>
      <c r="Y570" s="0" t="n">
        <f aca="false">(180/Pi)*(D570+H570+N570+P570+R570+T570+V570)</f>
        <v>-257.67776122069</v>
      </c>
      <c r="Z570" s="0" t="n">
        <f aca="false">Y570+180</f>
        <v>-77.6777612206902</v>
      </c>
      <c r="AC570" s="0" t="n">
        <v>1</v>
      </c>
      <c r="AD570" s="0" t="n">
        <f aca="false">Rcea1_u*Cc1ea_u*A570*2*Pi</f>
        <v>43.483663514592</v>
      </c>
      <c r="AE570" s="0" t="n">
        <f aca="false">-Rcea1_u*Cc1ea_u*Cc2ea_u*(A570*2*Pi)^2</f>
        <v>-0.0729486494078032</v>
      </c>
      <c r="AF570" s="0" t="n">
        <f aca="false">(Cc2ea_u+Cc1ea_u)*A570*2*Pi</f>
        <v>0.0150984942759</v>
      </c>
      <c r="AG570" s="0" t="n">
        <f aca="false">AC570*AE570/(AE570^2+AF570^2)+AD570*AF570/(AE570^2+AF570^2)</f>
        <v>105.161249161519</v>
      </c>
      <c r="AH570" s="0" t="n">
        <f aca="false">AD570*AE570/(AE570^2+AF570^2)-AC570*AF570/(AE570^2+AF570^2)</f>
        <v>-574.320255908655</v>
      </c>
      <c r="AJ570" s="0" t="n">
        <f aca="false">_Rfb1</f>
        <v>20000</v>
      </c>
      <c r="AK570" s="0" t="n">
        <f aca="false">_Rfb1*Rcea2_u*Cc3ea_u*A570*2*Pi</f>
        <v>2637651.02965056</v>
      </c>
      <c r="AL570" s="0" t="n">
        <v>1</v>
      </c>
      <c r="AM570" s="0" t="n">
        <f aca="false">(_Rfb1+Rcea2_u)*Cc3ea_u*A570*2*Pi</f>
        <v>49341.7898210825</v>
      </c>
      <c r="AN570" s="0" t="n">
        <f aca="false">AJ570*AL570/(AL570^2+AM570^2)+AK570*AM570/(AL570^2+AM570^2)</f>
        <v>53.4567441405639</v>
      </c>
      <c r="AO570" s="0" t="n">
        <f aca="false">AK570*AL570/(AL570^2+AM570^2)-AJ570*AM570/(AL570^2+AM570^2)</f>
        <v>-0.404252527688746</v>
      </c>
      <c r="AQ570" s="0" t="n">
        <f aca="false">Eadcg/(1+(Eadcg*A570/GBP)^2)</f>
        <v>0.0035933551011982</v>
      </c>
      <c r="AR570" s="0" t="n">
        <f aca="false">-(A570*Eadcg*Eadcg/GBP)/(1+(Eadcg*A570/GBP)^2)</f>
        <v>-3.37078268622998</v>
      </c>
      <c r="AT570" s="0" t="n">
        <f aca="false">-AR570*AH570+AG570*AQ570</f>
        <v>-1935.53089325695</v>
      </c>
      <c r="AU570" s="0" t="n">
        <f aca="false">AQ570*AH570+AG570*AR570</f>
        <v>-356.539454557255</v>
      </c>
      <c r="AV570" s="0" t="n">
        <f aca="false">ATAN2(AT570,AU570)</f>
        <v>-2.95942719638696</v>
      </c>
      <c r="AW570" s="0" t="n">
        <f aca="false">AG570-AH570*AO570/_Rfb2+AG570*AN570/_Rfb2+AN570-AO570*AR570+AQ570*AN570</f>
        <v>159.872668353784</v>
      </c>
      <c r="AX570" s="0" t="n">
        <f aca="false">AH570+AH570*AN570/_Rfb2+AG570*AO570/_Rfb2+AO570+AO570*AQ570+AN570*AR570</f>
        <v>-768.751739874504</v>
      </c>
      <c r="AY570" s="0" t="n">
        <f aca="false">ATAN2(AW570,AX570)</f>
        <v>-1.36575495678453</v>
      </c>
      <c r="BA570" s="0" t="n">
        <f aca="false">SQRT(AT570^2+AU570^2)/SQRT(AW570^2+AX570^2)</f>
        <v>2.50649061648899</v>
      </c>
      <c r="BB570" s="0" t="n">
        <f aca="false">20*LOG(BA570)</f>
        <v>7.98132166180867</v>
      </c>
      <c r="BC570" s="0" t="n">
        <f aca="false">AV570-AY570</f>
        <v>-1.59367223960243</v>
      </c>
      <c r="BD570" s="0" t="n">
        <f aca="false">BC570*180/Pi-180</f>
        <v>-271.310693360719</v>
      </c>
      <c r="BF570" s="0" t="n">
        <f aca="false">20*LOG(BA570*J570*F570*C570)</f>
        <v>-37.5453657722274</v>
      </c>
      <c r="BG570" s="0" t="n">
        <f aca="false">(180/Pi)*(D570+H570+BC570)</f>
        <v>-269.79796343499</v>
      </c>
      <c r="BH570" s="0" t="n">
        <f aca="false">IF(BG570&gt;180,BG570-180,BG570+180)</f>
        <v>-89.79796343499</v>
      </c>
      <c r="BI570" s="0" t="n">
        <f aca="false">IF(BH570&gt;180,BH570-360,BH570)</f>
        <v>-89.79796343499</v>
      </c>
      <c r="BJ570" s="0" t="n">
        <f aca="false">SUM((BF571&lt;0)*(BF570&gt;0))*A570</f>
        <v>0</v>
      </c>
      <c r="BK570" s="0" t="n">
        <f aca="false">IF(BJ570&gt;0,BI570,0)</f>
        <v>0</v>
      </c>
      <c r="BM570" s="0" t="n">
        <f aca="false">20*LOG(J570*F570*C570)</f>
        <v>-45.526687434036</v>
      </c>
      <c r="BN570" s="0" t="n">
        <f aca="false">(H570+D570)*180/Pi</f>
        <v>-178.487270074271</v>
      </c>
      <c r="BQ570" s="347" t="n">
        <f aca="false">20*LOG(BA570*7)</f>
        <v>24.8832824620938</v>
      </c>
    </row>
    <row r="571" customFormat="false" ht="12.75" hidden="false" customHeight="false" outlineLevel="0" collapsed="false">
      <c r="A571" s="0" t="n">
        <f aca="false">A570+5000</f>
        <v>1785000</v>
      </c>
      <c r="B571" s="0" t="n">
        <f aca="false">A571/1000</f>
        <v>1785</v>
      </c>
      <c r="C571" s="0" t="n">
        <f aca="false">SQRT((A571/Fesr)^2+1)</f>
        <v>1.00006289158275</v>
      </c>
      <c r="D571" s="0" t="n">
        <f aca="false">ATAN(A571/Fesr)</f>
        <v>0.0112150155414338</v>
      </c>
      <c r="F571" s="0" t="n">
        <f aca="false">(Ro/(Ro+Rdcr))/SQRT((A571/(Q*Fo))^2+(1-(A571^2/Fo^2))^2)</f>
        <v>0.000584734023600508</v>
      </c>
      <c r="G571" s="0" t="n">
        <f aca="false">-ATAN(A571*Fo/(Q*(Fo^2-A571^2)))</f>
        <v>0.0151758416705485</v>
      </c>
      <c r="H571" s="0" t="n">
        <f aca="false">IF(G571&gt;0,G571-Pi,G571)</f>
        <v>-3.12641680832945</v>
      </c>
      <c r="J571" s="0" t="n">
        <f aca="false">Vin/Vramp</f>
        <v>9</v>
      </c>
      <c r="M571" s="0" t="n">
        <f aca="false">1/(2*Pi*_Rfb1*(Cc1ea_u+Cc2ea_u)*A571)</f>
        <v>0.00330231234098467</v>
      </c>
      <c r="N571" s="0" t="n">
        <f aca="false">-Pi/2</f>
        <v>-1.570796325</v>
      </c>
      <c r="O571" s="0" t="n">
        <f aca="false">SQRT(1+(A571/Fz1_u)^2)</f>
        <v>43.6172734919471</v>
      </c>
      <c r="P571" s="0" t="n">
        <f aca="false">ATAN2(Fz1_u,A571)</f>
        <v>1.54786762111862</v>
      </c>
      <c r="Q571" s="0" t="n">
        <f aca="false">SQRT(1+(A571/Fz2_u)^2)</f>
        <v>49480.3903643928</v>
      </c>
      <c r="R571" s="0" t="n">
        <f aca="false">ATAN2(Fz2_u,A571)</f>
        <v>1.57077611676841</v>
      </c>
      <c r="S571" s="0" t="n">
        <f aca="false">1/SQRT(1+(A571/Fp1_u)^2)</f>
        <v>0.00756104854870209</v>
      </c>
      <c r="T571" s="0" t="n">
        <f aca="false">-ATAN2(Fp1_u,A571)</f>
        <v>-1.56323520620084</v>
      </c>
      <c r="U571" s="0" t="n">
        <f aca="false">1/SQRT(1+(A571/Fp2_u)^2)</f>
        <v>0.202134095596114</v>
      </c>
      <c r="V571" s="0" t="n">
        <f aca="false">-ATAN2(Fp2_u,A571)</f>
        <v>-1.36725981767259</v>
      </c>
      <c r="X571" s="0" t="n">
        <f aca="false">20*LOG(C571*J571*O571*Q571*F571*M571*S571*U571)</f>
        <v>-24.8328086367611</v>
      </c>
      <c r="Y571" s="0" t="n">
        <f aca="false">(180/Pi)*(D571+H571+N571+P571+R571+T571+V571)</f>
        <v>-257.707788016182</v>
      </c>
      <c r="Z571" s="0" t="n">
        <f aca="false">Y571+180</f>
        <v>-77.7077880161817</v>
      </c>
      <c r="AC571" s="0" t="n">
        <v>1</v>
      </c>
      <c r="AD571" s="0" t="n">
        <f aca="false">Rcea1_u*Cc1ea_u*A571*2*Pi</f>
        <v>43.605808636824</v>
      </c>
      <c r="AE571" s="0" t="n">
        <f aca="false">-Rcea1_u*Cc1ea_u*Cc2ea_u*(A571*2*Pi)^2</f>
        <v>-0.0733590488762081</v>
      </c>
      <c r="AF571" s="0" t="n">
        <f aca="false">(Cc2ea_u+Cc1ea_u)*A571*2*Pi</f>
        <v>0.015140905776675</v>
      </c>
      <c r="AG571" s="0" t="n">
        <f aca="false">AC571*AE571/(AE571^2+AF571^2)+AD571*AF571/(AE571^2+AF571^2)</f>
        <v>104.596973062295</v>
      </c>
      <c r="AH571" s="0" t="n">
        <f aca="false">AD571*AE571/(AE571^2+AF571^2)-AC571*AF571/(AE571^2+AF571^2)</f>
        <v>-572.827979191413</v>
      </c>
      <c r="AJ571" s="0" t="n">
        <f aca="false">_Rfb1</f>
        <v>20000</v>
      </c>
      <c r="AK571" s="0" t="n">
        <f aca="false">_Rfb1*Rcea2_u*Cc3ea_u*A571*2*Pi</f>
        <v>2645060.16175632</v>
      </c>
      <c r="AL571" s="0" t="n">
        <v>1</v>
      </c>
      <c r="AM571" s="0" t="n">
        <f aca="false">(_Rfb1+Rcea2_u)*Cc3ea_u*A571*2*Pi</f>
        <v>49480.3903542878</v>
      </c>
      <c r="AN571" s="0" t="n">
        <f aca="false">AJ571*AL571/(AL571^2+AM571^2)+AK571*AM571/(AL571^2+AM571^2)</f>
        <v>53.4567440947295</v>
      </c>
      <c r="AO571" s="0" t="n">
        <f aca="false">AK571*AL571/(AL571^2+AM571^2)-AJ571*AM571/(AL571^2+AM571^2)</f>
        <v>-0.403120167668135</v>
      </c>
      <c r="AQ571" s="0" t="n">
        <f aca="false">Eadcg/(1+(Eadcg*A571/GBP)^2)</f>
        <v>0.00357325247746739</v>
      </c>
      <c r="AR571" s="0" t="n">
        <f aca="false">-(A571*Eadcg*Eadcg/GBP)/(1+(Eadcg*A571/GBP)^2)</f>
        <v>-3.36134073929119</v>
      </c>
      <c r="AT571" s="0" t="n">
        <f aca="false">-AR571*AH571+AG571*AQ571</f>
        <v>-1925.09627166881</v>
      </c>
      <c r="AU571" s="0" t="n">
        <f aca="false">AQ571*AH571+AG571*AR571</f>
        <v>-353.632925756643</v>
      </c>
      <c r="AV571" s="0" t="n">
        <f aca="false">ATAN2(AT571,AU571)</f>
        <v>-2.95992180673084</v>
      </c>
      <c r="AW571" s="0" t="n">
        <f aca="false">AG571-AH571*AO571/_Rfb2+AG571*AN571/_Rfb2+AN571-AO571*AR571+AQ571*AN571</f>
        <v>159.301930157862</v>
      </c>
      <c r="AX571" s="0" t="n">
        <f aca="false">AH571+AH571*AN571/_Rfb2+AG571*AO571/_Rfb2+AO571+AO571*AQ571+AN571*AR571</f>
        <v>-766.717529254161</v>
      </c>
      <c r="AY571" s="0" t="n">
        <f aca="false">ATAN2(AW571,AX571)</f>
        <v>-1.36593961177608</v>
      </c>
      <c r="BA571" s="0" t="n">
        <f aca="false">SQRT(AT571^2+AU571^2)/SQRT(AW571^2+AX571^2)</f>
        <v>2.49946064751373</v>
      </c>
      <c r="BB571" s="0" t="n">
        <f aca="false">20*LOG(BA571)</f>
        <v>7.95692606880419</v>
      </c>
      <c r="BC571" s="0" t="n">
        <f aca="false">AV571-AY571</f>
        <v>-1.59398219495477</v>
      </c>
      <c r="BD571" s="0" t="n">
        <f aca="false">BC571*180/Pi-180</f>
        <v>-271.328452494265</v>
      </c>
      <c r="BF571" s="0" t="n">
        <f aca="false">20*LOG(BA571*J571*F571*C571)</f>
        <v>-37.6185101976547</v>
      </c>
      <c r="BG571" s="0" t="n">
        <f aca="false">(180/Pi)*(D571+H571+BC571)</f>
        <v>-269.816367756558</v>
      </c>
      <c r="BH571" s="0" t="n">
        <f aca="false">IF(BG571&gt;180,BG571-180,BG571+180)</f>
        <v>-89.8163677565585</v>
      </c>
      <c r="BI571" s="0" t="n">
        <f aca="false">IF(BH571&gt;180,BH571-360,BH571)</f>
        <v>-89.8163677565585</v>
      </c>
      <c r="BJ571" s="0" t="n">
        <f aca="false">SUM((BF572&lt;0)*(BF571&gt;0))*A571</f>
        <v>0</v>
      </c>
      <c r="BK571" s="0" t="n">
        <f aca="false">IF(BJ571&gt;0,BI571,0)</f>
        <v>0</v>
      </c>
      <c r="BM571" s="0" t="n">
        <f aca="false">20*LOG(J571*F571*C571)</f>
        <v>-45.5754362664589</v>
      </c>
      <c r="BN571" s="0" t="n">
        <f aca="false">(H571+D571)*180/Pi</f>
        <v>-178.487915262293</v>
      </c>
      <c r="BQ571" s="347" t="n">
        <f aca="false">20*LOG(BA571*7)</f>
        <v>24.8588868690893</v>
      </c>
    </row>
    <row r="572" customFormat="false" ht="12.75" hidden="false" customHeight="false" outlineLevel="0" collapsed="false">
      <c r="A572" s="0" t="n">
        <f aca="false">A571+5000</f>
        <v>1790000</v>
      </c>
      <c r="B572" s="0" t="n">
        <f aca="false">A572/1000</f>
        <v>1790</v>
      </c>
      <c r="C572" s="0" t="n">
        <f aca="false">SQRT((A572/Fesr)^2+1)</f>
        <v>1.00006324439885</v>
      </c>
      <c r="D572" s="0" t="n">
        <f aca="false">ATAN(A572/Fesr)</f>
        <v>0.0112464275056351</v>
      </c>
      <c r="F572" s="0" t="n">
        <f aca="false">(Ro/(Ro+Rdcr))/SQRT((A572/(Q*Fo))^2+(1-(A572^2/Fo^2))^2)</f>
        <v>0.000581470377838618</v>
      </c>
      <c r="G572" s="0" t="n">
        <f aca="false">-ATAN(A572*Fo/(Q*(Fo^2-A572^2)))</f>
        <v>0.0151334077888901</v>
      </c>
      <c r="H572" s="0" t="n">
        <f aca="false">IF(G572&gt;0,G572-Pi,G572)</f>
        <v>-3.12645924221111</v>
      </c>
      <c r="J572" s="0" t="n">
        <f aca="false">Vin/Vramp</f>
        <v>9</v>
      </c>
      <c r="M572" s="0" t="n">
        <f aca="false">1/(2*Pi*_Rfb1*(Cc1ea_u+Cc2ea_u)*A572)</f>
        <v>0.00329308800483667</v>
      </c>
      <c r="N572" s="0" t="n">
        <f aca="false">-Pi/2</f>
        <v>-1.570796325</v>
      </c>
      <c r="O572" s="0" t="n">
        <f aca="false">SQRT(1+(A572/Fz1_u)^2)</f>
        <v>43.7393865978267</v>
      </c>
      <c r="P572" s="0" t="n">
        <f aca="false">ATAN2(Fz1_u,A572)</f>
        <v>1.54793164543149</v>
      </c>
      <c r="Q572" s="0" t="n">
        <f aca="false">SQRT(1+(A572/Fz2_u)^2)</f>
        <v>49618.9908975699</v>
      </c>
      <c r="R572" s="0" t="n">
        <f aca="false">ATAN2(Fz2_u,A572)</f>
        <v>1.57077617322099</v>
      </c>
      <c r="S572" s="0" t="n">
        <f aca="false">1/SQRT(1+(A572/Fp1_u)^2)</f>
        <v>0.0075399295037383</v>
      </c>
      <c r="T572" s="0" t="n">
        <f aca="false">-ATAN2(Fp1_u,A572)</f>
        <v>-1.56325632584782</v>
      </c>
      <c r="U572" s="0" t="n">
        <f aca="false">1/SQRT(1+(A572/Fp2_u)^2)</f>
        <v>0.20159245194422</v>
      </c>
      <c r="V572" s="0" t="n">
        <f aca="false">-ATAN2(Fp2_u,A572)</f>
        <v>-1.36781284613563</v>
      </c>
      <c r="X572" s="0" t="n">
        <f aca="false">20*LOG(C572*J572*O572*Q572*F572*M572*S572*U572)</f>
        <v>-24.904738482755</v>
      </c>
      <c r="Y572" s="0" t="n">
        <f aca="false">(180/Pi)*(D572+H572+N572+P572+R572+T572+V572)</f>
        <v>-257.73764423168</v>
      </c>
      <c r="Z572" s="0" t="n">
        <f aca="false">Y572+180</f>
        <v>-77.7376442316801</v>
      </c>
      <c r="AC572" s="0" t="n">
        <v>1</v>
      </c>
      <c r="AD572" s="0" t="n">
        <f aca="false">Rcea1_u*Cc1ea_u*A572*2*Pi</f>
        <v>43.727953759056</v>
      </c>
      <c r="AE572" s="0" t="n">
        <f aca="false">-Rcea1_u*Cc1ea_u*Cc2ea_u*(A572*2*Pi)^2</f>
        <v>-0.0737705995352678</v>
      </c>
      <c r="AF572" s="0" t="n">
        <f aca="false">(Cc2ea_u+Cc1ea_u)*A572*2*Pi</f>
        <v>0.01518331727745</v>
      </c>
      <c r="AG572" s="0" t="n">
        <f aca="false">AC572*AE572/(AE572^2+AF572^2)+AD572*AF572/(AE572^2+AF572^2)</f>
        <v>104.03716270306</v>
      </c>
      <c r="AH572" s="0" t="n">
        <f aca="false">AD572*AE572/(AE572^2+AF572^2)-AC572*AF572/(AE572^2+AF572^2)</f>
        <v>-571.343120085933</v>
      </c>
      <c r="AJ572" s="0" t="n">
        <f aca="false">_Rfb1</f>
        <v>20000</v>
      </c>
      <c r="AK572" s="0" t="n">
        <f aca="false">_Rfb1*Rcea2_u*Cc3ea_u*A572*2*Pi</f>
        <v>2652469.29386208</v>
      </c>
      <c r="AL572" s="0" t="n">
        <v>1</v>
      </c>
      <c r="AM572" s="0" t="n">
        <f aca="false">(_Rfb1+Rcea2_u)*Cc3ea_u*A572*2*Pi</f>
        <v>49618.9908874931</v>
      </c>
      <c r="AN572" s="0" t="n">
        <f aca="false">AJ572*AL572/(AL572^2+AM572^2)+AK572*AM572/(AL572^2+AM572^2)</f>
        <v>53.4567440492788</v>
      </c>
      <c r="AO572" s="0" t="n">
        <f aca="false">AK572*AL572/(AL572^2+AM572^2)-AJ572*AM572/(AL572^2+AM572^2)</f>
        <v>-0.401994133681151</v>
      </c>
      <c r="AQ572" s="0" t="n">
        <f aca="false">Eadcg/(1+(Eadcg*A572/GBP)^2)</f>
        <v>0.00355331807583876</v>
      </c>
      <c r="AR572" s="0" t="n">
        <f aca="false">-(A572*Eadcg*Eadcg/GBP)/(1+(Eadcg*A572/GBP)^2)</f>
        <v>-3.35195154048098</v>
      </c>
      <c r="AT572" s="0" t="n">
        <f aca="false">-AR572*AH572+AG572*AQ572</f>
        <v>-1914.74477438446</v>
      </c>
      <c r="AU572" s="0" t="n">
        <f aca="false">AQ572*AH572+AG572*AR572</f>
        <v>-350.7576916259</v>
      </c>
      <c r="AV572" s="0" t="n">
        <f aca="false">ATAN2(AT572,AU572)</f>
        <v>-2.9604137802738</v>
      </c>
      <c r="AW572" s="0" t="n">
        <f aca="false">AG572-AH572*AO572/_Rfb2+AG572*AN572/_Rfb2+AN572-AO572*AR572+AQ572*AN572</f>
        <v>158.735705839624</v>
      </c>
      <c r="AX572" s="0" t="n">
        <f aca="false">AH572+AH572*AN572/_Rfb2+AG572*AO572/_Rfb2+AO572+AO572*AQ572+AN572*AR572</f>
        <v>-764.693742566442</v>
      </c>
      <c r="AY572" s="0" t="n">
        <f aca="false">ATAN2(AW572,AX572)</f>
        <v>-1.36612231718415</v>
      </c>
      <c r="BA572" s="0" t="n">
        <f aca="false">SQRT(AT572^2+AU572^2)/SQRT(AW572^2+AX572^2)</f>
        <v>2.49246967896386</v>
      </c>
      <c r="BB572" s="0" t="n">
        <f aca="false">20*LOG(BA572)</f>
        <v>7.93259767597254</v>
      </c>
      <c r="BC572" s="0" t="n">
        <f aca="false">AV572-AY572</f>
        <v>-1.59429146308966</v>
      </c>
      <c r="BD572" s="0" t="n">
        <f aca="false">BC572*180/Pi-180</f>
        <v>-271.346172253153</v>
      </c>
      <c r="BF572" s="0" t="n">
        <f aca="false">20*LOG(BA572*J572*F572*C572)</f>
        <v>-37.6914509161778</v>
      </c>
      <c r="BG572" s="0" t="n">
        <f aca="false">(180/Pi)*(D572+H572+BC572)</f>
        <v>-269.834719024799</v>
      </c>
      <c r="BH572" s="0" t="n">
        <f aca="false">IF(BG572&gt;180,BG572-180,BG572+180)</f>
        <v>-89.834719024799</v>
      </c>
      <c r="BI572" s="0" t="n">
        <f aca="false">IF(BH572&gt;180,BH572-360,BH572)</f>
        <v>-89.834719024799</v>
      </c>
      <c r="BJ572" s="0" t="n">
        <f aca="false">SUM((BF573&lt;0)*(BF572&gt;0))*A572</f>
        <v>0</v>
      </c>
      <c r="BK572" s="0" t="n">
        <f aca="false">IF(BJ572&gt;0,BI572,0)</f>
        <v>0</v>
      </c>
      <c r="BM572" s="0" t="n">
        <f aca="false">20*LOG(J572*F572*C572)</f>
        <v>-45.6240485921503</v>
      </c>
      <c r="BN572" s="0" t="n">
        <f aca="false">(H572+D572)*180/Pi</f>
        <v>-178.488546771646</v>
      </c>
      <c r="BQ572" s="347" t="n">
        <f aca="false">20*LOG(BA572*7)</f>
        <v>24.8345584762577</v>
      </c>
    </row>
    <row r="573" customFormat="false" ht="12.75" hidden="false" customHeight="false" outlineLevel="0" collapsed="false">
      <c r="A573" s="0" t="n">
        <f aca="false">A572+5000</f>
        <v>1795000</v>
      </c>
      <c r="B573" s="0" t="n">
        <f aca="false">A573/1000</f>
        <v>1795</v>
      </c>
      <c r="C573" s="0" t="n">
        <f aca="false">SQRT((A573/Fesr)^2+1)</f>
        <v>1.00006359820173</v>
      </c>
      <c r="D573" s="0" t="n">
        <f aca="false">ATAN(A573/Fesr)</f>
        <v>0.0112778394476415</v>
      </c>
      <c r="F573" s="0" t="n">
        <f aca="false">(Ro/(Ro+Rdcr))/SQRT((A573/(Q*Fo))^2+(1-(A573^2/Fo^2))^2)</f>
        <v>0.000578233983923329</v>
      </c>
      <c r="G573" s="0" t="n">
        <f aca="false">-ATAN(A573*Fo/(Q*(Fo^2-A573^2)))</f>
        <v>0.0150912106679079</v>
      </c>
      <c r="H573" s="0" t="n">
        <f aca="false">IF(G573&gt;0,G573-Pi,G573)</f>
        <v>-3.12650143933209</v>
      </c>
      <c r="J573" s="0" t="n">
        <f aca="false">Vin/Vramp</f>
        <v>9</v>
      </c>
      <c r="M573" s="0" t="n">
        <f aca="false">1/(2*Pi*_Rfb1*(Cc1ea_u+Cc2ea_u)*A573)</f>
        <v>0.00328391505774799</v>
      </c>
      <c r="N573" s="0" t="n">
        <f aca="false">-Pi/2</f>
        <v>-1.570796325</v>
      </c>
      <c r="O573" s="0" t="n">
        <f aca="false">SQRT(1+(A573/Fz1_u)^2)</f>
        <v>43.8614998820006</v>
      </c>
      <c r="P573" s="0" t="n">
        <f aca="false">ATAN2(Fz1_u,A573)</f>
        <v>1.54799531324886</v>
      </c>
      <c r="Q573" s="0" t="n">
        <f aca="false">SQRT(1+(A573/Fz2_u)^2)</f>
        <v>49757.5914307471</v>
      </c>
      <c r="R573" s="0" t="n">
        <f aca="false">ATAN2(Fz2_u,A573)</f>
        <v>1.57077622935908</v>
      </c>
      <c r="S573" s="0" t="n">
        <f aca="false">1/SQRT(1+(A573/Fp1_u)^2)</f>
        <v>0.00751892810361589</v>
      </c>
      <c r="T573" s="0" t="n">
        <f aca="false">-ATAN2(Fp1_u,A573)</f>
        <v>-1.56327732784328</v>
      </c>
      <c r="U573" s="0" t="n">
        <f aca="false">1/SQRT(1+(A573/Fp2_u)^2)</f>
        <v>0.201053642340617</v>
      </c>
      <c r="V573" s="0" t="n">
        <f aca="false">-ATAN2(Fp2_u,A573)</f>
        <v>-1.36836291853398</v>
      </c>
      <c r="X573" s="0" t="n">
        <f aca="false">20*LOG(C573*J573*O573*Q573*F573*M573*S573*U573)</f>
        <v>-24.9764727568293</v>
      </c>
      <c r="Y573" s="0" t="n">
        <f aca="false">(180/Pi)*(D573+H573+N573+P573+R573+T573+V573)</f>
        <v>-257.767331215802</v>
      </c>
      <c r="Z573" s="0" t="n">
        <f aca="false">Y573+180</f>
        <v>-77.7673312158016</v>
      </c>
      <c r="AC573" s="0" t="n">
        <v>1</v>
      </c>
      <c r="AD573" s="0" t="n">
        <f aca="false">Rcea1_u*Cc1ea_u*A573*2*Pi</f>
        <v>43.850098881288</v>
      </c>
      <c r="AE573" s="0" t="n">
        <f aca="false">-Rcea1_u*Cc1ea_u*Cc2ea_u*(A573*2*Pi)^2</f>
        <v>-0.0741833013849821</v>
      </c>
      <c r="AF573" s="0" t="n">
        <f aca="false">(Cc2ea_u+Cc1ea_u)*A573*2*Pi</f>
        <v>0.015225728778225</v>
      </c>
      <c r="AG573" s="0" t="n">
        <f aca="false">AC573*AE573/(AE573^2+AF573^2)+AD573*AF573/(AE573^2+AF573^2)</f>
        <v>103.481771771978</v>
      </c>
      <c r="AH573" s="0" t="n">
        <f aca="false">AD573*AE573/(AE573^2+AF573^2)-AC573*AF573/(AE573^2+AF573^2)</f>
        <v>-569.865626111861</v>
      </c>
      <c r="AJ573" s="0" t="n">
        <f aca="false">_Rfb1</f>
        <v>20000</v>
      </c>
      <c r="AK573" s="0" t="n">
        <f aca="false">_Rfb1*Rcea2_u*Cc3ea_u*A573*2*Pi</f>
        <v>2659878.42596784</v>
      </c>
      <c r="AL573" s="0" t="n">
        <v>1</v>
      </c>
      <c r="AM573" s="0" t="n">
        <f aca="false">(_Rfb1+Rcea2_u)*Cc3ea_u*A573*2*Pi</f>
        <v>49757.5914206984</v>
      </c>
      <c r="AN573" s="0" t="n">
        <f aca="false">AJ573*AL573/(AL573^2+AM573^2)+AK573*AM573/(AL573^2+AM573^2)</f>
        <v>53.4567440042073</v>
      </c>
      <c r="AO573" s="0" t="n">
        <f aca="false">AK573*AL573/(AL573^2+AM573^2)-AJ573*AM573/(AL573^2+AM573^2)</f>
        <v>-0.400874372864003</v>
      </c>
      <c r="AQ573" s="0" t="n">
        <f aca="false">Eadcg/(1+(Eadcg*A573/GBP)^2)</f>
        <v>0.00353355002458779</v>
      </c>
      <c r="AR573" s="0" t="n">
        <f aca="false">-(A573*Eadcg*Eadcg/GBP)/(1+(Eadcg*A573/GBP)^2)</f>
        <v>-3.34261464900919</v>
      </c>
      <c r="AT573" s="0" t="n">
        <f aca="false">-AR573*AH573+AG573*AQ573</f>
        <v>-1904.47553179111</v>
      </c>
      <c r="AU573" s="0" t="n">
        <f aca="false">AQ573*AH573+AG573*AR573</f>
        <v>-347.913334927598</v>
      </c>
      <c r="AV573" s="0" t="n">
        <f aca="false">ATAN2(AT573,AU573)</f>
        <v>-2.96090313770499</v>
      </c>
      <c r="AW573" s="0" t="n">
        <f aca="false">AG573-AH573*AO573/_Rfb2+AG573*AN573/_Rfb2+AN573-AO573*AR573+AQ573*AN573</f>
        <v>158.173948629882</v>
      </c>
      <c r="AX573" s="0" t="n">
        <f aca="false">AH573+AH573*AN573/_Rfb2+AG573*AO573/_Rfb2+AO573+AO573*AQ573+AN573*AR573</f>
        <v>-762.680302428171</v>
      </c>
      <c r="AY573" s="0" t="n">
        <f aca="false">ATAN2(AW573,AX573)</f>
        <v>-1.36630308804374</v>
      </c>
      <c r="BA573" s="0" t="n">
        <f aca="false">SQRT(AT573^2+AU573^2)/SQRT(AW573^2+AX573^2)</f>
        <v>2.48551738699935</v>
      </c>
      <c r="BB573" s="0" t="n">
        <f aca="false">20*LOG(BA573)</f>
        <v>7.90833611032483</v>
      </c>
      <c r="BC573" s="0" t="n">
        <f aca="false">AV573-AY573</f>
        <v>-1.59460004966125</v>
      </c>
      <c r="BD573" s="0" t="n">
        <f aca="false">BC573*180/Pi-180</f>
        <v>-271.36385296134</v>
      </c>
      <c r="BF573" s="0" t="n">
        <f aca="false">20*LOG(BA573*J573*F573*C573)</f>
        <v>-37.7641890633588</v>
      </c>
      <c r="BG573" s="0" t="n">
        <f aca="false">(180/Pi)*(D573+H573+BC573)</f>
        <v>-269.853017678223</v>
      </c>
      <c r="BH573" s="0" t="n">
        <f aca="false">IF(BG573&gt;180,BG573-180,BG573+180)</f>
        <v>-89.8530176782235</v>
      </c>
      <c r="BI573" s="0" t="n">
        <f aca="false">IF(BH573&gt;180,BH573-360,BH573)</f>
        <v>-89.8530176782235</v>
      </c>
      <c r="BJ573" s="0" t="n">
        <f aca="false">SUM((BF574&lt;0)*(BF573&gt;0))*A573</f>
        <v>0</v>
      </c>
      <c r="BK573" s="0" t="n">
        <f aca="false">IF(BJ573&gt;0,BI573,0)</f>
        <v>0</v>
      </c>
      <c r="BM573" s="0" t="n">
        <f aca="false">20*LOG(J573*F573*C573)</f>
        <v>-45.6725251736837</v>
      </c>
      <c r="BN573" s="0" t="n">
        <f aca="false">(H573+D573)*180/Pi</f>
        <v>-178.489164716884</v>
      </c>
      <c r="BQ573" s="347" t="n">
        <f aca="false">20*LOG(BA573*7)</f>
        <v>24.81029691061</v>
      </c>
    </row>
    <row r="574" customFormat="false" ht="12.75" hidden="false" customHeight="false" outlineLevel="0" collapsed="false">
      <c r="A574" s="0" t="n">
        <f aca="false">A573+5000</f>
        <v>1800000</v>
      </c>
      <c r="B574" s="0" t="n">
        <f aca="false">A574/1000</f>
        <v>1800</v>
      </c>
      <c r="C574" s="0" t="n">
        <f aca="false">SQRT((A574/Fesr)^2+1)</f>
        <v>1.00006395299138</v>
      </c>
      <c r="D574" s="0" t="n">
        <f aca="false">ATAN(A574/Fesr)</f>
        <v>0.011309251367391</v>
      </c>
      <c r="F574" s="0" t="n">
        <f aca="false">(Ro/(Ro+Rdcr))/SQRT((A574/(Q*Fo))^2+(1-(A574^2/Fo^2))^2)</f>
        <v>0.000575024539241799</v>
      </c>
      <c r="G574" s="0" t="n">
        <f aca="false">-ATAN(A574*Fo/(Q*(Fo^2-A574^2)))</f>
        <v>0.0150492483306079</v>
      </c>
      <c r="H574" s="0" t="n">
        <f aca="false">IF(G574&gt;0,G574-Pi,G574)</f>
        <v>-3.12654340166939</v>
      </c>
      <c r="J574" s="0" t="n">
        <f aca="false">Vin/Vramp</f>
        <v>9</v>
      </c>
      <c r="M574" s="0" t="n">
        <f aca="false">1/(2*Pi*_Rfb1*(Cc1ea_u+Cc2ea_u)*A574)</f>
        <v>0.00327479307147647</v>
      </c>
      <c r="N574" s="0" t="n">
        <f aca="false">-Pi/2</f>
        <v>-1.570796325</v>
      </c>
      <c r="O574" s="0" t="n">
        <f aca="false">SQRT(1+(A574/Fz1_u)^2)</f>
        <v>43.9836133429838</v>
      </c>
      <c r="P574" s="0" t="n">
        <f aca="false">ATAN2(Fz1_u,A574)</f>
        <v>1.54805862753949</v>
      </c>
      <c r="Q574" s="0" t="n">
        <f aca="false">SQRT(1+(A574/Fz2_u)^2)</f>
        <v>49896.1919639245</v>
      </c>
      <c r="R574" s="0" t="n">
        <f aca="false">ATAN2(Fz2_u,A574)</f>
        <v>1.57077628518529</v>
      </c>
      <c r="S574" s="0" t="n">
        <f aca="false">1/SQRT(1+(A574/Fp1_u)^2)</f>
        <v>0.00749804336807187</v>
      </c>
      <c r="T574" s="0" t="n">
        <f aca="false">-ATAN2(Fp1_u,A574)</f>
        <v>-1.56329821316756</v>
      </c>
      <c r="U574" s="0" t="n">
        <f aca="false">1/SQRT(1+(A574/Fp2_u)^2)</f>
        <v>0.200517645095942</v>
      </c>
      <c r="V574" s="0" t="n">
        <f aca="false">-ATAN2(Fp2_u,A574)</f>
        <v>-1.3689100581755</v>
      </c>
      <c r="X574" s="0" t="n">
        <f aca="false">20*LOG(C574*J574*O574*Q574*F574*M574*S574*U574)</f>
        <v>-25.0480125070503</v>
      </c>
      <c r="Y574" s="0" t="n">
        <f aca="false">(180/Pi)*(D574+H574+N574+P574+R574+T574+V574)</f>
        <v>-257.796850303189</v>
      </c>
      <c r="Z574" s="0" t="n">
        <f aca="false">Y574+180</f>
        <v>-77.7968503031895</v>
      </c>
      <c r="AC574" s="0" t="n">
        <v>1</v>
      </c>
      <c r="AD574" s="0" t="n">
        <f aca="false">Rcea1_u*Cc1ea_u*A574*2*Pi</f>
        <v>43.97224400352</v>
      </c>
      <c r="AE574" s="0" t="n">
        <f aca="false">-Rcea1_u*Cc1ea_u*Cc2ea_u*(A574*2*Pi)^2</f>
        <v>-0.0745971544253511</v>
      </c>
      <c r="AF574" s="0" t="n">
        <f aca="false">(Cc2ea_u+Cc1ea_u)*A574*2*Pi</f>
        <v>0.015268140279</v>
      </c>
      <c r="AG574" s="0" t="n">
        <f aca="false">AC574*AE574/(AE574^2+AF574^2)+AD574*AF574/(AE574^2+AF574^2)</f>
        <v>102.930754546745</v>
      </c>
      <c r="AH574" s="0" t="n">
        <f aca="false">AD574*AE574/(AE574^2+AF574^2)-AC574*AF574/(AE574^2+AF574^2)</f>
        <v>-568.395445251294</v>
      </c>
      <c r="AJ574" s="0" t="n">
        <f aca="false">_Rfb1</f>
        <v>20000</v>
      </c>
      <c r="AK574" s="0" t="n">
        <f aca="false">_Rfb1*Rcea2_u*Cc3ea_u*A574*2*Pi</f>
        <v>2667287.5580736</v>
      </c>
      <c r="AL574" s="0" t="n">
        <v>1</v>
      </c>
      <c r="AM574" s="0" t="n">
        <f aca="false">(_Rfb1+Rcea2_u)*Cc3ea_u*A574*2*Pi</f>
        <v>49896.1919539037</v>
      </c>
      <c r="AN574" s="0" t="n">
        <f aca="false">AJ574*AL574/(AL574^2+AM574^2)+AK574*AM574/(AL574^2+AM574^2)</f>
        <v>53.4567439595108</v>
      </c>
      <c r="AO574" s="0" t="n">
        <f aca="false">AK574*AL574/(AL574^2+AM574^2)-AJ574*AM574/(AL574^2+AM574^2)</f>
        <v>-0.399760832940277</v>
      </c>
      <c r="AQ574" s="0" t="n">
        <f aca="false">Eadcg/(1+(Eadcg*A574/GBP)^2)</f>
        <v>0.00351394647794989</v>
      </c>
      <c r="AR574" s="0" t="n">
        <f aca="false">-(A574*Eadcg*Eadcg/GBP)/(1+(Eadcg*A574/GBP)^2)</f>
        <v>-3.33332962898326</v>
      </c>
      <c r="AT574" s="0" t="n">
        <f aca="false">-AR574*AH574+AG574*AQ574</f>
        <v>-1894.28768547286</v>
      </c>
      <c r="AU574" s="0" t="n">
        <f aca="false">AQ574*AH574+AG574*AR574</f>
        <v>-345.099445037191</v>
      </c>
      <c r="AV574" s="0" t="n">
        <f aca="false">ATAN2(AT574,AU574)</f>
        <v>-2.9613898995014</v>
      </c>
      <c r="AW574" s="0" t="n">
        <f aca="false">AG574-AH574*AO574/_Rfb2+AG574*AN574/_Rfb2+AN574-AO574*AR574+AQ574*AN574</f>
        <v>157.616612354097</v>
      </c>
      <c r="AX574" s="0" t="n">
        <f aca="false">AH574+AH574*AN574/_Rfb2+AG574*AO574/_Rfb2+AO574+AO574*AQ574+AN574*AR574</f>
        <v>-760.67713219254</v>
      </c>
      <c r="AY574" s="0" t="n">
        <f aca="false">ATAN2(AW574,AX574)</f>
        <v>-1.36648193924015</v>
      </c>
      <c r="BA574" s="0" t="n">
        <f aca="false">SQRT(AT574^2+AU574^2)/SQRT(AW574^2+AX574^2)</f>
        <v>2.4786034513501</v>
      </c>
      <c r="BB574" s="0" t="n">
        <f aca="false">20*LOG(BA574)</f>
        <v>7.88414100194567</v>
      </c>
      <c r="BC574" s="0" t="n">
        <f aca="false">AV574-AY574</f>
        <v>-1.59490796026125</v>
      </c>
      <c r="BD574" s="0" t="n">
        <f aca="false">BC574*180/Pi-180</f>
        <v>-271.381494939207</v>
      </c>
      <c r="BF574" s="0" t="n">
        <f aca="false">20*LOG(BA574*J574*F574*C574)</f>
        <v>-37.836725765311</v>
      </c>
      <c r="BG574" s="0" t="n">
        <f aca="false">(180/Pi)*(D574+H574+BC574)</f>
        <v>-269.871264150489</v>
      </c>
      <c r="BH574" s="0" t="n">
        <f aca="false">IF(BG574&gt;180,BG574-180,BG574+180)</f>
        <v>-89.8712641504891</v>
      </c>
      <c r="BI574" s="0" t="n">
        <f aca="false">IF(BH574&gt;180,BH574-360,BH574)</f>
        <v>-89.8712641504891</v>
      </c>
      <c r="BJ574" s="0" t="n">
        <f aca="false">SUM((BF575&lt;0)*(BF574&gt;0))*A574</f>
        <v>0</v>
      </c>
      <c r="BK574" s="0" t="n">
        <f aca="false">IF(BJ574&gt;0,BI574,0)</f>
        <v>0</v>
      </c>
      <c r="BM574" s="0" t="n">
        <f aca="false">20*LOG(J574*F574*C574)</f>
        <v>-45.7208667672567</v>
      </c>
      <c r="BN574" s="0" t="n">
        <f aca="false">(H574+D574)*180/Pi</f>
        <v>-178.489769211282</v>
      </c>
      <c r="BQ574" s="347" t="n">
        <f aca="false">20*LOG(BA574*7)</f>
        <v>24.7861018022308</v>
      </c>
    </row>
    <row r="575" customFormat="false" ht="12.75" hidden="false" customHeight="false" outlineLevel="0" collapsed="false">
      <c r="A575" s="0" t="n">
        <f aca="false">A574+5000</f>
        <v>1805000</v>
      </c>
      <c r="B575" s="0" t="n">
        <f aca="false">A575/1000</f>
        <v>1805</v>
      </c>
      <c r="C575" s="0" t="n">
        <f aca="false">SQRT((A575/Fesr)^2+1)</f>
        <v>1.0000643087678</v>
      </c>
      <c r="D575" s="0" t="n">
        <f aca="false">ATAN(A575/Fesr)</f>
        <v>0.0113406632648218</v>
      </c>
      <c r="F575" s="0" t="n">
        <f aca="false">(Ro/(Ro+Rdcr))/SQRT((A575/(Q*Fo))^2+(1-(A575^2/Fo^2))^2)</f>
        <v>0.000571841745370582</v>
      </c>
      <c r="G575" s="0" t="n">
        <f aca="false">-ATAN(A575*Fo/(Q*(Fo^2-A575^2)))</f>
        <v>0.0150075188219564</v>
      </c>
      <c r="H575" s="0" t="n">
        <f aca="false">IF(G575&gt;0,G575-Pi,G575)</f>
        <v>-3.12658513117804</v>
      </c>
      <c r="J575" s="0" t="n">
        <f aca="false">Vin/Vramp</f>
        <v>9</v>
      </c>
      <c r="M575" s="0" t="n">
        <f aca="false">1/(2*Pi*_Rfb1*(Cc1ea_u+Cc2ea_u)*A575)</f>
        <v>0.00326572162252501</v>
      </c>
      <c r="N575" s="0" t="n">
        <f aca="false">-Pi/2</f>
        <v>-1.570796325</v>
      </c>
      <c r="O575" s="0" t="n">
        <f aca="false">SQRT(1+(A575/Fz1_u)^2)</f>
        <v>44.1057269793078</v>
      </c>
      <c r="P575" s="0" t="n">
        <f aca="false">ATAN2(Fz1_u,A575)</f>
        <v>1.54812159123924</v>
      </c>
      <c r="Q575" s="0" t="n">
        <f aca="false">SQRT(1+(A575/Fz2_u)^2)</f>
        <v>50034.792497102</v>
      </c>
      <c r="R575" s="0" t="n">
        <f aca="false">ATAN2(Fz2_u,A575)</f>
        <v>1.57077634070222</v>
      </c>
      <c r="S575" s="0" t="n">
        <f aca="false">1/SQRT(1+(A575/Fp1_u)^2)</f>
        <v>0.00747727432770339</v>
      </c>
      <c r="T575" s="0" t="n">
        <f aca="false">-ATAN2(Fp1_u,A575)</f>
        <v>-1.56331898279017</v>
      </c>
      <c r="U575" s="0" t="n">
        <f aca="false">1/SQRT(1+(A575/Fp2_u)^2)</f>
        <v>0.199984438736176</v>
      </c>
      <c r="V575" s="0" t="n">
        <f aca="false">-ATAN2(Fp2_u,A575)</f>
        <v>-1.36945428812721</v>
      </c>
      <c r="X575" s="0" t="n">
        <f aca="false">20*LOG(C575*J575*O575*Q575*F575*M575*S575*U575)</f>
        <v>-25.1193587731726</v>
      </c>
      <c r="Y575" s="0" t="n">
        <f aca="false">(180/Pi)*(D575+H575+N575+P575+R575+T575+V575)</f>
        <v>-257.826202814692</v>
      </c>
      <c r="Z575" s="0" t="n">
        <f aca="false">Y575+180</f>
        <v>-77.8262028146916</v>
      </c>
      <c r="AC575" s="0" t="n">
        <v>1</v>
      </c>
      <c r="AD575" s="0" t="n">
        <f aca="false">Rcea1_u*Cc1ea_u*A575*2*Pi</f>
        <v>44.094389125752</v>
      </c>
      <c r="AE575" s="0" t="n">
        <f aca="false">-Rcea1_u*Cc1ea_u*Cc2ea_u*(A575*2*Pi)^2</f>
        <v>-0.0750121586563749</v>
      </c>
      <c r="AF575" s="0" t="n">
        <f aca="false">(Cc2ea_u+Cc1ea_u)*A575*2*Pi</f>
        <v>0.015310551779775</v>
      </c>
      <c r="AG575" s="0" t="n">
        <f aca="false">AC575*AE575/(AE575^2+AF575^2)+AD575*AF575/(AE575^2+AF575^2)</f>
        <v>102.384065885755</v>
      </c>
      <c r="AH575" s="0" t="n">
        <f aca="false">AD575*AE575/(AE575^2+AF575^2)-AC575*AF575/(AE575^2+AF575^2)</f>
        <v>-566.932525944181</v>
      </c>
      <c r="AJ575" s="0" t="n">
        <f aca="false">_Rfb1</f>
        <v>20000</v>
      </c>
      <c r="AK575" s="0" t="n">
        <f aca="false">_Rfb1*Rcea2_u*Cc3ea_u*A575*2*Pi</f>
        <v>2674696.69017936</v>
      </c>
      <c r="AL575" s="0" t="n">
        <v>1</v>
      </c>
      <c r="AM575" s="0" t="n">
        <f aca="false">(_Rfb1+Rcea2_u)*Cc3ea_u*A575*2*Pi</f>
        <v>50034.792487109</v>
      </c>
      <c r="AN575" s="0" t="n">
        <f aca="false">AJ575*AL575/(AL575^2+AM575^2)+AK575*AM575/(AL575^2+AM575^2)</f>
        <v>53.4567439151853</v>
      </c>
      <c r="AO575" s="0" t="n">
        <f aca="false">AK575*AL575/(AL575^2+AM575^2)-AJ575*AM575/(AL575^2+AM575^2)</f>
        <v>-0.398653462212797</v>
      </c>
      <c r="AQ575" s="0" t="n">
        <f aca="false">Eadcg/(1+(Eadcg*A575/GBP)^2)</f>
        <v>0.00349450561568957</v>
      </c>
      <c r="AR575" s="0" t="n">
        <f aca="false">-(A575*Eadcg*Eadcg/GBP)/(1+(Eadcg*A575/GBP)^2)</f>
        <v>-3.32409604934047</v>
      </c>
      <c r="AT575" s="0" t="n">
        <f aca="false">-AR575*AH575+AG575*AQ575</f>
        <v>-1884.18038804047</v>
      </c>
      <c r="AU575" s="0" t="n">
        <f aca="false">AQ575*AH575+AG575*AR575</f>
        <v>-342.315617821883</v>
      </c>
      <c r="AV575" s="0" t="n">
        <f aca="false">ATAN2(AT575,AU575)</f>
        <v>-2.9618740859305</v>
      </c>
      <c r="AW575" s="0" t="n">
        <f aca="false">AG575-AH575*AO575/_Rfb2+AG575*AN575/_Rfb2+AN575-AO575*AR575+AQ575*AN575</f>
        <v>157.063651423485</v>
      </c>
      <c r="AX575" s="0" t="n">
        <f aca="false">AH575+AH575*AN575/_Rfb2+AG575*AO575/_Rfb2+AO575+AO575*AQ575+AN575*AR575</f>
        <v>-758.684155940746</v>
      </c>
      <c r="AY575" s="0" t="n">
        <f aca="false">ATAN2(AW575,AX575)</f>
        <v>-1.36665888551077</v>
      </c>
      <c r="BA575" s="0" t="n">
        <f aca="false">SQRT(AT575^2+AU575^2)/SQRT(AW575^2+AX575^2)</f>
        <v>2.47172755526699</v>
      </c>
      <c r="BB575" s="0" t="n">
        <f aca="false">20*LOG(BA575)</f>
        <v>7.86001198395956</v>
      </c>
      <c r="BC575" s="0" t="n">
        <f aca="false">AV575-AY575</f>
        <v>-1.59521520041973</v>
      </c>
      <c r="BD575" s="0" t="n">
        <f aca="false">BC575*180/Pi-180</f>
        <v>-271.399098503605</v>
      </c>
      <c r="BF575" s="0" t="n">
        <f aca="false">20*LOG(BA575*J575*F575*C575)</f>
        <v>-37.909062138803</v>
      </c>
      <c r="BG575" s="0" t="n">
        <f aca="false">(180/Pi)*(D575+H575+BC575)</f>
        <v>-269.889458870465</v>
      </c>
      <c r="BH575" s="0" t="n">
        <f aca="false">IF(BG575&gt;180,BG575-180,BG575+180)</f>
        <v>-89.8894588704652</v>
      </c>
      <c r="BI575" s="0" t="n">
        <f aca="false">IF(BH575&gt;180,BH575-360,BH575)</f>
        <v>-89.8894588704652</v>
      </c>
      <c r="BJ575" s="0" t="n">
        <f aca="false">SUM((BF576&lt;0)*(BF575&gt;0))*A575</f>
        <v>0</v>
      </c>
      <c r="BK575" s="0" t="n">
        <f aca="false">IF(BJ575&gt;0,BI575,0)</f>
        <v>0</v>
      </c>
      <c r="BM575" s="0" t="n">
        <f aca="false">20*LOG(J575*F575*C575)</f>
        <v>-45.7690741227626</v>
      </c>
      <c r="BN575" s="0" t="n">
        <f aca="false">(H575+D575)*180/Pi</f>
        <v>-178.49036036686</v>
      </c>
      <c r="BQ575" s="347" t="n">
        <f aca="false">20*LOG(BA575*7)</f>
        <v>24.7619727842447</v>
      </c>
    </row>
    <row r="576" customFormat="false" ht="12.75" hidden="false" customHeight="false" outlineLevel="0" collapsed="false">
      <c r="A576" s="0" t="n">
        <f aca="false">A575+5000</f>
        <v>1810000</v>
      </c>
      <c r="B576" s="0" t="n">
        <f aca="false">A576/1000</f>
        <v>1810</v>
      </c>
      <c r="C576" s="0" t="n">
        <f aca="false">SQRT((A576/Fesr)^2+1)</f>
        <v>1.00006466553099</v>
      </c>
      <c r="D576" s="0" t="n">
        <f aca="false">ATAN(A576/Fesr)</f>
        <v>0.0113720751398718</v>
      </c>
      <c r="F576" s="0" t="n">
        <f aca="false">(Ro/(Ro+Rdcr))/SQRT((A576/(Q*Fo))^2+(1-(A576^2/Fo^2))^2)</f>
        <v>0.00056868530800621</v>
      </c>
      <c r="G576" s="0" t="n">
        <f aca="false">-ATAN(A576*Fo/(Q*(Fo^2-A576^2)))</f>
        <v>0.0149660202085766</v>
      </c>
      <c r="H576" s="0" t="n">
        <f aca="false">IF(G576&gt;0,G576-Pi,G576)</f>
        <v>-3.12662662979142</v>
      </c>
      <c r="J576" s="0" t="n">
        <f aca="false">Vin/Vramp</f>
        <v>9</v>
      </c>
      <c r="M576" s="0" t="n">
        <f aca="false">1/(2*Pi*_Rfb1*(Cc1ea_u+Cc2ea_u)*A576)</f>
        <v>0.00325670029207605</v>
      </c>
      <c r="N576" s="0" t="n">
        <f aca="false">-Pi/2</f>
        <v>-1.570796325</v>
      </c>
      <c r="O576" s="0" t="n">
        <f aca="false">SQRT(1+(A576/Fz1_u)^2)</f>
        <v>44.2278407895202</v>
      </c>
      <c r="P576" s="0" t="n">
        <f aca="false">ATAN2(Fz1_u,A576)</f>
        <v>1.54818420725158</v>
      </c>
      <c r="Q576" s="0" t="n">
        <f aca="false">SQRT(1+(A576/Fz2_u)^2)</f>
        <v>50173.3930302797</v>
      </c>
      <c r="R576" s="0" t="n">
        <f aca="false">ATAN2(Fz2_u,A576)</f>
        <v>1.57077639591242</v>
      </c>
      <c r="S576" s="0" t="n">
        <f aca="false">1/SQRT(1+(A576/Fp1_u)^2)</f>
        <v>0.0074566200238177</v>
      </c>
      <c r="T576" s="0" t="n">
        <f aca="false">-ATAN2(Fp1_u,A576)</f>
        <v>-1.56333963766987</v>
      </c>
      <c r="U576" s="0" t="n">
        <f aca="false">1/SQRT(1+(A576/Fp2_u)^2)</f>
        <v>0.199454002000052</v>
      </c>
      <c r="V576" s="0" t="n">
        <f aca="false">-ATAN2(Fp2_u,A576)</f>
        <v>-1.36999563121832</v>
      </c>
      <c r="X576" s="0" t="n">
        <f aca="false">20*LOG(C576*J576*O576*Q576*F576*M576*S576*U576)</f>
        <v>-25.1905125867262</v>
      </c>
      <c r="Y576" s="0" t="n">
        <f aca="false">(180/Pi)*(D576+H576+N576+P576+R576+T576+V576)</f>
        <v>-257.855390057535</v>
      </c>
      <c r="Z576" s="0" t="n">
        <f aca="false">Y576+180</f>
        <v>-77.8553900575349</v>
      </c>
      <c r="AC576" s="0" t="n">
        <v>1</v>
      </c>
      <c r="AD576" s="0" t="n">
        <f aca="false">Rcea1_u*Cc1ea_u*A576*2*Pi</f>
        <v>44.216534247984</v>
      </c>
      <c r="AE576" s="0" t="n">
        <f aca="false">-Rcea1_u*Cc1ea_u*Cc2ea_u*(A576*2*Pi)^2</f>
        <v>-0.0754283140780533</v>
      </c>
      <c r="AF576" s="0" t="n">
        <f aca="false">(Cc2ea_u+Cc1ea_u)*A576*2*Pi</f>
        <v>0.01535296328055</v>
      </c>
      <c r="AG576" s="0" t="n">
        <f aca="false">AC576*AE576/(AE576^2+AF576^2)+AD576*AF576/(AE576^2+AF576^2)</f>
        <v>101.841661219423</v>
      </c>
      <c r="AH576" s="0" t="n">
        <f aca="false">AD576*AE576/(AE576^2+AF576^2)-AC576*AF576/(AE576^2+AF576^2)</f>
        <v>-565.476817083763</v>
      </c>
      <c r="AJ576" s="0" t="n">
        <f aca="false">_Rfb1</f>
        <v>20000</v>
      </c>
      <c r="AK576" s="0" t="n">
        <f aca="false">_Rfb1*Rcea2_u*Cc3ea_u*A576*2*Pi</f>
        <v>2682105.82228512</v>
      </c>
      <c r="AL576" s="0" t="n">
        <v>1</v>
      </c>
      <c r="AM576" s="0" t="n">
        <f aca="false">(_Rfb1+Rcea2_u)*Cc3ea_u*A576*2*Pi</f>
        <v>50173.3930203143</v>
      </c>
      <c r="AN576" s="0" t="n">
        <f aca="false">AJ576*AL576/(AL576^2+AM576^2)+AK576*AM576/(AL576^2+AM576^2)</f>
        <v>53.4567438712266</v>
      </c>
      <c r="AO576" s="0" t="n">
        <f aca="false">AK576*AL576/(AL576^2+AM576^2)-AJ576*AM576/(AL576^2+AM576^2)</f>
        <v>-0.397552209555626</v>
      </c>
      <c r="AQ576" s="0" t="n">
        <f aca="false">Eadcg/(1+(Eadcg*A576/GBP)^2)</f>
        <v>0.00347522564267792</v>
      </c>
      <c r="AR576" s="0" t="n">
        <f aca="false">-(A576*Eadcg*Eadcg/GBP)/(1+(Eadcg*A576/GBP)^2)</f>
        <v>-3.31491348378118</v>
      </c>
      <c r="AT576" s="0" t="n">
        <f aca="false">-AR576*AH576+AG576*AQ576</f>
        <v>-1874.15280296407</v>
      </c>
      <c r="AU576" s="0" t="n">
        <f aca="false">AQ576*AH576+AG576*AR576</f>
        <v>-339.561455522008</v>
      </c>
      <c r="AV576" s="0" t="n">
        <f aca="false">ATAN2(AT576,AU576)</f>
        <v>-2.96235571705286</v>
      </c>
      <c r="AW576" s="0" t="n">
        <f aca="false">AG576-AH576*AO576/_Rfb2+AG576*AN576/_Rfb2+AN576-AO576*AR576+AQ576*AN576</f>
        <v>156.515020826276</v>
      </c>
      <c r="AX576" s="0" t="n">
        <f aca="false">AH576+AH576*AN576/_Rfb2+AG576*AO576/_Rfb2+AO576+AO576*AQ576+AN576*AR576</f>
        <v>-756.701298473751</v>
      </c>
      <c r="AY576" s="0" t="n">
        <f aca="false">ATAN2(AW576,AX576)</f>
        <v>-1.36683394144685</v>
      </c>
      <c r="BA576" s="0" t="n">
        <f aca="false">SQRT(AT576^2+AU576^2)/SQRT(AW576^2+AX576^2)</f>
        <v>2.46488938547365</v>
      </c>
      <c r="BB576" s="0" t="n">
        <f aca="false">20*LOG(BA576)</f>
        <v>7.83594869249782</v>
      </c>
      <c r="BC576" s="0" t="n">
        <f aca="false">AV576-AY576</f>
        <v>-1.595521775606</v>
      </c>
      <c r="BD576" s="0" t="n">
        <f aca="false">BC576*180/Pi-180</f>
        <v>-271.416663967902</v>
      </c>
      <c r="BF576" s="0" t="n">
        <f aca="false">20*LOG(BA576*J576*F576*C576)</f>
        <v>-37.981199291362</v>
      </c>
      <c r="BG576" s="0" t="n">
        <f aca="false">(180/Pi)*(D576+H576+BC576)</f>
        <v>-269.907602262298</v>
      </c>
      <c r="BH576" s="0" t="n">
        <f aca="false">IF(BG576&gt;180,BG576-180,BG576+180)</f>
        <v>-89.9076022622983</v>
      </c>
      <c r="BI576" s="0" t="n">
        <f aca="false">IF(BH576&gt;180,BH576-360,BH576)</f>
        <v>-89.9076022622983</v>
      </c>
      <c r="BJ576" s="0" t="n">
        <f aca="false">SUM((BF577&lt;0)*(BF576&gt;0))*A576</f>
        <v>0</v>
      </c>
      <c r="BK576" s="0" t="n">
        <f aca="false">IF(BJ576&gt;0,BI576,0)</f>
        <v>0</v>
      </c>
      <c r="BM576" s="0" t="n">
        <f aca="false">20*LOG(J576*F576*C576)</f>
        <v>-45.8171479838598</v>
      </c>
      <c r="BN576" s="0" t="n">
        <f aca="false">(H576+D576)*180/Pi</f>
        <v>-178.490938294396</v>
      </c>
      <c r="BQ576" s="347" t="n">
        <f aca="false">20*LOG(BA576*7)</f>
        <v>24.737909492783</v>
      </c>
    </row>
    <row r="577" customFormat="false" ht="12.75" hidden="false" customHeight="false" outlineLevel="0" collapsed="false">
      <c r="A577" s="0" t="n">
        <f aca="false">A576+5000</f>
        <v>1815000</v>
      </c>
      <c r="B577" s="0" t="n">
        <f aca="false">A577/1000</f>
        <v>1815</v>
      </c>
      <c r="C577" s="0" t="n">
        <f aca="false">SQRT((A577/Fesr)^2+1)</f>
        <v>1.00006502328095</v>
      </c>
      <c r="D577" s="0" t="n">
        <f aca="false">ATAN(A577/Fesr)</f>
        <v>0.011403486992479</v>
      </c>
      <c r="F577" s="0" t="n">
        <f aca="false">(Ro/(Ro+Rdcr))/SQRT((A577/(Q*Fo))^2+(1-(A577^2/Fo^2))^2)</f>
        <v>0.000565554936897114</v>
      </c>
      <c r="G577" s="0" t="n">
        <f aca="false">-ATAN(A577*Fo/(Q*(Fo^2-A577^2)))</f>
        <v>0.014924750578449</v>
      </c>
      <c r="H577" s="0" t="n">
        <f aca="false">IF(G577&gt;0,G577-Pi,G577)</f>
        <v>-3.12666789942155</v>
      </c>
      <c r="J577" s="0" t="n">
        <f aca="false">Vin/Vramp</f>
        <v>9</v>
      </c>
      <c r="M577" s="0" t="n">
        <f aca="false">1/(2*Pi*_Rfb1*(Cc1ea_u+Cc2ea_u)*A577)</f>
        <v>0.00324772866592708</v>
      </c>
      <c r="N577" s="0" t="n">
        <f aca="false">-Pi/2</f>
        <v>-1.570796325</v>
      </c>
      <c r="O577" s="0" t="n">
        <f aca="false">SQRT(1+(A577/Fz1_u)^2)</f>
        <v>44.3499547721846</v>
      </c>
      <c r="P577" s="0" t="n">
        <f aca="false">ATAN2(Fz1_u,A577)</f>
        <v>1.54824647844799</v>
      </c>
      <c r="Q577" s="0" t="n">
        <f aca="false">SQRT(1+(A577/Fz2_u)^2)</f>
        <v>50311.9935634575</v>
      </c>
      <c r="R577" s="0" t="n">
        <f aca="false">ATAN2(Fz2_u,A577)</f>
        <v>1.57077645081843</v>
      </c>
      <c r="S577" s="0" t="n">
        <f aca="false">1/SQRT(1+(A577/Fp1_u)^2)</f>
        <v>0.00743607950828472</v>
      </c>
      <c r="T577" s="0" t="n">
        <f aca="false">-ATAN2(Fp1_u,A577)</f>
        <v>-1.56336017875489</v>
      </c>
      <c r="U577" s="0" t="n">
        <f aca="false">1/SQRT(1+(A577/Fp2_u)^2)</f>
        <v>0.198926313836504</v>
      </c>
      <c r="V577" s="0" t="n">
        <f aca="false">-ATAN2(Fp2_u,A577)</f>
        <v>-1.37053411004329</v>
      </c>
      <c r="X577" s="0" t="n">
        <f aca="false">20*LOG(C577*J577*O577*Q577*F577*M577*S577*U577)</f>
        <v>-25.2614749711014</v>
      </c>
      <c r="Y577" s="0" t="n">
        <f aca="false">(180/Pi)*(D577+H577+N577+P577+R577+T577+V577)</f>
        <v>-257.884413325499</v>
      </c>
      <c r="Z577" s="0" t="n">
        <f aca="false">Y577+180</f>
        <v>-77.8844133254986</v>
      </c>
      <c r="AC577" s="0" t="n">
        <v>1</v>
      </c>
      <c r="AD577" s="0" t="n">
        <f aca="false">Rcea1_u*Cc1ea_u*A577*2*Pi</f>
        <v>44.338679370216</v>
      </c>
      <c r="AE577" s="0" t="n">
        <f aca="false">-Rcea1_u*Cc1ea_u*Cc2ea_u*(A577*2*Pi)^2</f>
        <v>-0.0758456206903865</v>
      </c>
      <c r="AF577" s="0" t="n">
        <f aca="false">(Cc2ea_u+Cc1ea_u)*A577*2*Pi</f>
        <v>0.015395374781325</v>
      </c>
      <c r="AG577" s="0" t="n">
        <f aca="false">AC577*AE577/(AE577^2+AF577^2)+AD577*AF577/(AE577^2+AF577^2)</f>
        <v>101.303496541643</v>
      </c>
      <c r="AH577" s="0" t="n">
        <f aca="false">AD577*AE577/(AE577^2+AF577^2)-AC577*AF577/(AE577^2+AF577^2)</f>
        <v>-564.028268012065</v>
      </c>
      <c r="AJ577" s="0" t="n">
        <f aca="false">_Rfb1</f>
        <v>20000</v>
      </c>
      <c r="AK577" s="0" t="n">
        <f aca="false">_Rfb1*Rcea2_u*Cc3ea_u*A577*2*Pi</f>
        <v>2689514.95439088</v>
      </c>
      <c r="AL577" s="0" t="n">
        <v>1</v>
      </c>
      <c r="AM577" s="0" t="n">
        <f aca="false">(_Rfb1+Rcea2_u)*Cc3ea_u*A577*2*Pi</f>
        <v>50311.9935535195</v>
      </c>
      <c r="AN577" s="0" t="n">
        <f aca="false">AJ577*AL577/(AL577^2+AM577^2)+AK577*AM577/(AL577^2+AM577^2)</f>
        <v>53.4567438276308</v>
      </c>
      <c r="AO577" s="0" t="n">
        <f aca="false">AK577*AL577/(AL577^2+AM577^2)-AJ577*AM577/(AL577^2+AM577^2)</f>
        <v>-0.396457024406202</v>
      </c>
      <c r="AQ577" s="0" t="n">
        <f aca="false">Eadcg/(1+(Eadcg*A577/GBP)^2)</f>
        <v>0.0034561047884781</v>
      </c>
      <c r="AR577" s="0" t="n">
        <f aca="false">-(A577*Eadcg*Eadcg/GBP)/(1+(Eadcg*A577/GBP)^2)</f>
        <v>-3.30578151070325</v>
      </c>
      <c r="AT577" s="0" t="n">
        <f aca="false">-AR577*AH577+AG577*AQ577</f>
        <v>-1864.20410440877</v>
      </c>
      <c r="AU577" s="0" t="n">
        <f aca="false">AQ577*AH577+AG577*AR577</f>
        <v>-336.836566634869</v>
      </c>
      <c r="AV577" s="0" t="n">
        <f aca="false">ATAN2(AT577,AU577)</f>
        <v>-2.96283481272476</v>
      </c>
      <c r="AW577" s="0" t="n">
        <f aca="false">AG577-AH577*AO577/_Rfb2+AG577*AN577/_Rfb2+AN577-AO577*AR577+AQ577*AN577</f>
        <v>155.970676119117</v>
      </c>
      <c r="AX577" s="0" t="n">
        <f aca="false">AH577+AH577*AN577/_Rfb2+AG577*AO577/_Rfb2+AO577+AO577*AQ577+AN577*AR577</f>
        <v>-754.728485304133</v>
      </c>
      <c r="AY577" s="0" t="n">
        <f aca="false">ATAN2(AW577,AX577)</f>
        <v>-1.36700712149531</v>
      </c>
      <c r="BA577" s="0" t="n">
        <f aca="false">SQRT(AT577^2+AU577^2)/SQRT(AW577^2+AX577^2)</f>
        <v>2.45808863211911</v>
      </c>
      <c r="BB577" s="0" t="n">
        <f aca="false">20*LOG(BA577)</f>
        <v>7.81195076666592</v>
      </c>
      <c r="BC577" s="0" t="n">
        <f aca="false">AV577-AY577</f>
        <v>-1.59582769122945</v>
      </c>
      <c r="BD577" s="0" t="n">
        <f aca="false">BC577*180/Pi-180</f>
        <v>-271.434191642033</v>
      </c>
      <c r="BF577" s="0" t="n">
        <f aca="false">20*LOG(BA577*J577*F577*C577)</f>
        <v>-38.0531383213751</v>
      </c>
      <c r="BG577" s="0" t="n">
        <f aca="false">(180/Pi)*(D577+H577+BC577)</f>
        <v>-269.925694745477</v>
      </c>
      <c r="BH577" s="0" t="n">
        <f aca="false">IF(BG577&gt;180,BG577-180,BG577+180)</f>
        <v>-89.9256947454772</v>
      </c>
      <c r="BI577" s="0" t="n">
        <f aca="false">IF(BH577&gt;180,BH577-360,BH577)</f>
        <v>-89.9256947454772</v>
      </c>
      <c r="BJ577" s="0" t="n">
        <f aca="false">SUM((BF578&lt;0)*(BF577&gt;0))*A577</f>
        <v>0</v>
      </c>
      <c r="BK577" s="0" t="n">
        <f aca="false">IF(BJ577&gt;0,BI577,0)</f>
        <v>0</v>
      </c>
      <c r="BM577" s="0" t="n">
        <f aca="false">20*LOG(J577*F577*C577)</f>
        <v>-45.865089088041</v>
      </c>
      <c r="BN577" s="0" t="n">
        <f aca="false">(H577+D577)*180/Pi</f>
        <v>-178.491503103444</v>
      </c>
      <c r="BQ577" s="347" t="n">
        <f aca="false">20*LOG(BA577*7)</f>
        <v>24.7139115669511</v>
      </c>
    </row>
    <row r="578" customFormat="false" ht="12.75" hidden="false" customHeight="false" outlineLevel="0" collapsed="false">
      <c r="A578" s="0" t="n">
        <f aca="false">A577+5000</f>
        <v>1820000</v>
      </c>
      <c r="B578" s="0" t="n">
        <f aca="false">A578/1000</f>
        <v>1820</v>
      </c>
      <c r="C578" s="0" t="n">
        <f aca="false">SQRT((A578/Fesr)^2+1)</f>
        <v>1.00006538201768</v>
      </c>
      <c r="D578" s="0" t="n">
        <f aca="false">ATAN(A578/Fesr)</f>
        <v>0.0114348988225815</v>
      </c>
      <c r="F578" s="0" t="n">
        <f aca="false">(Ro/(Ro+Rdcr))/SQRT((A578/(Q*Fo))^2+(1-(A578^2/Fo^2))^2)</f>
        <v>0.000562450345776857</v>
      </c>
      <c r="G578" s="0" t="n">
        <f aca="false">-ATAN(A578*Fo/(Q*(Fo^2-A578^2)))</f>
        <v>0.0148837080406174</v>
      </c>
      <c r="H578" s="0" t="n">
        <f aca="false">IF(G578&gt;0,G578-Pi,G578)</f>
        <v>-3.12670894195938</v>
      </c>
      <c r="J578" s="0" t="n">
        <f aca="false">Vin/Vramp</f>
        <v>9</v>
      </c>
      <c r="M578" s="0" t="n">
        <f aca="false">1/(2*Pi*_Rfb1*(Cc1ea_u+Cc2ea_u)*A578)</f>
        <v>0.00323880633442728</v>
      </c>
      <c r="N578" s="0" t="n">
        <f aca="false">-Pi/2</f>
        <v>-1.570796325</v>
      </c>
      <c r="O578" s="0" t="n">
        <f aca="false">SQRT(1+(A578/Fz1_u)^2)</f>
        <v>44.4720689258805</v>
      </c>
      <c r="P578" s="0" t="n">
        <f aca="false">ATAN2(Fz1_u,A578)</f>
        <v>1.54830840766845</v>
      </c>
      <c r="Q578" s="0" t="n">
        <f aca="false">SQRT(1+(A578/Fz2_u)^2)</f>
        <v>50450.5940966355</v>
      </c>
      <c r="R578" s="0" t="n">
        <f aca="false">ATAN2(Fz2_u,A578)</f>
        <v>1.57077650542276</v>
      </c>
      <c r="S578" s="0" t="n">
        <f aca="false">1/SQRT(1+(A578/Fp1_u)^2)</f>
        <v>0.00741565184339193</v>
      </c>
      <c r="T578" s="0" t="n">
        <f aca="false">-ATAN2(Fp1_u,A578)</f>
        <v>-1.56338060698304</v>
      </c>
      <c r="U578" s="0" t="n">
        <f aca="false">1/SQRT(1+(A578/Fp2_u)^2)</f>
        <v>0.198401353402142</v>
      </c>
      <c r="V578" s="0" t="n">
        <f aca="false">-ATAN2(Fp2_u,A578)</f>
        <v>-1.37106974696471</v>
      </c>
      <c r="X578" s="0" t="n">
        <f aca="false">20*LOG(C578*J578*O578*Q578*F578*M578*S578*U578)</f>
        <v>-25.3322469416342</v>
      </c>
      <c r="Y578" s="0" t="n">
        <f aca="false">(180/Pi)*(D578+H578+N578+P578+R578+T578+V578)</f>
        <v>-257.913273899084</v>
      </c>
      <c r="Z578" s="0" t="n">
        <f aca="false">Y578+180</f>
        <v>-77.9132738990839</v>
      </c>
      <c r="AC578" s="0" t="n">
        <v>1</v>
      </c>
      <c r="AD578" s="0" t="n">
        <f aca="false">Rcea1_u*Cc1ea_u*A578*2*Pi</f>
        <v>44.460824492448</v>
      </c>
      <c r="AE578" s="0" t="n">
        <f aca="false">-Rcea1_u*Cc1ea_u*Cc2ea_u*(A578*2*Pi)^2</f>
        <v>-0.0762640784933744</v>
      </c>
      <c r="AF578" s="0" t="n">
        <f aca="false">(Cc2ea_u+Cc1ea_u)*A578*2*Pi</f>
        <v>0.0154377862821</v>
      </c>
      <c r="AG578" s="0" t="n">
        <f aca="false">AC578*AE578/(AE578^2+AF578^2)+AD578*AF578/(AE578^2+AF578^2)</f>
        <v>100.769528401412</v>
      </c>
      <c r="AH578" s="0" t="n">
        <f aca="false">AD578*AE578/(AE578^2+AF578^2)-AC578*AF578/(AE578^2+AF578^2)</f>
        <v>-562.586828515426</v>
      </c>
      <c r="AJ578" s="0" t="n">
        <f aca="false">_Rfb1</f>
        <v>20000</v>
      </c>
      <c r="AK578" s="0" t="n">
        <f aca="false">_Rfb1*Rcea2_u*Cc3ea_u*A578*2*Pi</f>
        <v>2696924.08649664</v>
      </c>
      <c r="AL578" s="0" t="n">
        <v>1</v>
      </c>
      <c r="AM578" s="0" t="n">
        <f aca="false">(_Rfb1+Rcea2_u)*Cc3ea_u*A578*2*Pi</f>
        <v>50450.5940867248</v>
      </c>
      <c r="AN578" s="0" t="n">
        <f aca="false">AJ578*AL578/(AL578^2+AM578^2)+AK578*AM578/(AL578^2+AM578^2)</f>
        <v>53.4567437843937</v>
      </c>
      <c r="AO578" s="0" t="n">
        <f aca="false">AK578*AL578/(AL578^2+AM578^2)-AJ578*AM578/(AL578^2+AM578^2)</f>
        <v>-0.395367856757591</v>
      </c>
      <c r="AQ578" s="0" t="n">
        <f aca="false">Eadcg/(1+(Eadcg*A578/GBP)^2)</f>
        <v>0.00343714130693902</v>
      </c>
      <c r="AR578" s="0" t="n">
        <f aca="false">-(A578*Eadcg*Eadcg/GBP)/(1+(Eadcg*A578/GBP)^2)</f>
        <v>-3.29669971313749</v>
      </c>
      <c r="AT578" s="0" t="n">
        <f aca="false">-AR578*AH578+AG578*AQ578</f>
        <v>-1854.33347707319</v>
      </c>
      <c r="AU578" s="0" t="n">
        <f aca="false">AQ578*AH578+AG578*AR578</f>
        <v>-334.140565800965</v>
      </c>
      <c r="AV578" s="0" t="n">
        <f aca="false">ATAN2(AT578,AU578)</f>
        <v>-2.96331139260073</v>
      </c>
      <c r="AW578" s="0" t="n">
        <f aca="false">AG578-AH578*AO578/_Rfb2+AG578*AN578/_Rfb2+AN578-AO578*AR578+AQ578*AN578</f>
        <v>155.430573418624</v>
      </c>
      <c r="AX578" s="0" t="n">
        <f aca="false">AH578+AH578*AN578/_Rfb2+AG578*AO578/_Rfb2+AO578+AO578*AQ578+AN578*AR578</f>
        <v>-752.765642648053</v>
      </c>
      <c r="AY578" s="0" t="n">
        <f aca="false">ATAN2(AW578,AX578)</f>
        <v>-1.36717843996038</v>
      </c>
      <c r="BA578" s="0" t="n">
        <f aca="false">SQRT(AT578^2+AU578^2)/SQRT(AW578^2+AX578^2)</f>
        <v>2.45132498873116</v>
      </c>
      <c r="BB578" s="0" t="n">
        <f aca="false">20*LOG(BA578)</f>
        <v>7.78801784851126</v>
      </c>
      <c r="BC578" s="0" t="n">
        <f aca="false">AV578-AY578</f>
        <v>-1.59613295264035</v>
      </c>
      <c r="BD578" s="0" t="n">
        <f aca="false">BC578*180/Pi-180</f>
        <v>-271.451681832545</v>
      </c>
      <c r="BF578" s="0" t="n">
        <f aca="false">20*LOG(BA578*J578*F578*C578)</f>
        <v>-38.1248803181898</v>
      </c>
      <c r="BG578" s="0" t="n">
        <f aca="false">(180/Pi)*(D578+H578+BC578)</f>
        <v>-269.943736734897</v>
      </c>
      <c r="BH578" s="0" t="n">
        <f aca="false">IF(BG578&gt;180,BG578-180,BG578+180)</f>
        <v>-89.9437367348966</v>
      </c>
      <c r="BI578" s="0" t="n">
        <f aca="false">IF(BH578&gt;180,BH578-360,BH578)</f>
        <v>-89.9437367348966</v>
      </c>
      <c r="BJ578" s="0" t="n">
        <f aca="false">SUM((BF579&lt;0)*(BF578&gt;0))*A578</f>
        <v>0</v>
      </c>
      <c r="BK578" s="0" t="n">
        <f aca="false">IF(BJ578&gt;0,BI578,0)</f>
        <v>0</v>
      </c>
      <c r="BM578" s="0" t="n">
        <f aca="false">20*LOG(J578*F578*C578)</f>
        <v>-45.9128981667011</v>
      </c>
      <c r="BN578" s="0" t="n">
        <f aca="false">(H578+D578)*180/Pi</f>
        <v>-178.492054902352</v>
      </c>
      <c r="BQ578" s="347" t="n">
        <f aca="false">20*LOG(BA578*7)</f>
        <v>24.6899786487964</v>
      </c>
    </row>
    <row r="579" customFormat="false" ht="12.75" hidden="false" customHeight="false" outlineLevel="0" collapsed="false">
      <c r="A579" s="0" t="n">
        <f aca="false">A578+5000</f>
        <v>1825000</v>
      </c>
      <c r="B579" s="0" t="n">
        <f aca="false">A579/1000</f>
        <v>1825</v>
      </c>
      <c r="C579" s="0" t="n">
        <f aca="false">SQRT((A579/Fesr)^2+1)</f>
        <v>1.00006574174118</v>
      </c>
      <c r="D579" s="0" t="n">
        <f aca="false">ATAN(A579/Fesr)</f>
        <v>0.0114663106301174</v>
      </c>
      <c r="F579" s="0" t="n">
        <f aca="false">(Ro/(Ro+Rdcr))/SQRT((A579/(Q*Fo))^2+(1-(A579^2/Fo^2))^2)</f>
        <v>0.000559371252298647</v>
      </c>
      <c r="G579" s="0" t="n">
        <f aca="false">-ATAN(A579*Fo/(Q*(Fo^2-A579^2)))</f>
        <v>0.0148428907248991</v>
      </c>
      <c r="H579" s="0" t="n">
        <f aca="false">IF(G579&gt;0,G579-Pi,G579)</f>
        <v>-3.1267497592751</v>
      </c>
      <c r="J579" s="0" t="n">
        <f aca="false">Vin/Vramp</f>
        <v>9</v>
      </c>
      <c r="M579" s="0" t="n">
        <f aca="false">1/(2*Pi*_Rfb1*(Cc1ea_u+Cc2ea_u)*A579)</f>
        <v>0.00322993289241515</v>
      </c>
      <c r="N579" s="0" t="n">
        <f aca="false">-Pi/2</f>
        <v>-1.570796325</v>
      </c>
      <c r="O579" s="0" t="n">
        <f aca="false">SQRT(1+(A579/Fz1_u)^2)</f>
        <v>44.5941832492028</v>
      </c>
      <c r="P579" s="0" t="n">
        <f aca="false">ATAN2(Fz1_u,A579)</f>
        <v>1.54836999772183</v>
      </c>
      <c r="Q579" s="0" t="n">
        <f aca="false">SQRT(1+(A579/Fz2_u)^2)</f>
        <v>50589.1946298137</v>
      </c>
      <c r="R579" s="0" t="n">
        <f aca="false">ATAN2(Fz2_u,A579)</f>
        <v>1.57077655972789</v>
      </c>
      <c r="S579" s="0" t="n">
        <f aca="false">1/SQRT(1+(A579/Fp1_u)^2)</f>
        <v>0.00739533610170169</v>
      </c>
      <c r="T579" s="0" t="n">
        <f aca="false">-ATAN2(Fp1_u,A579)</f>
        <v>-1.56340092328182</v>
      </c>
      <c r="U579" s="0" t="n">
        <f aca="false">1/SQRT(1+(A579/Fp2_u)^2)</f>
        <v>0.197879100058767</v>
      </c>
      <c r="V579" s="0" t="n">
        <f aca="false">-ATAN2(Fp2_u,A579)</f>
        <v>-1.3716025641163</v>
      </c>
      <c r="X579" s="0" t="n">
        <f aca="false">20*LOG(C579*J579*O579*Q579*F579*M579*S579*U579)</f>
        <v>-25.4028295056895</v>
      </c>
      <c r="Y579" s="0" t="n">
        <f aca="false">(180/Pi)*(D579+H579+N579+P579+R579+T579+V579)</f>
        <v>-257.941973045681</v>
      </c>
      <c r="Z579" s="0" t="n">
        <f aca="false">Y579+180</f>
        <v>-77.9419730456811</v>
      </c>
      <c r="AC579" s="0" t="n">
        <v>1</v>
      </c>
      <c r="AD579" s="0" t="n">
        <f aca="false">Rcea1_u*Cc1ea_u*A579*2*Pi</f>
        <v>44.58296961468</v>
      </c>
      <c r="AE579" s="0" t="n">
        <f aca="false">-Rcea1_u*Cc1ea_u*Cc2ea_u*(A579*2*Pi)^2</f>
        <v>-0.076683687487017</v>
      </c>
      <c r="AF579" s="0" t="n">
        <f aca="false">(Cc2ea_u+Cc1ea_u)*A579*2*Pi</f>
        <v>0.015480197782875</v>
      </c>
      <c r="AG579" s="0" t="n">
        <f aca="false">AC579*AE579/(AE579^2+AF579^2)+AD579*AF579/(AE579^2+AF579^2)</f>
        <v>100.239713894573</v>
      </c>
      <c r="AH579" s="0" t="n">
        <f aca="false">AD579*AE579/(AE579^2+AF579^2)-AC579*AF579/(AE579^2+AF579^2)</f>
        <v>-561.152448820079</v>
      </c>
      <c r="AJ579" s="0" t="n">
        <f aca="false">_Rfb1</f>
        <v>20000</v>
      </c>
      <c r="AK579" s="0" t="n">
        <f aca="false">_Rfb1*Rcea2_u*Cc3ea_u*A579*2*Pi</f>
        <v>2704333.2186024</v>
      </c>
      <c r="AL579" s="0" t="n">
        <v>1</v>
      </c>
      <c r="AM579" s="0" t="n">
        <f aca="false">(_Rfb1+Rcea2_u)*Cc3ea_u*A579*2*Pi</f>
        <v>50589.1946199301</v>
      </c>
      <c r="AN579" s="0" t="n">
        <f aca="false">AJ579*AL579/(AL579^2+AM579^2)+AK579*AM579/(AL579^2+AM579^2)</f>
        <v>53.4567437415115</v>
      </c>
      <c r="AO579" s="0" t="n">
        <f aca="false">AK579*AL579/(AL579^2+AM579^2)-AJ579*AM579/(AL579^2+AM579^2)</f>
        <v>-0.394284657150884</v>
      </c>
      <c r="AQ579" s="0" t="n">
        <f aca="false">Eadcg/(1+(Eadcg*A579/GBP)^2)</f>
        <v>0.00341833347579655</v>
      </c>
      <c r="AR579" s="0" t="n">
        <f aca="false">-(A579*Eadcg*Eadcg/GBP)/(1+(Eadcg*A579/GBP)^2)</f>
        <v>-3.28766767868423</v>
      </c>
      <c r="AT579" s="0" t="n">
        <f aca="false">-AR579*AH579+AG579*AQ579</f>
        <v>-1844.54011603067</v>
      </c>
      <c r="AU579" s="0" t="n">
        <f aca="false">AQ579*AH579+AG579*AR579</f>
        <v>-331.47307369257</v>
      </c>
      <c r="AV579" s="0" t="n">
        <f aca="false">ATAN2(AT579,AU579)</f>
        <v>-2.96378547613602</v>
      </c>
      <c r="AW579" s="0" t="n">
        <f aca="false">AG579-AH579*AO579/_Rfb2+AG579*AN579/_Rfb2+AN579-AO579*AR579+AQ579*AN579</f>
        <v>154.894669393079</v>
      </c>
      <c r="AX579" s="0" t="n">
        <f aca="false">AH579+AH579*AN579/_Rfb2+AG579*AO579/_Rfb2+AO579+AO579*AQ579+AN579*AR579</f>
        <v>-750.81269741732</v>
      </c>
      <c r="AY579" s="0" t="n">
        <f aca="false">ATAN2(AW579,AX579)</f>
        <v>-1.36734791100541</v>
      </c>
      <c r="BA579" s="0" t="n">
        <f aca="false">SQRT(AT579^2+AU579^2)/SQRT(AW579^2+AX579^2)</f>
        <v>2.44459815217051</v>
      </c>
      <c r="BB579" s="0" t="n">
        <f aca="false">20*LOG(BA579)</f>
        <v>7.76414958299138</v>
      </c>
      <c r="BC579" s="0" t="n">
        <f aca="false">AV579-AY579</f>
        <v>-1.59643756513061</v>
      </c>
      <c r="BD579" s="0" t="n">
        <f aca="false">BC579*180/Pi-180</f>
        <v>-271.469134842644</v>
      </c>
      <c r="BF579" s="0" t="n">
        <f aca="false">20*LOG(BA579*J579*F579*C579)</f>
        <v>-38.1964263622128</v>
      </c>
      <c r="BG579" s="0" t="n">
        <f aca="false">(180/Pi)*(D579+H579+BC579)</f>
        <v>-269.96172864092</v>
      </c>
      <c r="BH579" s="0" t="n">
        <f aca="false">IF(BG579&gt;180,BG579-180,BG579+180)</f>
        <v>-89.9617286409196</v>
      </c>
      <c r="BI579" s="0" t="n">
        <f aca="false">IF(BH579&gt;180,BH579-360,BH579)</f>
        <v>-89.9617286409196</v>
      </c>
      <c r="BJ579" s="0" t="n">
        <f aca="false">SUM((BF580&lt;0)*(BF579&gt;0))*A579</f>
        <v>0</v>
      </c>
      <c r="BK579" s="0" t="n">
        <f aca="false">IF(BJ579&gt;0,BI579,0)</f>
        <v>0</v>
      </c>
      <c r="BM579" s="0" t="n">
        <f aca="false">20*LOG(J579*F579*C579)</f>
        <v>-45.9605759452042</v>
      </c>
      <c r="BN579" s="0" t="n">
        <f aca="false">(H579+D579)*180/Pi</f>
        <v>-178.492593798275</v>
      </c>
      <c r="BQ579" s="347" t="n">
        <f aca="false">20*LOG(BA579*7)</f>
        <v>24.6661103832765</v>
      </c>
    </row>
    <row r="580" customFormat="false" ht="12.75" hidden="false" customHeight="false" outlineLevel="0" collapsed="false">
      <c r="A580" s="0" t="n">
        <f aca="false">A579+5000</f>
        <v>1830000</v>
      </c>
      <c r="B580" s="0" t="n">
        <f aca="false">A580/1000</f>
        <v>1830</v>
      </c>
      <c r="C580" s="0" t="n">
        <f aca="false">SQRT((A580/Fesr)^2+1)</f>
        <v>1.00006610245144</v>
      </c>
      <c r="D580" s="0" t="n">
        <f aca="false">ATAN(A580/Fesr)</f>
        <v>0.0114977224150246</v>
      </c>
      <c r="F580" s="0" t="n">
        <f aca="false">(Ro/(Ro+Rdcr))/SQRT((A580/(Q*Fo))^2+(1-(A580^2/Fo^2))^2)</f>
        <v>0.000556317377971093</v>
      </c>
      <c r="G580" s="0" t="n">
        <f aca="false">-ATAN(A580*Fo/(Q*(Fo^2-A580^2)))</f>
        <v>0.0148022967816007</v>
      </c>
      <c r="H580" s="0" t="n">
        <f aca="false">IF(G580&gt;0,G580-Pi,G580)</f>
        <v>-3.1267903532184</v>
      </c>
      <c r="J580" s="0" t="n">
        <f aca="false">Vin/Vramp</f>
        <v>9</v>
      </c>
      <c r="M580" s="0" t="n">
        <f aca="false">1/(2*Pi*_Rfb1*(Cc1ea_u+Cc2ea_u)*A580)</f>
        <v>0.00322110793915718</v>
      </c>
      <c r="N580" s="0" t="n">
        <f aca="false">-Pi/2</f>
        <v>-1.570796325</v>
      </c>
      <c r="O580" s="0" t="n">
        <f aca="false">SQRT(1+(A580/Fz1_u)^2)</f>
        <v>44.7162977407619</v>
      </c>
      <c r="P580" s="0" t="n">
        <f aca="false">ATAN2(Fz1_u,A580)</f>
        <v>1.54843125138631</v>
      </c>
      <c r="Q580" s="0" t="n">
        <f aca="false">SQRT(1+(A580/Fz2_u)^2)</f>
        <v>50727.7951629919</v>
      </c>
      <c r="R580" s="0" t="n">
        <f aca="false">ATAN2(Fz2_u,A580)</f>
        <v>1.57077661373627</v>
      </c>
      <c r="S580" s="0" t="n">
        <f aca="false">1/SQRT(1+(A580/Fp1_u)^2)</f>
        <v>0.00737513136591093</v>
      </c>
      <c r="T580" s="0" t="n">
        <f aca="false">-ATAN2(Fp1_u,A580)</f>
        <v>-1.56342112856863</v>
      </c>
      <c r="U580" s="0" t="n">
        <f aca="false">1/SQRT(1+(A580/Fp2_u)^2)</f>
        <v>0.197359533370929</v>
      </c>
      <c r="V580" s="0" t="n">
        <f aca="false">-ATAN2(Fp2_u,A580)</f>
        <v>-1.37213258340577</v>
      </c>
      <c r="X580" s="0" t="n">
        <f aca="false">20*LOG(C580*J580*O580*Q580*F580*M580*S580*U580)</f>
        <v>-25.473223662743</v>
      </c>
      <c r="Y580" s="0" t="n">
        <f aca="false">(180/Pi)*(D580+H580+N580+P580+R580+T580+V580)</f>
        <v>-257.970512019735</v>
      </c>
      <c r="Z580" s="0" t="n">
        <f aca="false">Y580+180</f>
        <v>-77.9705120197347</v>
      </c>
      <c r="AC580" s="0" t="n">
        <v>1</v>
      </c>
      <c r="AD580" s="0" t="n">
        <f aca="false">Rcea1_u*Cc1ea_u*A580*2*Pi</f>
        <v>44.705114736912</v>
      </c>
      <c r="AE580" s="0" t="n">
        <f aca="false">-Rcea1_u*Cc1ea_u*Cc2ea_u*(A580*2*Pi)^2</f>
        <v>-0.0771044476713143</v>
      </c>
      <c r="AF580" s="0" t="n">
        <f aca="false">(Cc2ea_u+Cc1ea_u)*A580*2*Pi</f>
        <v>0.01552260928365</v>
      </c>
      <c r="AG580" s="0" t="n">
        <f aca="false">AC580*AE580/(AE580^2+AF580^2)+AD580*AF580/(AE580^2+AF580^2)</f>
        <v>99.7140106557204</v>
      </c>
      <c r="AH580" s="0" t="n">
        <f aca="false">AD580*AE580/(AE580^2+AF580^2)-AC580*AF580/(AE580^2+AF580^2)</f>
        <v>-559.725079587771</v>
      </c>
      <c r="AJ580" s="0" t="n">
        <f aca="false">_Rfb1</f>
        <v>20000</v>
      </c>
      <c r="AK580" s="0" t="n">
        <f aca="false">_Rfb1*Rcea2_u*Cc3ea_u*A580*2*Pi</f>
        <v>2711742.35070816</v>
      </c>
      <c r="AL580" s="0" t="n">
        <v>1</v>
      </c>
      <c r="AM580" s="0" t="n">
        <f aca="false">(_Rfb1+Rcea2_u)*Cc3ea_u*A580*2*Pi</f>
        <v>50727.7951531354</v>
      </c>
      <c r="AN580" s="0" t="n">
        <f aca="false">AJ580*AL580/(AL580^2+AM580^2)+AK580*AM580/(AL580^2+AM580^2)</f>
        <v>53.4567436989804</v>
      </c>
      <c r="AO580" s="0" t="n">
        <f aca="false">AK580*AL580/(AL580^2+AM580^2)-AJ580*AM580/(AL580^2+AM580^2)</f>
        <v>-0.393207376667704</v>
      </c>
      <c r="AQ580" s="0" t="n">
        <f aca="false">Eadcg/(1+(Eadcg*A580/GBP)^2)</f>
        <v>0.00339967959628256</v>
      </c>
      <c r="AR580" s="0" t="n">
        <f aca="false">-(A580*Eadcg*Eadcg/GBP)/(1+(Eadcg*A580/GBP)^2)</f>
        <v>-3.27868499945086</v>
      </c>
      <c r="AT580" s="0" t="n">
        <f aca="false">-AR580*AH580+AG580*AQ580</f>
        <v>-1834.82322657337</v>
      </c>
      <c r="AU580" s="0" t="n">
        <f aca="false">AQ580*AH580+AG580*AR580</f>
        <v>-328.833716904596</v>
      </c>
      <c r="AV580" s="0" t="n">
        <f aca="false">ATAN2(AT580,AU580)</f>
        <v>-2.96425708258915</v>
      </c>
      <c r="AW580" s="0" t="n">
        <f aca="false">AG580-AH580*AO580/_Rfb2+AG580*AN580/_Rfb2+AN580-AO580*AR580+AQ580*AN580</f>
        <v>154.362921254263</v>
      </c>
      <c r="AX580" s="0" t="n">
        <f aca="false">AH580+AH580*AN580/_Rfb2+AG580*AO580/_Rfb2+AO580+AO580*AQ580+AN580*AR580</f>
        <v>-748.869577211553</v>
      </c>
      <c r="AY580" s="0" t="n">
        <f aca="false">ATAN2(AW580,AX580)</f>
        <v>-1.36751554865448</v>
      </c>
      <c r="BA580" s="0" t="n">
        <f aca="false">SQRT(AT580^2+AU580^2)/SQRT(AW580^2+AX580^2)</f>
        <v>2.43790782258567</v>
      </c>
      <c r="BB580" s="0" t="n">
        <f aca="false">20*LOG(BA580)</f>
        <v>7.7403456179426</v>
      </c>
      <c r="BC580" s="0" t="n">
        <f aca="false">AV580-AY580</f>
        <v>-1.59674153393468</v>
      </c>
      <c r="BD580" s="0" t="n">
        <f aca="false">BC580*180/Pi-180</f>
        <v>-271.486550972241</v>
      </c>
      <c r="BF580" s="0" t="n">
        <f aca="false">20*LOG(BA580*J580*F580*C580)</f>
        <v>-38.2677775250074</v>
      </c>
      <c r="BG580" s="0" t="n">
        <f aca="false">(180/Pi)*(D580+H580+BC580)</f>
        <v>-269.979670869439</v>
      </c>
      <c r="BH580" s="0" t="n">
        <f aca="false">IF(BG580&gt;180,BG580-180,BG580+180)</f>
        <v>-89.9796708694391</v>
      </c>
      <c r="BI580" s="0" t="n">
        <f aca="false">IF(BH580&gt;180,BH580-360,BH580)</f>
        <v>-89.9796708694391</v>
      </c>
      <c r="BJ580" s="0" t="n">
        <f aca="false">SUM((BF581&lt;0)*(BF580&gt;0))*A580</f>
        <v>0</v>
      </c>
      <c r="BK580" s="0" t="n">
        <f aca="false">IF(BJ580&gt;0,BI580,0)</f>
        <v>0</v>
      </c>
      <c r="BM580" s="0" t="n">
        <f aca="false">20*LOG(J580*F580*C580)</f>
        <v>-46.00812314295</v>
      </c>
      <c r="BN580" s="0" t="n">
        <f aca="false">(H580+D580)*180/Pi</f>
        <v>-178.493119897199</v>
      </c>
      <c r="BQ580" s="347" t="n">
        <f aca="false">20*LOG(BA580*7)</f>
        <v>24.6423064182277</v>
      </c>
    </row>
    <row r="581" customFormat="false" ht="12.75" hidden="false" customHeight="false" outlineLevel="0" collapsed="false">
      <c r="A581" s="0" t="n">
        <f aca="false">A580+5000</f>
        <v>1835000</v>
      </c>
      <c r="B581" s="0" t="n">
        <f aca="false">A581/1000</f>
        <v>1835</v>
      </c>
      <c r="C581" s="0" t="n">
        <f aca="false">SQRT((A581/Fesr)^2+1)</f>
        <v>1.00006646414847</v>
      </c>
      <c r="D581" s="0" t="n">
        <f aca="false">ATAN(A581/Fesr)</f>
        <v>0.0115291341772413</v>
      </c>
      <c r="F581" s="0" t="n">
        <f aca="false">(Ro/(Ro+Rdcr))/SQRT((A581/(Q*Fo))^2+(1-(A581^2/Fo^2))^2)</f>
        <v>0.000553288448095205</v>
      </c>
      <c r="G581" s="0" t="n">
        <f aca="false">-ATAN(A581*Fo/(Q*(Fo^2-A581^2)))</f>
        <v>0.0147619243812379</v>
      </c>
      <c r="H581" s="0" t="n">
        <f aca="false">IF(G581&gt;0,G581-Pi,G581)</f>
        <v>-3.12683072561876</v>
      </c>
      <c r="J581" s="0" t="n">
        <f aca="false">Vin/Vramp</f>
        <v>9</v>
      </c>
      <c r="M581" s="0" t="n">
        <f aca="false">1/(2*Pi*_Rfb1*(Cc1ea_u+Cc2ea_u)*A581)</f>
        <v>0.00321233107828754</v>
      </c>
      <c r="N581" s="0" t="n">
        <f aca="false">-Pi/2</f>
        <v>-1.570796325</v>
      </c>
      <c r="O581" s="0" t="n">
        <f aca="false">SQRT(1+(A581/Fz1_u)^2)</f>
        <v>44.8384123991832</v>
      </c>
      <c r="P581" s="0" t="n">
        <f aca="false">ATAN2(Fz1_u,A581)</f>
        <v>1.54849217140985</v>
      </c>
      <c r="Q581" s="0" t="n">
        <f aca="false">SQRT(1+(A581/Fz2_u)^2)</f>
        <v>50866.3956961704</v>
      </c>
      <c r="R581" s="0" t="n">
        <f aca="false">ATAN2(Fz2_u,A581)</f>
        <v>1.57077666745033</v>
      </c>
      <c r="S581" s="0" t="n">
        <f aca="false">1/SQRT(1+(A581/Fp1_u)^2)</f>
        <v>0.00735503672871304</v>
      </c>
      <c r="T581" s="0" t="n">
        <f aca="false">-ATAN2(Fp1_u,A581)</f>
        <v>-1.56344122375087</v>
      </c>
      <c r="U581" s="0" t="n">
        <f aca="false">1/SQRT(1+(A581/Fp2_u)^2)</f>
        <v>0.196842633103499</v>
      </c>
      <c r="V581" s="0" t="n">
        <f aca="false">-ATAN2(Fp2_u,A581)</f>
        <v>-1.37265982651761</v>
      </c>
      <c r="X581" s="0" t="n">
        <f aca="false">20*LOG(C581*J581*O581*Q581*F581*M581*S581*U581)</f>
        <v>-25.5434304044635</v>
      </c>
      <c r="Y581" s="0" t="n">
        <f aca="false">(180/Pi)*(D581+H581+N581+P581+R581+T581+V581)</f>
        <v>-257.998892062905</v>
      </c>
      <c r="Z581" s="0" t="n">
        <f aca="false">Y581+180</f>
        <v>-77.9988920629055</v>
      </c>
      <c r="AC581" s="0" t="n">
        <v>1</v>
      </c>
      <c r="AD581" s="0" t="n">
        <f aca="false">Rcea1_u*Cc1ea_u*A581*2*Pi</f>
        <v>44.827259859144</v>
      </c>
      <c r="AE581" s="0" t="n">
        <f aca="false">-Rcea1_u*Cc1ea_u*Cc2ea_u*(A581*2*Pi)^2</f>
        <v>-0.0775263590462663</v>
      </c>
      <c r="AF581" s="0" t="n">
        <f aca="false">(Cc2ea_u+Cc1ea_u)*A581*2*Pi</f>
        <v>0.015565020784425</v>
      </c>
      <c r="AG581" s="0" t="n">
        <f aca="false">AC581*AE581/(AE581^2+AF581^2)+AD581*AF581/(AE581^2+AF581^2)</f>
        <v>99.1923768502243</v>
      </c>
      <c r="AH581" s="0" t="n">
        <f aca="false">AD581*AE581/(AE581^2+AF581^2)-AC581*AF581/(AE581^2+AF581^2)</f>
        <v>-558.304671911434</v>
      </c>
      <c r="AJ581" s="0" t="n">
        <f aca="false">_Rfb1</f>
        <v>20000</v>
      </c>
      <c r="AK581" s="0" t="n">
        <f aca="false">_Rfb1*Rcea2_u*Cc3ea_u*A581*2*Pi</f>
        <v>2719151.48281392</v>
      </c>
      <c r="AL581" s="0" t="n">
        <v>1</v>
      </c>
      <c r="AM581" s="0" t="n">
        <f aca="false">(_Rfb1+Rcea2_u)*Cc3ea_u*A581*2*Pi</f>
        <v>50866.3956863407</v>
      </c>
      <c r="AN581" s="0" t="n">
        <f aca="false">AJ581*AL581/(AL581^2+AM581^2)+AK581*AM581/(AL581^2+AM581^2)</f>
        <v>53.4567436567964</v>
      </c>
      <c r="AO581" s="0" t="n">
        <f aca="false">AK581*AL581/(AL581^2+AM581^2)-AJ581*AM581/(AL581^2+AM581^2)</f>
        <v>-0.392135966922844</v>
      </c>
      <c r="AQ581" s="0" t="n">
        <f aca="false">Eadcg/(1+(Eadcg*A581/GBP)^2)</f>
        <v>0.00338117799274124</v>
      </c>
      <c r="AR581" s="0" t="n">
        <f aca="false">-(A581*Eadcg*Eadcg/GBP)/(1+(Eadcg*A581/GBP)^2)</f>
        <v>-3.26975127199045</v>
      </c>
      <c r="AT581" s="0" t="n">
        <f aca="false">-AR581*AH581+AG581*AQ581</f>
        <v>-1825.18202405897</v>
      </c>
      <c r="AU581" s="0" t="n">
        <f aca="false">AQ581*AH581+AG581*AR581</f>
        <v>-326.222127847689</v>
      </c>
      <c r="AV581" s="0" t="n">
        <f aca="false">ATAN2(AT581,AU581)</f>
        <v>-2.96472623102427</v>
      </c>
      <c r="AW581" s="0" t="n">
        <f aca="false">AG581-AH581*AO581/_Rfb2+AG581*AN581/_Rfb2+AN581-AO581*AR581+AQ581*AN581</f>
        <v>153.835286749432</v>
      </c>
      <c r="AX581" s="0" t="n">
        <f aca="false">AH581+AH581*AN581/_Rfb2+AG581*AO581/_Rfb2+AO581+AO581*AQ581+AN581*AR581</f>
        <v>-746.936210310452</v>
      </c>
      <c r="AY581" s="0" t="n">
        <f aca="false">ATAN2(AW581,AX581)</f>
        <v>-1.36768136679408</v>
      </c>
      <c r="BA581" s="0" t="n">
        <f aca="false">SQRT(AT581^2+AU581^2)/SQRT(AW581^2+AX581^2)</f>
        <v>2.43125370336857</v>
      </c>
      <c r="BB581" s="0" t="n">
        <f aca="false">20*LOG(BA581)</f>
        <v>7.7166056040491</v>
      </c>
      <c r="BC581" s="0" t="n">
        <f aca="false">AV581-AY581</f>
        <v>-1.59704486423019</v>
      </c>
      <c r="BD581" s="0" t="n">
        <f aca="false">BC581*180/Pi-180</f>
        <v>-271.503930517992</v>
      </c>
      <c r="BF581" s="0" t="n">
        <f aca="false">20*LOG(BA581*J581*F581*C581)</f>
        <v>-38.3389348693898</v>
      </c>
      <c r="BG581" s="0" t="n">
        <f aca="false">(180/Pi)*(D581+H581+BC581)</f>
        <v>-269.997563821939</v>
      </c>
      <c r="BH581" s="0" t="n">
        <f aca="false">IF(BG581&gt;180,BG581-180,BG581+180)</f>
        <v>-89.9975638219385</v>
      </c>
      <c r="BI581" s="0" t="n">
        <f aca="false">IF(BH581&gt;180,BH581-360,BH581)</f>
        <v>-89.9975638219385</v>
      </c>
      <c r="BJ581" s="0" t="n">
        <f aca="false">SUM((BF582&lt;0)*(BF581&gt;0))*A581</f>
        <v>0</v>
      </c>
      <c r="BK581" s="0" t="n">
        <f aca="false">IF(BJ581&gt;0,BI581,0)</f>
        <v>0</v>
      </c>
      <c r="BM581" s="0" t="n">
        <f aca="false">20*LOG(J581*F581*C581)</f>
        <v>-46.0555404734389</v>
      </c>
      <c r="BN581" s="0" t="n">
        <f aca="false">(H581+D581)*180/Pi</f>
        <v>-178.493633303947</v>
      </c>
      <c r="BQ581" s="347" t="n">
        <f aca="false">20*LOG(BA581*7)</f>
        <v>24.6185664043342</v>
      </c>
    </row>
    <row r="582" customFormat="false" ht="12.75" hidden="false" customHeight="false" outlineLevel="0" collapsed="false">
      <c r="A582" s="0" t="n">
        <f aca="false">A581+5000</f>
        <v>1840000</v>
      </c>
      <c r="B582" s="0" t="n">
        <f aca="false">A582/1000</f>
        <v>1840</v>
      </c>
      <c r="C582" s="0" t="n">
        <f aca="false">SQRT((A582/Fesr)^2+1)</f>
        <v>1.00006682683226</v>
      </c>
      <c r="D582" s="0" t="n">
        <f aca="false">ATAN(A582/Fesr)</f>
        <v>0.0115605459167054</v>
      </c>
      <c r="F582" s="0" t="n">
        <f aca="false">(Ro/(Ro+Rdcr))/SQRT((A582/(Q*Fo))^2+(1-(A582^2/Fo^2))^2)</f>
        <v>0.000550284191702571</v>
      </c>
      <c r="G582" s="0" t="n">
        <f aca="false">-ATAN(A582*Fo/(Q*(Fo^2-A582^2)))</f>
        <v>0.0147217717142602</v>
      </c>
      <c r="H582" s="0" t="n">
        <f aca="false">IF(G582&gt;0,G582-Pi,G582)</f>
        <v>-3.12687087828574</v>
      </c>
      <c r="J582" s="0" t="n">
        <f aca="false">Vin/Vramp</f>
        <v>9</v>
      </c>
      <c r="M582" s="0" t="n">
        <f aca="false">1/(2*Pi*_Rfb1*(Cc1ea_u+Cc2ea_u)*A582)</f>
        <v>0.00320360191774872</v>
      </c>
      <c r="N582" s="0" t="n">
        <f aca="false">-Pi/2</f>
        <v>-1.570796325</v>
      </c>
      <c r="O582" s="0" t="n">
        <f aca="false">SQRT(1+(A582/Fz1_u)^2)</f>
        <v>44.9605272231071</v>
      </c>
      <c r="P582" s="0" t="n">
        <f aca="false">ATAN2(Fz1_u,A582)</f>
        <v>1.54855276051053</v>
      </c>
      <c r="Q582" s="0" t="n">
        <f aca="false">SQRT(1+(A582/Fz2_u)^2)</f>
        <v>51004.9962293489</v>
      </c>
      <c r="R582" s="0" t="n">
        <f aca="false">ATAN2(Fz2_u,A582)</f>
        <v>1.57077672087246</v>
      </c>
      <c r="S582" s="0" t="n">
        <f aca="false">1/SQRT(1+(A582/Fp1_u)^2)</f>
        <v>0.00733505129266213</v>
      </c>
      <c r="T582" s="0" t="n">
        <f aca="false">-ATAN2(Fp1_u,A582)</f>
        <v>-1.56346120972604</v>
      </c>
      <c r="U582" s="0" t="n">
        <f aca="false">1/SQRT(1+(A582/Fp2_u)^2)</f>
        <v>0.196328379219297</v>
      </c>
      <c r="V582" s="0" t="n">
        <f aca="false">-ATAN2(Fp2_u,A582)</f>
        <v>-1.37318431491593</v>
      </c>
      <c r="X582" s="0" t="n">
        <f aca="false">20*LOG(C582*J582*O582*Q582*F582*M582*S582*U582)</f>
        <v>-25.6134507147926</v>
      </c>
      <c r="Y582" s="0" t="n">
        <f aca="false">(180/Pi)*(D582+H582+N582+P582+R582+T582+V582)</f>
        <v>-258.027114404232</v>
      </c>
      <c r="Z582" s="0" t="n">
        <f aca="false">Y582+180</f>
        <v>-78.0271144042315</v>
      </c>
      <c r="AC582" s="0" t="n">
        <v>1</v>
      </c>
      <c r="AD582" s="0" t="n">
        <f aca="false">Rcea1_u*Cc1ea_u*A582*2*Pi</f>
        <v>44.949404981376</v>
      </c>
      <c r="AE582" s="0" t="n">
        <f aca="false">-Rcea1_u*Cc1ea_u*Cc2ea_u*(A582*2*Pi)^2</f>
        <v>-0.0779494216118731</v>
      </c>
      <c r="AF582" s="0" t="n">
        <f aca="false">(Cc2ea_u+Cc1ea_u)*A582*2*Pi</f>
        <v>0.0156074322852</v>
      </c>
      <c r="AG582" s="0" t="n">
        <f aca="false">AC582*AE582/(AE582^2+AF582^2)+AD582*AF582/(AE582^2+AF582^2)</f>
        <v>98.6747711664023</v>
      </c>
      <c r="AH582" s="0" t="n">
        <f aca="false">AD582*AE582/(AE582^2+AF582^2)-AC582*AF582/(AE582^2+AF582^2)</f>
        <v>-556.891177310888</v>
      </c>
      <c r="AJ582" s="0" t="n">
        <f aca="false">_Rfb1</f>
        <v>20000</v>
      </c>
      <c r="AK582" s="0" t="n">
        <f aca="false">_Rfb1*Rcea2_u*Cc3ea_u*A582*2*Pi</f>
        <v>2726560.61491968</v>
      </c>
      <c r="AL582" s="0" t="n">
        <v>1</v>
      </c>
      <c r="AM582" s="0" t="n">
        <f aca="false">(_Rfb1+Rcea2_u)*Cc3ea_u*A582*2*Pi</f>
        <v>51004.996219546</v>
      </c>
      <c r="AN582" s="0" t="n">
        <f aca="false">AJ582*AL582/(AL582^2+AM582^2)+AK582*AM582/(AL582^2+AM582^2)</f>
        <v>53.4567436149558</v>
      </c>
      <c r="AO582" s="0" t="n">
        <f aca="false">AK582*AL582/(AL582^2+AM582^2)-AJ582*AM582/(AL582^2+AM582^2)</f>
        <v>-0.391070380057026</v>
      </c>
      <c r="AQ582" s="0" t="n">
        <f aca="false">Eadcg/(1+(Eadcg*A582/GBP)^2)</f>
        <v>0.00336282701225285</v>
      </c>
      <c r="AR582" s="0" t="n">
        <f aca="false">-(A582*Eadcg*Eadcg/GBP)/(1+(Eadcg*A582/GBP)^2)</f>
        <v>-3.26086609724135</v>
      </c>
      <c r="AT582" s="0" t="n">
        <f aca="false">-AR582*AH582+AG582*AQ582</f>
        <v>-1815.61573375999</v>
      </c>
      <c r="AU582" s="0" t="n">
        <f aca="false">AQ582*AH582+AG582*AR582</f>
        <v>-323.637944643516</v>
      </c>
      <c r="AV582" s="0" t="n">
        <f aca="false">ATAN2(AT582,AU582)</f>
        <v>-2.96519294031359</v>
      </c>
      <c r="AW582" s="0" t="n">
        <f aca="false">AG582-AH582*AO582/_Rfb2+AG582*AN582/_Rfb2+AN582-AO582*AR582+AQ582*AN582</f>
        <v>153.311724153426</v>
      </c>
      <c r="AX582" s="0" t="n">
        <f aca="false">AH582+AH582*AN582/_Rfb2+AG582*AO582/_Rfb2+AO582+AO582*AQ582+AN582*AR582</f>
        <v>-745.012525666155</v>
      </c>
      <c r="AY582" s="0" t="n">
        <f aca="false">ATAN2(AW582,AX582)</f>
        <v>-1.36784537917476</v>
      </c>
      <c r="BA582" s="0" t="n">
        <f aca="false">SQRT(AT582^2+AU582^2)/SQRT(AW582^2+AX582^2)</f>
        <v>2.42463550111087</v>
      </c>
      <c r="BB582" s="0" t="n">
        <f aca="false">20*LOG(BA582)</f>
        <v>7.69292919481239</v>
      </c>
      <c r="BC582" s="0" t="n">
        <f aca="false">AV582-AY582</f>
        <v>-1.59734756113883</v>
      </c>
      <c r="BD582" s="0" t="n">
        <f aca="false">BC582*180/Pi-180</f>
        <v>-271.521273773348</v>
      </c>
      <c r="BF582" s="0" t="n">
        <f aca="false">20*LOG(BA582*J582*F582*C582)</f>
        <v>-38.4098994495239</v>
      </c>
      <c r="BG582" s="0" t="n">
        <f aca="false">(180/Pi)*(D582+H582+BC582)</f>
        <v>-270.015407895551</v>
      </c>
      <c r="BH582" s="0" t="n">
        <f aca="false">IF(BG582&gt;180,BG582-180,BG582+180)</f>
        <v>-90.0154078955511</v>
      </c>
      <c r="BI582" s="0" t="n">
        <f aca="false">IF(BH582&gt;180,BH582-360,BH582)</f>
        <v>-90.0154078955511</v>
      </c>
      <c r="BJ582" s="0" t="n">
        <f aca="false">SUM((BF583&lt;0)*(BF582&gt;0))*A582</f>
        <v>0</v>
      </c>
      <c r="BK582" s="0" t="n">
        <f aca="false">IF(BJ582&gt;0,BI582,0)</f>
        <v>0</v>
      </c>
      <c r="BM582" s="0" t="n">
        <f aca="false">20*LOG(J582*F582*C582)</f>
        <v>-46.1028286443363</v>
      </c>
      <c r="BN582" s="0" t="n">
        <f aca="false">(H582+D582)*180/Pi</f>
        <v>-178.494134122203</v>
      </c>
      <c r="BQ582" s="347" t="n">
        <f aca="false">20*LOG(BA582*7)</f>
        <v>24.5948899950975</v>
      </c>
    </row>
    <row r="583" customFormat="false" ht="12.75" hidden="false" customHeight="false" outlineLevel="0" collapsed="false">
      <c r="A583" s="0" t="n">
        <f aca="false">A582+5000</f>
        <v>1845000</v>
      </c>
      <c r="B583" s="0" t="n">
        <f aca="false">A583/1000</f>
        <v>1845</v>
      </c>
      <c r="C583" s="0" t="n">
        <f aca="false">SQRT((A583/Fesr)^2+1)</f>
        <v>1.00006719050281</v>
      </c>
      <c r="D583" s="0" t="n">
        <f aca="false">ATAN(A583/Fesr)</f>
        <v>0.0115919576333549</v>
      </c>
      <c r="F583" s="0" t="n">
        <f aca="false">(Ro/(Ro+Rdcr))/SQRT((A583/(Q*Fo))^2+(1-(A583^2/Fo^2))^2)</f>
        <v>0.000547304341494723</v>
      </c>
      <c r="G583" s="0" t="n">
        <f aca="false">-ATAN(A583*Fo/(Q*(Fo^2-A583^2)))</f>
        <v>0.0146818369907802</v>
      </c>
      <c r="H583" s="0" t="n">
        <f aca="false">IF(G583&gt;0,G583-Pi,G583)</f>
        <v>-3.12691081300922</v>
      </c>
      <c r="J583" s="0" t="n">
        <f aca="false">Vin/Vramp</f>
        <v>9</v>
      </c>
      <c r="M583" s="0" t="n">
        <f aca="false">1/(2*Pi*_Rfb1*(Cc1ea_u+Cc2ea_u)*A583)</f>
        <v>0.00319492006973314</v>
      </c>
      <c r="N583" s="0" t="n">
        <f aca="false">-Pi/2</f>
        <v>-1.570796325</v>
      </c>
      <c r="O583" s="0" t="n">
        <f aca="false">SQRT(1+(A583/Fz1_u)^2)</f>
        <v>45.0826422111886</v>
      </c>
      <c r="P583" s="0" t="n">
        <f aca="false">ATAN2(Fz1_u,A583)</f>
        <v>1.54861302137702</v>
      </c>
      <c r="Q583" s="0" t="n">
        <f aca="false">SQRT(1+(A583/Fz2_u)^2)</f>
        <v>51143.5967625277</v>
      </c>
      <c r="R583" s="0" t="n">
        <f aca="false">ATAN2(Fz2_u,A583)</f>
        <v>1.57077677400504</v>
      </c>
      <c r="S583" s="0" t="n">
        <f aca="false">1/SQRT(1+(A583/Fp1_u)^2)</f>
        <v>0.0073151741700394</v>
      </c>
      <c r="T583" s="0" t="n">
        <f aca="false">-ATAN2(Fp1_u,A583)</f>
        <v>-1.56348108738196</v>
      </c>
      <c r="U583" s="0" t="n">
        <f aca="false">1/SQRT(1+(A583/Fp2_u)^2)</f>
        <v>0.195816751876732</v>
      </c>
      <c r="V583" s="0" t="n">
        <f aca="false">-ATAN2(Fp2_u,A583)</f>
        <v>-1.37370606984721</v>
      </c>
      <c r="X583" s="0" t="n">
        <f aca="false">20*LOG(C583*J583*O583*Q583*F583*M583*S583*U583)</f>
        <v>-25.683285570024</v>
      </c>
      <c r="Y583" s="0" t="n">
        <f aca="false">(180/Pi)*(D583+H583+N583+P583+R583+T583+V583)</f>
        <v>-258.055180260285</v>
      </c>
      <c r="Z583" s="0" t="n">
        <f aca="false">Y583+180</f>
        <v>-78.0551802602847</v>
      </c>
      <c r="AC583" s="0" t="n">
        <v>1</v>
      </c>
      <c r="AD583" s="0" t="n">
        <f aca="false">Rcea1_u*Cc1ea_u*A583*2*Pi</f>
        <v>45.071550103608</v>
      </c>
      <c r="AE583" s="0" t="n">
        <f aca="false">-Rcea1_u*Cc1ea_u*Cc2ea_u*(A583*2*Pi)^2</f>
        <v>-0.0783736353681345</v>
      </c>
      <c r="AF583" s="0" t="n">
        <f aca="false">(Cc2ea_u+Cc1ea_u)*A583*2*Pi</f>
        <v>0.015649843785975</v>
      </c>
      <c r="AG583" s="0" t="n">
        <f aca="false">AC583*AE583/(AE583^2+AF583^2)+AD583*AF583/(AE583^2+AF583^2)</f>
        <v>98.1611528078168</v>
      </c>
      <c r="AH583" s="0" t="n">
        <f aca="false">AD583*AE583/(AE583^2+AF583^2)-AC583*AF583/(AE583^2+AF583^2)</f>
        <v>-555.484547728601</v>
      </c>
      <c r="AJ583" s="0" t="n">
        <f aca="false">_Rfb1</f>
        <v>20000</v>
      </c>
      <c r="AK583" s="0" t="n">
        <f aca="false">_Rfb1*Rcea2_u*Cc3ea_u*A583*2*Pi</f>
        <v>2733969.74702544</v>
      </c>
      <c r="AL583" s="0" t="n">
        <v>1</v>
      </c>
      <c r="AM583" s="0" t="n">
        <f aca="false">(_Rfb1+Rcea2_u)*Cc3ea_u*A583*2*Pi</f>
        <v>51143.5967527513</v>
      </c>
      <c r="AN583" s="0" t="n">
        <f aca="false">AJ583*AL583/(AL583^2+AM583^2)+AK583*AM583/(AL583^2+AM583^2)</f>
        <v>53.456743573455</v>
      </c>
      <c r="AO583" s="0" t="n">
        <f aca="false">AK583*AL583/(AL583^2+AM583^2)-AJ583*AM583/(AL583^2+AM583^2)</f>
        <v>-0.39001056872977</v>
      </c>
      <c r="AQ583" s="0" t="n">
        <f aca="false">Eadcg/(1+(Eadcg*A583/GBP)^2)</f>
        <v>0.00334462502426449</v>
      </c>
      <c r="AR583" s="0" t="n">
        <f aca="false">-(A583*Eadcg*Eadcg/GBP)/(1+(Eadcg*A583/GBP)^2)</f>
        <v>-3.25202908046772</v>
      </c>
      <c r="AT583" s="0" t="n">
        <f aca="false">-AR583*AH583+AG583*AQ583</f>
        <v>-1806.12359071578</v>
      </c>
      <c r="AU583" s="0" t="n">
        <f aca="false">AQ583*AH583+AG583*AR583</f>
        <v>-321.080811022182</v>
      </c>
      <c r="AV583" s="0" t="n">
        <f aca="false">ATAN2(AT583,AU583)</f>
        <v>-2.96565722913977</v>
      </c>
      <c r="AW583" s="0" t="n">
        <f aca="false">AG583-AH583*AO583/_Rfb2+AG583*AN583/_Rfb2+AN583-AO583*AR583+AQ583*AN583</f>
        <v>152.792192260908</v>
      </c>
      <c r="AX583" s="0" t="n">
        <f aca="false">AH583+AH583*AN583/_Rfb2+AG583*AO583/_Rfb2+AO583+AO583*AQ583+AN583*AR583</f>
        <v>-743.09845289571</v>
      </c>
      <c r="AY583" s="0" t="n">
        <f aca="false">ATAN2(AW583,AX583)</f>
        <v>-1.36800759941274</v>
      </c>
      <c r="BA583" s="0" t="n">
        <f aca="false">SQRT(AT583^2+AU583^2)/SQRT(AW583^2+AX583^2)</f>
        <v>2.41805292556102</v>
      </c>
      <c r="BB583" s="0" t="n">
        <f aca="false">20*LOG(BA583)</f>
        <v>7.66931604652116</v>
      </c>
      <c r="BC583" s="0" t="n">
        <f aca="false">AV583-AY583</f>
        <v>-1.59764962972703</v>
      </c>
      <c r="BD583" s="0" t="n">
        <f aca="false">BC583*180/Pi-180</f>
        <v>-271.538581028595</v>
      </c>
      <c r="BF583" s="0" t="n">
        <f aca="false">20*LOG(BA583*J583*F583*C583)</f>
        <v>-38.4806723110148</v>
      </c>
      <c r="BG583" s="0" t="n">
        <f aca="false">(180/Pi)*(D583+H583+BC583)</f>
        <v>-270.033203483119</v>
      </c>
      <c r="BH583" s="0" t="n">
        <f aca="false">IF(BG583&gt;180,BG583-180,BG583+180)</f>
        <v>-90.0332034831188</v>
      </c>
      <c r="BI583" s="0" t="n">
        <f aca="false">IF(BH583&gt;180,BH583-360,BH583)</f>
        <v>-90.0332034831188</v>
      </c>
      <c r="BJ583" s="0" t="n">
        <f aca="false">SUM((BF584&lt;0)*(BF583&gt;0))*A583</f>
        <v>0</v>
      </c>
      <c r="BK583" s="0" t="n">
        <f aca="false">IF(BJ583&gt;0,BI583,0)</f>
        <v>0</v>
      </c>
      <c r="BM583" s="0" t="n">
        <f aca="false">20*LOG(J583*F583*C583)</f>
        <v>-46.1499883575359</v>
      </c>
      <c r="BN583" s="0" t="n">
        <f aca="false">(H583+D583)*180/Pi</f>
        <v>-178.494622454523</v>
      </c>
      <c r="BQ583" s="347" t="n">
        <f aca="false">20*LOG(BA583*7)</f>
        <v>24.5712768468063</v>
      </c>
    </row>
    <row r="584" customFormat="false" ht="12.75" hidden="false" customHeight="false" outlineLevel="0" collapsed="false">
      <c r="A584" s="0" t="n">
        <f aca="false">A583+5000</f>
        <v>1850000</v>
      </c>
      <c r="B584" s="0" t="n">
        <f aca="false">A584/1000</f>
        <v>1850</v>
      </c>
      <c r="C584" s="0" t="n">
        <f aca="false">SQRT((A584/Fesr)^2+1)</f>
        <v>1.00006755516012</v>
      </c>
      <c r="D584" s="0" t="n">
        <f aca="false">ATAN(A584/Fesr)</f>
        <v>0.011623369327128</v>
      </c>
      <c r="F584" s="0" t="n">
        <f aca="false">(Ro/(Ro+Rdcr))/SQRT((A584/(Q*Fo))^2+(1-(A584^2/Fo^2))^2)</f>
        <v>0.00054434863378364</v>
      </c>
      <c r="G584" s="0" t="n">
        <f aca="false">-ATAN(A584*Fo/(Q*(Fo^2-A584^2)))</f>
        <v>0.0146421184403067</v>
      </c>
      <c r="H584" s="0" t="n">
        <f aca="false">IF(G584&gt;0,G584-Pi,G584)</f>
        <v>-3.12695053155969</v>
      </c>
      <c r="J584" s="0" t="n">
        <f aca="false">Vin/Vramp</f>
        <v>9</v>
      </c>
      <c r="M584" s="0" t="n">
        <f aca="false">1/(2*Pi*_Rfb1*(Cc1ea_u+Cc2ea_u)*A584)</f>
        <v>0.00318628515062575</v>
      </c>
      <c r="N584" s="0" t="n">
        <f aca="false">-Pi/2</f>
        <v>-1.570796325</v>
      </c>
      <c r="O584" s="0" t="n">
        <f aca="false">SQRT(1+(A584/Fz1_u)^2)</f>
        <v>45.2047573620976</v>
      </c>
      <c r="P584" s="0" t="n">
        <f aca="false">ATAN2(Fz1_u,A584)</f>
        <v>1.54867295666894</v>
      </c>
      <c r="Q584" s="0" t="n">
        <f aca="false">SQRT(1+(A584/Fz2_u)^2)</f>
        <v>51282.1972957065</v>
      </c>
      <c r="R584" s="0" t="n">
        <f aca="false">ATAN2(Fz2_u,A584)</f>
        <v>1.57077682685042</v>
      </c>
      <c r="S584" s="0" t="n">
        <f aca="false">1/SQRT(1+(A584/Fp1_u)^2)</f>
        <v>0.00729540448272174</v>
      </c>
      <c r="T584" s="0" t="n">
        <f aca="false">-ATAN2(Fp1_u,A584)</f>
        <v>-1.56350085759683</v>
      </c>
      <c r="U584" s="0" t="n">
        <f aca="false">1/SQRT(1+(A584/Fp2_u)^2)</f>
        <v>0.195307731427492</v>
      </c>
      <c r="V584" s="0" t="n">
        <f aca="false">-ATAN2(Fp2_u,A584)</f>
        <v>-1.37422511234299</v>
      </c>
      <c r="X584" s="0" t="n">
        <f aca="false">20*LOG(C584*J584*O584*Q584*F584*M584*S584*U584)</f>
        <v>-25.7529359388822</v>
      </c>
      <c r="Y584" s="0" t="n">
        <f aca="false">(180/Pi)*(D584+H584+N584+P584+R584+T584+V584)</f>
        <v>-258.083090835327</v>
      </c>
      <c r="Z584" s="0" t="n">
        <f aca="false">Y584+180</f>
        <v>-78.0830908353267</v>
      </c>
      <c r="AC584" s="0" t="n">
        <v>1</v>
      </c>
      <c r="AD584" s="0" t="n">
        <f aca="false">Rcea1_u*Cc1ea_u*A584*2*Pi</f>
        <v>45.19369522584</v>
      </c>
      <c r="AE584" s="0" t="n">
        <f aca="false">-Rcea1_u*Cc1ea_u*Cc2ea_u*(A584*2*Pi)^2</f>
        <v>-0.0787990003150507</v>
      </c>
      <c r="AF584" s="0" t="n">
        <f aca="false">(Cc2ea_u+Cc1ea_u)*A584*2*Pi</f>
        <v>0.01569225528675</v>
      </c>
      <c r="AG584" s="0" t="n">
        <f aca="false">AC584*AE584/(AE584^2+AF584^2)+AD584*AF584/(AE584^2+AF584^2)</f>
        <v>97.6514814857043</v>
      </c>
      <c r="AH584" s="0" t="n">
        <f aca="false">AD584*AE584/(AE584^2+AF584^2)-AC584*AF584/(AE584^2+AF584^2)</f>
        <v>-554.084735525479</v>
      </c>
      <c r="AJ584" s="0" t="n">
        <f aca="false">_Rfb1</f>
        <v>20000</v>
      </c>
      <c r="AK584" s="0" t="n">
        <f aca="false">_Rfb1*Rcea2_u*Cc3ea_u*A584*2*Pi</f>
        <v>2741378.8791312</v>
      </c>
      <c r="AL584" s="0" t="n">
        <v>1</v>
      </c>
      <c r="AM584" s="0" t="n">
        <f aca="false">(_Rfb1+Rcea2_u)*Cc3ea_u*A584*2*Pi</f>
        <v>51282.1972859566</v>
      </c>
      <c r="AN584" s="0" t="n">
        <f aca="false">AJ584*AL584/(AL584^2+AM584^2)+AK584*AM584/(AL584^2+AM584^2)</f>
        <v>53.4567435322902</v>
      </c>
      <c r="AO584" s="0" t="n">
        <f aca="false">AK584*AL584/(AL584^2+AM584^2)-AJ584*AM584/(AL584^2+AM584^2)</f>
        <v>-0.388956486112384</v>
      </c>
      <c r="AQ584" s="0" t="n">
        <f aca="false">Eadcg/(1+(Eadcg*A584/GBP)^2)</f>
        <v>0.00332657042022788</v>
      </c>
      <c r="AR584" s="0" t="n">
        <f aca="false">-(A584*Eadcg*Eadcg/GBP)/(1+(Eadcg*A584/GBP)^2)</f>
        <v>-3.24323983120117</v>
      </c>
      <c r="AT584" s="0" t="n">
        <f aca="false">-AR584*AH584+AG584*AQ584</f>
        <v>-1796.704839587</v>
      </c>
      <c r="AU584" s="0" t="n">
        <f aca="false">AQ584*AH584+AG584*AR584</f>
        <v>-318.550376221738</v>
      </c>
      <c r="AV584" s="0" t="n">
        <f aca="false">ATAN2(AT584,AU584)</f>
        <v>-2.96611911599822</v>
      </c>
      <c r="AW584" s="0" t="n">
        <f aca="false">AG584-AH584*AO584/_Rfb2+AG584*AN584/_Rfb2+AN584-AO584*AR584+AQ584*AN584</f>
        <v>152.276650378743</v>
      </c>
      <c r="AX584" s="0" t="n">
        <f aca="false">AH584+AH584*AN584/_Rfb2+AG584*AO584/_Rfb2+AO584+AO584*AQ584+AN584*AR584</f>
        <v>-741.193922273622</v>
      </c>
      <c r="AY584" s="0" t="n">
        <f aca="false">ATAN2(AW584,AX584)</f>
        <v>-1.3681680409915</v>
      </c>
      <c r="BA584" s="0" t="n">
        <f aca="false">SQRT(AT584^2+AU584^2)/SQRT(AW584^2+AX584^2)</f>
        <v>2.41150568958197</v>
      </c>
      <c r="BB584" s="0" t="n">
        <f aca="false">20*LOG(BA584)</f>
        <v>7.64576581822161</v>
      </c>
      <c r="BC584" s="0" t="n">
        <f aca="false">AV584-AY584</f>
        <v>-1.59795107500672</v>
      </c>
      <c r="BD584" s="0" t="n">
        <f aca="false">BC584*180/Pi-180</f>
        <v>-271.555852570896</v>
      </c>
      <c r="BF584" s="0" t="n">
        <f aca="false">20*LOG(BA584*J584*F584*C584)</f>
        <v>-38.5512544910014</v>
      </c>
      <c r="BG584" s="0" t="n">
        <f aca="false">(180/Pi)*(D584+H584+BC584)</f>
        <v>-270.05095097325</v>
      </c>
      <c r="BH584" s="0" t="n">
        <f aca="false">IF(BG584&gt;180,BG584-180,BG584+180)</f>
        <v>-90.0509509732498</v>
      </c>
      <c r="BI584" s="0" t="n">
        <f aca="false">IF(BH584&gt;180,BH584-360,BH584)</f>
        <v>-90.0509509732498</v>
      </c>
      <c r="BJ584" s="0" t="n">
        <f aca="false">SUM((BF585&lt;0)*(BF584&gt;0))*A584</f>
        <v>0</v>
      </c>
      <c r="BK584" s="0" t="n">
        <f aca="false">IF(BJ584&gt;0,BI584,0)</f>
        <v>0</v>
      </c>
      <c r="BM584" s="0" t="n">
        <f aca="false">20*LOG(J584*F584*C584)</f>
        <v>-46.197020309223</v>
      </c>
      <c r="BN584" s="0" t="n">
        <f aca="false">(H584+D584)*180/Pi</f>
        <v>-178.495098402354</v>
      </c>
      <c r="BQ584" s="347" t="n">
        <f aca="false">20*LOG(BA584*7)</f>
        <v>24.5477266185067</v>
      </c>
    </row>
    <row r="585" customFormat="false" ht="12.75" hidden="false" customHeight="false" outlineLevel="0" collapsed="false">
      <c r="A585" s="0" t="n">
        <f aca="false">A584+5000</f>
        <v>1855000</v>
      </c>
      <c r="B585" s="0" t="n">
        <f aca="false">A585/1000</f>
        <v>1855</v>
      </c>
      <c r="C585" s="0" t="n">
        <f aca="false">SQRT((A585/Fesr)^2+1)</f>
        <v>1.0000679208042</v>
      </c>
      <c r="D585" s="0" t="n">
        <f aca="false">ATAN(A585/Fesr)</f>
        <v>0.0116547809979627</v>
      </c>
      <c r="F585" s="0" t="n">
        <f aca="false">(Ro/(Ro+Rdcr))/SQRT((A585/(Q*Fo))^2+(1-(A585^2/Fo^2))^2)</f>
        <v>0.000541416808433379</v>
      </c>
      <c r="G585" s="0" t="n">
        <f aca="false">-ATAN(A585*Fo/(Q*(Fo^2-A585^2)))</f>
        <v>0.0146026143114828</v>
      </c>
      <c r="H585" s="0" t="n">
        <f aca="false">IF(G585&gt;0,G585-Pi,G585)</f>
        <v>-3.12699003568852</v>
      </c>
      <c r="J585" s="0" t="n">
        <f aca="false">Vin/Vramp</f>
        <v>9</v>
      </c>
      <c r="M585" s="0" t="n">
        <f aca="false">1/(2*Pi*_Rfb1*(Cc1ea_u+Cc2ea_u)*A585)</f>
        <v>0.00317769678094752</v>
      </c>
      <c r="N585" s="0" t="n">
        <f aca="false">-Pi/2</f>
        <v>-1.570796325</v>
      </c>
      <c r="O585" s="0" t="n">
        <f aca="false">SQRT(1+(A585/Fz1_u)^2)</f>
        <v>45.3268726745178</v>
      </c>
      <c r="P585" s="0" t="n">
        <f aca="false">ATAN2(Fz1_u,A585)</f>
        <v>1.54873256901724</v>
      </c>
      <c r="Q585" s="0" t="n">
        <f aca="false">SQRT(1+(A585/Fz2_u)^2)</f>
        <v>51420.7978288855</v>
      </c>
      <c r="R585" s="0" t="n">
        <f aca="false">ATAN2(Fz2_u,A585)</f>
        <v>1.57077687941091</v>
      </c>
      <c r="S585" s="0" t="n">
        <f aca="false">1/SQRT(1+(A585/Fp1_u)^2)</f>
        <v>0.00727574136205239</v>
      </c>
      <c r="T585" s="0" t="n">
        <f aca="false">-ATAN2(Fp1_u,A585)</f>
        <v>-1.56352052123937</v>
      </c>
      <c r="U585" s="0" t="n">
        <f aca="false">1/SQRT(1+(A585/Fp2_u)^2)</f>
        <v>0.194801298414254</v>
      </c>
      <c r="V585" s="0" t="n">
        <f aca="false">-ATAN2(Fp2_u,A585)</f>
        <v>-1.37474146322254</v>
      </c>
      <c r="X585" s="0" t="n">
        <f aca="false">20*LOG(C585*J585*O585*Q585*F585*M585*S585*U585)</f>
        <v>-25.8224027825995</v>
      </c>
      <c r="Y585" s="0" t="n">
        <f aca="false">(180/Pi)*(D585+H585+N585+P585+R585+T585+V585)</f>
        <v>-258.110847321462</v>
      </c>
      <c r="Z585" s="0" t="n">
        <f aca="false">Y585+180</f>
        <v>-78.1108473214618</v>
      </c>
      <c r="AC585" s="0" t="n">
        <v>1</v>
      </c>
      <c r="AD585" s="0" t="n">
        <f aca="false">Rcea1_u*Cc1ea_u*A585*2*Pi</f>
        <v>45.315840348072</v>
      </c>
      <c r="AE585" s="0" t="n">
        <f aca="false">-Rcea1_u*Cc1ea_u*Cc2ea_u*(A585*2*Pi)^2</f>
        <v>-0.0792255164526216</v>
      </c>
      <c r="AF585" s="0" t="n">
        <f aca="false">(Cc2ea_u+Cc1ea_u)*A585*2*Pi</f>
        <v>0.015734666787525</v>
      </c>
      <c r="AG585" s="0" t="n">
        <f aca="false">AC585*AE585/(AE585^2+AF585^2)+AD585*AF585/(AE585^2+AF585^2)</f>
        <v>97.1457174115309</v>
      </c>
      <c r="AH585" s="0" t="n">
        <f aca="false">AD585*AE585/(AE585^2+AF585^2)-AC585*AF585/(AE585^2+AF585^2)</f>
        <v>-552.691693476712</v>
      </c>
      <c r="AJ585" s="0" t="n">
        <f aca="false">_Rfb1</f>
        <v>20000</v>
      </c>
      <c r="AK585" s="0" t="n">
        <f aca="false">_Rfb1*Rcea2_u*Cc3ea_u*A585*2*Pi</f>
        <v>2748788.01123696</v>
      </c>
      <c r="AL585" s="0" t="n">
        <v>1</v>
      </c>
      <c r="AM585" s="0" t="n">
        <f aca="false">(_Rfb1+Rcea2_u)*Cc3ea_u*A585*2*Pi</f>
        <v>51420.7978191619</v>
      </c>
      <c r="AN585" s="0" t="n">
        <f aca="false">AJ585*AL585/(AL585^2+AM585^2)+AK585*AM585/(AL585^2+AM585^2)</f>
        <v>53.4567434914578</v>
      </c>
      <c r="AO585" s="0" t="n">
        <f aca="false">AK585*AL585/(AL585^2+AM585^2)-AJ585*AM585/(AL585^2+AM585^2)</f>
        <v>-0.387908085881069</v>
      </c>
      <c r="AQ585" s="0" t="n">
        <f aca="false">Eadcg/(1+(Eadcg*A585/GBP)^2)</f>
        <v>0.003308661613244</v>
      </c>
      <c r="AR585" s="0" t="n">
        <f aca="false">-(A585*Eadcg*Eadcg/GBP)/(1+(Eadcg*A585/GBP)^2)</f>
        <v>-3.23449796318314</v>
      </c>
      <c r="AT585" s="0" t="n">
        <f aca="false">-AR585*AH585+AG585*AQ585</f>
        <v>-1787.35873451257</v>
      </c>
      <c r="AU585" s="0" t="n">
        <f aca="false">AQ585*AH585+AG585*AR585</f>
        <v>-316.046294889726</v>
      </c>
      <c r="AV585" s="0" t="n">
        <f aca="false">ATAN2(AT585,AU585)</f>
        <v>-2.96657861919942</v>
      </c>
      <c r="AW585" s="0" t="n">
        <f aca="false">AG585-AH585*AO585/_Rfb2+AG585*AN585/_Rfb2+AN585-AO585*AR585+AQ585*AN585</f>
        <v>151.765058318492</v>
      </c>
      <c r="AX585" s="0" t="n">
        <f aca="false">AH585+AH585*AN585/_Rfb2+AG585*AO585/_Rfb2+AO585+AO585*AQ585+AN585*AR585</f>
        <v>-739.298864724511</v>
      </c>
      <c r="AY585" s="0" t="n">
        <f aca="false">ATAN2(AW585,AX585)</f>
        <v>-1.36832671726333</v>
      </c>
      <c r="BA585" s="0" t="n">
        <f aca="false">SQRT(AT585^2+AU585^2)/SQRT(AW585^2+AX585^2)</f>
        <v>2.40499350910957</v>
      </c>
      <c r="BB585" s="0" t="n">
        <f aca="false">20*LOG(BA585)</f>
        <v>7.62227817168808</v>
      </c>
      <c r="BC585" s="0" t="n">
        <f aca="false">AV585-AY585</f>
        <v>-1.59825190193609</v>
      </c>
      <c r="BD585" s="0" t="n">
        <f aca="false">BC585*180/Pi-180</f>
        <v>-271.573088684332</v>
      </c>
      <c r="BF585" s="0" t="n">
        <f aca="false">20*LOG(BA585*J585*F585*C585)</f>
        <v>-38.6216470182474</v>
      </c>
      <c r="BG585" s="0" t="n">
        <f aca="false">(180/Pi)*(D585+H585+BC585)</f>
        <v>-270.068650750375</v>
      </c>
      <c r="BH585" s="0" t="n">
        <f aca="false">IF(BG585&gt;180,BG585-180,BG585+180)</f>
        <v>-90.0686507503752</v>
      </c>
      <c r="BI585" s="0" t="n">
        <f aca="false">IF(BH585&gt;180,BH585-360,BH585)</f>
        <v>-90.0686507503752</v>
      </c>
      <c r="BJ585" s="0" t="n">
        <f aca="false">SUM((BF586&lt;0)*(BF585&gt;0))*A585</f>
        <v>0</v>
      </c>
      <c r="BK585" s="0" t="n">
        <f aca="false">IF(BJ585&gt;0,BI585,0)</f>
        <v>0</v>
      </c>
      <c r="BM585" s="0" t="n">
        <f aca="false">20*LOG(J585*F585*C585)</f>
        <v>-46.2439251899355</v>
      </c>
      <c r="BN585" s="0" t="n">
        <f aca="false">(H585+D585)*180/Pi</f>
        <v>-178.495562066043</v>
      </c>
      <c r="BQ585" s="347" t="n">
        <f aca="false">20*LOG(BA585*7)</f>
        <v>24.5242389719732</v>
      </c>
    </row>
    <row r="586" customFormat="false" ht="12.75" hidden="false" customHeight="false" outlineLevel="0" collapsed="false">
      <c r="A586" s="0" t="n">
        <f aca="false">A585+5000</f>
        <v>1860000</v>
      </c>
      <c r="B586" s="0" t="n">
        <f aca="false">A586/1000</f>
        <v>1860</v>
      </c>
      <c r="C586" s="0" t="n">
        <f aca="false">SQRT((A586/Fesr)^2+1)</f>
        <v>1.00006828743503</v>
      </c>
      <c r="D586" s="0" t="n">
        <f aca="false">ATAN(A586/Fesr)</f>
        <v>0.0116861926457969</v>
      </c>
      <c r="F586" s="0" t="n">
        <f aca="false">(Ro/(Ro+Rdcr))/SQRT((A586/(Q*Fo))^2+(1-(A586^2/Fo^2))^2)</f>
        <v>0.000538508608802799</v>
      </c>
      <c r="G586" s="0" t="n">
        <f aca="false">-ATAN(A586*Fo/(Q*(Fo^2-A586^2)))</f>
        <v>0.0145633228718281</v>
      </c>
      <c r="H586" s="0" t="n">
        <f aca="false">IF(G586&gt;0,G586-Pi,G586)</f>
        <v>-3.12702932712817</v>
      </c>
      <c r="J586" s="0" t="n">
        <f aca="false">Vin/Vramp</f>
        <v>9</v>
      </c>
      <c r="M586" s="0" t="n">
        <f aca="false">1/(2*Pi*_Rfb1*(Cc1ea_u+Cc2ea_u)*A586)</f>
        <v>0.00316915458529981</v>
      </c>
      <c r="N586" s="0" t="n">
        <f aca="false">-Pi/2</f>
        <v>-1.570796325</v>
      </c>
      <c r="O586" s="0" t="n">
        <f aca="false">SQRT(1+(A586/Fz1_u)^2)</f>
        <v>45.4489881471475</v>
      </c>
      <c r="P586" s="0" t="n">
        <f aca="false">ATAN2(Fz1_u,A586)</f>
        <v>1.54879186102461</v>
      </c>
      <c r="Q586" s="0" t="n">
        <f aca="false">SQRT(1+(A586/Fz2_u)^2)</f>
        <v>51559.3983620647</v>
      </c>
      <c r="R586" s="0" t="n">
        <f aca="false">ATAN2(Fz2_u,A586)</f>
        <v>1.57077693168883</v>
      </c>
      <c r="S586" s="0" t="n">
        <f aca="false">1/SQRT(1+(A586/Fp1_u)^2)</f>
        <v>0.00725618394871377</v>
      </c>
      <c r="T586" s="0" t="n">
        <f aca="false">-ATAN2(Fp1_u,A586)</f>
        <v>-1.56354007916899</v>
      </c>
      <c r="U586" s="0" t="n">
        <f aca="false">1/SQRT(1+(A586/Fp2_u)^2)</f>
        <v>0.194297433568431</v>
      </c>
      <c r="V586" s="0" t="n">
        <f aca="false">-ATAN2(Fp2_u,A586)</f>
        <v>-1.37525514309551</v>
      </c>
      <c r="X586" s="0" t="n">
        <f aca="false">20*LOG(C586*J586*O586*Q586*F586*M586*S586*U586)</f>
        <v>-25.8916870549923</v>
      </c>
      <c r="Y586" s="0" t="n">
        <f aca="false">(180/Pi)*(D586+H586+N586+P586+R586+T586+V586)</f>
        <v>-258.138450898788</v>
      </c>
      <c r="Z586" s="0" t="n">
        <f aca="false">Y586+180</f>
        <v>-78.1384508987883</v>
      </c>
      <c r="AC586" s="0" t="n">
        <v>1</v>
      </c>
      <c r="AD586" s="0" t="n">
        <f aca="false">Rcea1_u*Cc1ea_u*A586*2*Pi</f>
        <v>45.437985470304</v>
      </c>
      <c r="AE586" s="0" t="n">
        <f aca="false">-Rcea1_u*Cc1ea_u*Cc2ea_u*(A586*2*Pi)^2</f>
        <v>-0.0796531837808471</v>
      </c>
      <c r="AF586" s="0" t="n">
        <f aca="false">(Cc2ea_u+Cc1ea_u)*A586*2*Pi</f>
        <v>0.0157770782883</v>
      </c>
      <c r="AG586" s="0" t="n">
        <f aca="false">AC586*AE586/(AE586^2+AF586^2)+AD586*AF586/(AE586^2+AF586^2)</f>
        <v>96.6438212896742</v>
      </c>
      <c r="AH586" s="0" t="n">
        <f aca="false">AD586*AE586/(AE586^2+AF586^2)-AC586*AF586/(AE586^2+AF586^2)</f>
        <v>-551.305374767649</v>
      </c>
      <c r="AJ586" s="0" t="n">
        <f aca="false">_Rfb1</f>
        <v>20000</v>
      </c>
      <c r="AK586" s="0" t="n">
        <f aca="false">_Rfb1*Rcea2_u*Cc3ea_u*A586*2*Pi</f>
        <v>2756197.14334272</v>
      </c>
      <c r="AL586" s="0" t="n">
        <v>1</v>
      </c>
      <c r="AM586" s="0" t="n">
        <f aca="false">(_Rfb1+Rcea2_u)*Cc3ea_u*A586*2*Pi</f>
        <v>51559.3983523671</v>
      </c>
      <c r="AN586" s="0" t="n">
        <f aca="false">AJ586*AL586/(AL586^2+AM586^2)+AK586*AM586/(AL586^2+AM586^2)</f>
        <v>53.4567434509542</v>
      </c>
      <c r="AO586" s="0" t="n">
        <f aca="false">AK586*AL586/(AL586^2+AM586^2)-AJ586*AM586/(AL586^2+AM586^2)</f>
        <v>-0.386865322210132</v>
      </c>
      <c r="AQ586" s="0" t="n">
        <f aca="false">Eadcg/(1+(Eadcg*A586/GBP)^2)</f>
        <v>0.00329089703771437</v>
      </c>
      <c r="AR586" s="0" t="n">
        <f aca="false">-(A586*Eadcg*Eadcg/GBP)/(1+(Eadcg*A586/GBP)^2)</f>
        <v>-3.22580309430838</v>
      </c>
      <c r="AT586" s="0" t="n">
        <f aca="false">-AR586*AH586+AG586*AQ586</f>
        <v>-1778.08453896913</v>
      </c>
      <c r="AU586" s="0" t="n">
        <f aca="false">AQ586*AH586+AG586*AR586</f>
        <v>-313.568226986716</v>
      </c>
      <c r="AV586" s="0" t="n">
        <f aca="false">ATAN2(AT586,AU586)</f>
        <v>-2.96703575687116</v>
      </c>
      <c r="AW586" s="0" t="n">
        <f aca="false">AG586-AH586*AO586/_Rfb2+AG586*AN586/_Rfb2+AN586-AO586*AR586+AQ586*AN586</f>
        <v>151.257376389041</v>
      </c>
      <c r="AX586" s="0" t="n">
        <f aca="false">AH586+AH586*AN586/_Rfb2+AG586*AO586/_Rfb2+AO586+AO586*AQ586+AN586*AR586</f>
        <v>-737.413211815856</v>
      </c>
      <c r="AY586" s="0" t="n">
        <f aca="false">ATAN2(AW586,AX586)</f>
        <v>-1.36848364145092</v>
      </c>
      <c r="BA586" s="0" t="n">
        <f aca="false">SQRT(AT586^2+AU586^2)/SQRT(AW586^2+AX586^2)</f>
        <v>2.39851610311164</v>
      </c>
      <c r="BB586" s="0" t="n">
        <f aca="false">20*LOG(BA586)</f>
        <v>7.59885277139417</v>
      </c>
      <c r="BC586" s="0" t="n">
        <f aca="false">AV586-AY586</f>
        <v>-1.59855211542024</v>
      </c>
      <c r="BD586" s="0" t="n">
        <f aca="false">BC586*180/Pi-180</f>
        <v>-271.590289649947</v>
      </c>
      <c r="BF586" s="0" t="n">
        <f aca="false">20*LOG(BA586*J586*F586*C586)</f>
        <v>-38.691850913231</v>
      </c>
      <c r="BG586" s="0" t="n">
        <f aca="false">(180/Pi)*(D586+H586+BC586)</f>
        <v>-270.086303194805</v>
      </c>
      <c r="BH586" s="0" t="n">
        <f aca="false">IF(BG586&gt;180,BG586-180,BG586+180)</f>
        <v>-90.0863031948049</v>
      </c>
      <c r="BI586" s="0" t="n">
        <f aca="false">IF(BH586&gt;180,BH586-360,BH586)</f>
        <v>-90.0863031948049</v>
      </c>
      <c r="BJ586" s="0" t="n">
        <f aca="false">SUM((BF587&lt;0)*(BF586&gt;0))*A586</f>
        <v>0</v>
      </c>
      <c r="BK586" s="0" t="n">
        <f aca="false">IF(BJ586&gt;0,BI586,0)</f>
        <v>0</v>
      </c>
      <c r="BM586" s="0" t="n">
        <f aca="false">20*LOG(J586*F586*C586)</f>
        <v>-46.2907036846252</v>
      </c>
      <c r="BN586" s="0" t="n">
        <f aca="false">(H586+D586)*180/Pi</f>
        <v>-178.496013544858</v>
      </c>
      <c r="BQ586" s="347" t="n">
        <f aca="false">20*LOG(BA586*7)</f>
        <v>24.5008135716793</v>
      </c>
    </row>
    <row r="587" customFormat="false" ht="12.75" hidden="false" customHeight="false" outlineLevel="0" collapsed="false">
      <c r="A587" s="0" t="n">
        <f aca="false">A586+5000</f>
        <v>1865000</v>
      </c>
      <c r="B587" s="0" t="n">
        <f aca="false">A587/1000</f>
        <v>1865</v>
      </c>
      <c r="C587" s="0" t="n">
        <f aca="false">SQRT((A587/Fesr)^2+1)</f>
        <v>1.00006865505262</v>
      </c>
      <c r="D587" s="0" t="n">
        <f aca="false">ATAN(A587/Fesr)</f>
        <v>0.0117176042705688</v>
      </c>
      <c r="F587" s="0" t="n">
        <f aca="false">(Ro/(Ro+Rdcr))/SQRT((A587/(Q*Fo))^2+(1-(A587^2/Fo^2))^2)</f>
        <v>0.000535623781689367</v>
      </c>
      <c r="G587" s="0" t="n">
        <f aca="false">-ATAN(A587*Fo/(Q*(Fo^2-A587^2)))</f>
        <v>0.0145242424074847</v>
      </c>
      <c r="H587" s="0" t="n">
        <f aca="false">IF(G587&gt;0,G587-Pi,G587)</f>
        <v>-3.12706840759252</v>
      </c>
      <c r="J587" s="0" t="n">
        <f aca="false">Vin/Vramp</f>
        <v>9</v>
      </c>
      <c r="M587" s="0" t="n">
        <f aca="false">1/(2*Pi*_Rfb1*(Cc1ea_u+Cc2ea_u)*A587)</f>
        <v>0.00316065819230973</v>
      </c>
      <c r="N587" s="0" t="n">
        <f aca="false">-Pi/2</f>
        <v>-1.570796325</v>
      </c>
      <c r="O587" s="0" t="n">
        <f aca="false">SQRT(1+(A587/Fz1_u)^2)</f>
        <v>45.5711037786988</v>
      </c>
      <c r="P587" s="0" t="n">
        <f aca="false">ATAN2(Fz1_u,A587)</f>
        <v>1.54885083526588</v>
      </c>
      <c r="Q587" s="0" t="n">
        <f aca="false">SQRT(1+(A587/Fz2_u)^2)</f>
        <v>51697.998895244</v>
      </c>
      <c r="R587" s="0" t="n">
        <f aca="false">ATAN2(Fz2_u,A587)</f>
        <v>1.57077698368643</v>
      </c>
      <c r="S587" s="0" t="n">
        <f aca="false">1/SQRT(1+(A587/Fp1_u)^2)</f>
        <v>0.00723673139260229</v>
      </c>
      <c r="T587" s="0" t="n">
        <f aca="false">-ATAN2(Fp1_u,A587)</f>
        <v>-1.56355953223586</v>
      </c>
      <c r="U587" s="0" t="n">
        <f aca="false">1/SQRT(1+(A587/Fp2_u)^2)</f>
        <v>0.193796117807948</v>
      </c>
      <c r="V587" s="0" t="n">
        <f aca="false">-ATAN2(Fp2_u,A587)</f>
        <v>-1.37576617236454</v>
      </c>
      <c r="X587" s="0" t="n">
        <f aca="false">20*LOG(C587*J587*O587*Q587*F587*M587*S587*U587)</f>
        <v>-25.9607897025367</v>
      </c>
      <c r="Y587" s="0" t="n">
        <f aca="false">(180/Pi)*(D587+H587+N587+P587+R587+T587+V587)</f>
        <v>-258.165902735546</v>
      </c>
      <c r="Z587" s="0" t="n">
        <f aca="false">Y587+180</f>
        <v>-78.1659027355463</v>
      </c>
      <c r="AC587" s="0" t="n">
        <v>1</v>
      </c>
      <c r="AD587" s="0" t="n">
        <f aca="false">Rcea1_u*Cc1ea_u*A587*2*Pi</f>
        <v>45.560130592536</v>
      </c>
      <c r="AE587" s="0" t="n">
        <f aca="false">-Rcea1_u*Cc1ea_u*Cc2ea_u*(A587*2*Pi)^2</f>
        <v>-0.0800820022997274</v>
      </c>
      <c r="AF587" s="0" t="n">
        <f aca="false">(Cc2ea_u+Cc1ea_u)*A587*2*Pi</f>
        <v>0.015819489789075</v>
      </c>
      <c r="AG587" s="0" t="n">
        <f aca="false">AC587*AE587/(AE587^2+AF587^2)+AD587*AF587/(AE587^2+AF587^2)</f>
        <v>96.145754310226</v>
      </c>
      <c r="AH587" s="0" t="n">
        <f aca="false">AD587*AE587/(AE587^2+AF587^2)-AC587*AF587/(AE587^2+AF587^2)</f>
        <v>-549.925732989725</v>
      </c>
      <c r="AJ587" s="0" t="n">
        <f aca="false">_Rfb1</f>
        <v>20000</v>
      </c>
      <c r="AK587" s="0" t="n">
        <f aca="false">_Rfb1*Rcea2_u*Cc3ea_u*A587*2*Pi</f>
        <v>2763606.27544848</v>
      </c>
      <c r="AL587" s="0" t="n">
        <v>1</v>
      </c>
      <c r="AM587" s="0" t="n">
        <f aca="false">(_Rfb1+Rcea2_u)*Cc3ea_u*A587*2*Pi</f>
        <v>51697.9988855724</v>
      </c>
      <c r="AN587" s="0" t="n">
        <f aca="false">AJ587*AL587/(AL587^2+AM587^2)+AK587*AM587/(AL587^2+AM587^2)</f>
        <v>53.456743410776</v>
      </c>
      <c r="AO587" s="0" t="n">
        <f aca="false">AK587*AL587/(AL587^2+AM587^2)-AJ587*AM587/(AL587^2+AM587^2)</f>
        <v>-0.385828149765305</v>
      </c>
      <c r="AQ587" s="0" t="n">
        <f aca="false">Eadcg/(1+(Eadcg*A587/GBP)^2)</f>
        <v>0.00327327514899887</v>
      </c>
      <c r="AR587" s="0" t="n">
        <f aca="false">-(A587*Eadcg*Eadcg/GBP)/(1+(Eadcg*A587/GBP)^2)</f>
        <v>-3.21715484656928</v>
      </c>
      <c r="AT587" s="0" t="n">
        <f aca="false">-AR587*AH587+AG587*AQ587</f>
        <v>-1768.88152563279</v>
      </c>
      <c r="AU587" s="0" t="n">
        <f aca="false">AQ587*AH587+AG587*AR587</f>
        <v>-311.115837691793</v>
      </c>
      <c r="AV587" s="0" t="n">
        <f aca="false">ATAN2(AT587,AU587)</f>
        <v>-2.96749054696081</v>
      </c>
      <c r="AW587" s="0" t="n">
        <f aca="false">AG587-AH587*AO587/_Rfb2+AG587*AN587/_Rfb2+AN587-AO587*AR587+AQ587*AN587</f>
        <v>150.753565389353</v>
      </c>
      <c r="AX587" s="0" t="n">
        <f aca="false">AH587+AH587*AN587/_Rfb2+AG587*AO587/_Rfb2+AO587+AO587*AQ587+AN587*AR587</f>
        <v>-735.536895750832</v>
      </c>
      <c r="AY587" s="0" t="n">
        <f aca="false">ATAN2(AW587,AX587)</f>
        <v>-1.36863882664886</v>
      </c>
      <c r="BA587" s="0" t="n">
        <f aca="false">SQRT(AT587^2+AU587^2)/SQRT(AW587^2+AX587^2)</f>
        <v>2.39207319354767</v>
      </c>
      <c r="BB587" s="0" t="n">
        <f aca="false">20*LOG(BA587)</f>
        <v>7.57548928448411</v>
      </c>
      <c r="BC587" s="0" t="n">
        <f aca="false">AV587-AY587</f>
        <v>-1.59885172031195</v>
      </c>
      <c r="BD587" s="0" t="n">
        <f aca="false">BC587*180/Pi-180</f>
        <v>-271.607455745782</v>
      </c>
      <c r="BF587" s="0" t="n">
        <f aca="false">20*LOG(BA587*J587*F587*C587)</f>
        <v>-38.7618671882338</v>
      </c>
      <c r="BG587" s="0" t="n">
        <f aca="false">(180/Pi)*(D587+H587+BC587)</f>
        <v>-270.103908682782</v>
      </c>
      <c r="BH587" s="0" t="n">
        <f aca="false">IF(BG587&gt;180,BG587-180,BG587+180)</f>
        <v>-90.1039086827825</v>
      </c>
      <c r="BI587" s="0" t="n">
        <f aca="false">IF(BH587&gt;180,BH587-360,BH587)</f>
        <v>-90.1039086827825</v>
      </c>
      <c r="BJ587" s="0" t="n">
        <f aca="false">SUM((BF588&lt;0)*(BF587&gt;0))*A587</f>
        <v>0</v>
      </c>
      <c r="BK587" s="0" t="n">
        <f aca="false">IF(BJ587&gt;0,BI587,0)</f>
        <v>0</v>
      </c>
      <c r="BM587" s="0" t="n">
        <f aca="false">20*LOG(J587*F587*C587)</f>
        <v>-46.3373564727179</v>
      </c>
      <c r="BN587" s="0" t="n">
        <f aca="false">(H587+D587)*180/Pi</f>
        <v>-178.496452937</v>
      </c>
      <c r="BQ587" s="347" t="n">
        <f aca="false">20*LOG(BA587*7)</f>
        <v>24.4774500847692</v>
      </c>
    </row>
    <row r="588" customFormat="false" ht="12.75" hidden="false" customHeight="false" outlineLevel="0" collapsed="false">
      <c r="A588" s="0" t="n">
        <f aca="false">A587+5000</f>
        <v>1870000</v>
      </c>
      <c r="B588" s="0" t="n">
        <f aca="false">A588/1000</f>
        <v>1870</v>
      </c>
      <c r="C588" s="0" t="n">
        <f aca="false">SQRT((A588/Fesr)^2+1)</f>
        <v>1.00006902365697</v>
      </c>
      <c r="D588" s="0" t="n">
        <f aca="false">ATAN(A588/Fesr)</f>
        <v>0.0117490158722163</v>
      </c>
      <c r="F588" s="0" t="n">
        <f aca="false">(Ro/(Ro+Rdcr))/SQRT((A588/(Q*Fo))^2+(1-(A588^2/Fo^2))^2)</f>
        <v>0.000532762077274009</v>
      </c>
      <c r="G588" s="0" t="n">
        <f aca="false">-ATAN(A588*Fo/(Q*(Fo^2-A588^2)))</f>
        <v>0.0144853712229677</v>
      </c>
      <c r="H588" s="0" t="n">
        <f aca="false">IF(G588&gt;0,G588-Pi,G588)</f>
        <v>-3.12710727877703</v>
      </c>
      <c r="J588" s="0" t="n">
        <f aca="false">Vin/Vramp</f>
        <v>9</v>
      </c>
      <c r="M588" s="0" t="n">
        <f aca="false">1/(2*Pi*_Rfb1*(Cc1ea_u+Cc2ea_u)*A588)</f>
        <v>0.00315220723457628</v>
      </c>
      <c r="N588" s="0" t="n">
        <f aca="false">-Pi/2</f>
        <v>-1.570796325</v>
      </c>
      <c r="O588" s="0" t="n">
        <f aca="false">SQRT(1+(A588/Fz1_u)^2)</f>
        <v>45.6932195678974</v>
      </c>
      <c r="P588" s="0" t="n">
        <f aca="false">ATAN2(Fz1_u,A588)</f>
        <v>1.54890949428833</v>
      </c>
      <c r="Q588" s="0" t="n">
        <f aca="false">SQRT(1+(A588/Fz2_u)^2)</f>
        <v>51836.5994284234</v>
      </c>
      <c r="R588" s="0" t="n">
        <f aca="false">ATAN2(Fz2_u,A588)</f>
        <v>1.57077703540597</v>
      </c>
      <c r="S588" s="0" t="n">
        <f aca="false">1/SQRT(1+(A588/Fp1_u)^2)</f>
        <v>0.00721738285270518</v>
      </c>
      <c r="T588" s="0" t="n">
        <f aca="false">-ATAN2(Fp1_u,A588)</f>
        <v>-1.56357888128107</v>
      </c>
      <c r="U588" s="0" t="n">
        <f aca="false">1/SQRT(1+(A588/Fp2_u)^2)</f>
        <v>0.193297332235046</v>
      </c>
      <c r="V588" s="0" t="n">
        <f aca="false">-ATAN2(Fp2_u,A588)</f>
        <v>-1.37627457122776</v>
      </c>
      <c r="X588" s="0" t="n">
        <f aca="false">20*LOG(C588*J588*O588*Q588*F588*M588*S588*U588)</f>
        <v>-26.0297116644426</v>
      </c>
      <c r="Y588" s="0" t="n">
        <f aca="false">(180/Pi)*(D588+H588+N588+P588+R588+T588+V588)</f>
        <v>-258.193203988265</v>
      </c>
      <c r="Z588" s="0" t="n">
        <f aca="false">Y588+180</f>
        <v>-78.1932039882646</v>
      </c>
      <c r="AC588" s="0" t="n">
        <v>1</v>
      </c>
      <c r="AD588" s="0" t="n">
        <f aca="false">Rcea1_u*Cc1ea_u*A588*2*Pi</f>
        <v>45.682275714768</v>
      </c>
      <c r="AE588" s="0" t="n">
        <f aca="false">-Rcea1_u*Cc1ea_u*Cc2ea_u*(A588*2*Pi)^2</f>
        <v>-0.0805119720092624</v>
      </c>
      <c r="AF588" s="0" t="n">
        <f aca="false">(Cc2ea_u+Cc1ea_u)*A588*2*Pi</f>
        <v>0.01586190128985</v>
      </c>
      <c r="AG588" s="0" t="n">
        <f aca="false">AC588*AE588/(AE588^2+AF588^2)+AD588*AF588/(AE588^2+AF588^2)</f>
        <v>95.6514781419159</v>
      </c>
      <c r="AH588" s="0" t="n">
        <f aca="false">AD588*AE588/(AE588^2+AF588^2)-AC588*AF588/(AE588^2+AF588^2)</f>
        <v>-548.552722136427</v>
      </c>
      <c r="AJ588" s="0" t="n">
        <f aca="false">_Rfb1</f>
        <v>20000</v>
      </c>
      <c r="AK588" s="0" t="n">
        <f aca="false">_Rfb1*Rcea2_u*Cc3ea_u*A588*2*Pi</f>
        <v>2771015.40755424</v>
      </c>
      <c r="AL588" s="0" t="n">
        <v>1</v>
      </c>
      <c r="AM588" s="0" t="n">
        <f aca="false">(_Rfb1+Rcea2_u)*Cc3ea_u*A588*2*Pi</f>
        <v>51836.5994187777</v>
      </c>
      <c r="AN588" s="0" t="n">
        <f aca="false">AJ588*AL588/(AL588^2+AM588^2)+AK588*AM588/(AL588^2+AM588^2)</f>
        <v>53.4567433709197</v>
      </c>
      <c r="AO588" s="0" t="n">
        <f aca="false">AK588*AL588/(AL588^2+AM588^2)-AJ588*AM588/(AL588^2+AM588^2)</f>
        <v>-0.384796523697183</v>
      </c>
      <c r="AQ588" s="0" t="n">
        <f aca="false">Eadcg/(1+(Eadcg*A588/GBP)^2)</f>
        <v>0.00325579442307994</v>
      </c>
      <c r="AR588" s="0" t="n">
        <f aca="false">-(A588*Eadcg*Eadcg/GBP)/(1+(Eadcg*A588/GBP)^2)</f>
        <v>-3.20855284600105</v>
      </c>
      <c r="AT588" s="0" t="n">
        <f aca="false">-AR588*AH588+AG588*AQ588</f>
        <v>-1759.74897624336</v>
      </c>
      <c r="AU588" s="0" t="n">
        <f aca="false">AQ588*AH588+AG588*AR588</f>
        <v>-308.688797309949</v>
      </c>
      <c r="AV588" s="0" t="n">
        <f aca="false">ATAN2(AT588,AU588)</f>
        <v>-2.96794300723749</v>
      </c>
      <c r="AW588" s="0" t="n">
        <f aca="false">AG588-AH588*AO588/_Rfb2+AG588*AN588/_Rfb2+AN588-AO588*AR588+AQ588*AN588</f>
        <v>150.253586601331</v>
      </c>
      <c r="AX588" s="0" t="n">
        <f aca="false">AH588+AH588*AN588/_Rfb2+AG588*AO588/_Rfb2+AO588+AO588*AQ588+AN588*AR588</f>
        <v>-733.669849361236</v>
      </c>
      <c r="AY588" s="0" t="n">
        <f aca="false">ATAN2(AW588,AX588)</f>
        <v>-1.36879228582516</v>
      </c>
      <c r="BA588" s="0" t="n">
        <f aca="false">SQRT(AT588^2+AU588^2)/SQRT(AW588^2+AX588^2)</f>
        <v>2.38566450532919</v>
      </c>
      <c r="BB588" s="0" t="n">
        <f aca="false">20*LOG(BA588)</f>
        <v>7.55218738074464</v>
      </c>
      <c r="BC588" s="0" t="n">
        <f aca="false">AV588-AY588</f>
        <v>-1.59915072141232</v>
      </c>
      <c r="BD588" s="0" t="n">
        <f aca="false">BC588*180/Pi-180</f>
        <v>-271.624587246923</v>
      </c>
      <c r="BF588" s="0" t="n">
        <f aca="false">20*LOG(BA588*J588*F588*C588)</f>
        <v>-38.831696847428</v>
      </c>
      <c r="BG588" s="0" t="n">
        <f aca="false">(180/Pi)*(D588+H588+BC588)</f>
        <v>-270.121467586539</v>
      </c>
      <c r="BH588" s="0" t="n">
        <f aca="false">IF(BG588&gt;180,BG588-180,BG588+180)</f>
        <v>-90.1214675865391</v>
      </c>
      <c r="BI588" s="0" t="n">
        <f aca="false">IF(BH588&gt;180,BH588-360,BH588)</f>
        <v>-90.1214675865391</v>
      </c>
      <c r="BJ588" s="0" t="n">
        <f aca="false">SUM((BF589&lt;0)*(BF588&gt;0))*A588</f>
        <v>0</v>
      </c>
      <c r="BK588" s="0" t="n">
        <f aca="false">IF(BJ588&gt;0,BI588,0)</f>
        <v>0</v>
      </c>
      <c r="BM588" s="0" t="n">
        <f aca="false">20*LOG(J588*F588*C588)</f>
        <v>-46.3838842281727</v>
      </c>
      <c r="BN588" s="0" t="n">
        <f aca="false">(H588+D588)*180/Pi</f>
        <v>-178.496880339616</v>
      </c>
      <c r="BQ588" s="347" t="n">
        <f aca="false">20*LOG(BA588*7)</f>
        <v>24.4541481810298</v>
      </c>
    </row>
    <row r="589" customFormat="false" ht="12.75" hidden="false" customHeight="false" outlineLevel="0" collapsed="false">
      <c r="A589" s="0" t="n">
        <f aca="false">A588+5000</f>
        <v>1875000</v>
      </c>
      <c r="B589" s="0" t="n">
        <f aca="false">A589/1000</f>
        <v>1875</v>
      </c>
      <c r="C589" s="0" t="n">
        <f aca="false">SQRT((A589/Fesr)^2+1)</f>
        <v>1.00006939324808</v>
      </c>
      <c r="D589" s="0" t="n">
        <f aca="false">ATAN(A589/Fesr)</f>
        <v>0.0117804274506775</v>
      </c>
      <c r="F589" s="0" t="n">
        <f aca="false">(Ro/(Ro+Rdcr))/SQRT((A589/(Q*Fo))^2+(1-(A589^2/Fo^2))^2)</f>
        <v>0.00052992324906699</v>
      </c>
      <c r="G589" s="0" t="n">
        <f aca="false">-ATAN(A589*Fo/(Q*(Fo^2-A589^2)))</f>
        <v>0.0144467076409196</v>
      </c>
      <c r="H589" s="0" t="n">
        <f aca="false">IF(G589&gt;0,G589-Pi,G589)</f>
        <v>-3.12714594235908</v>
      </c>
      <c r="J589" s="0" t="n">
        <f aca="false">Vin/Vramp</f>
        <v>9</v>
      </c>
      <c r="M589" s="0" t="n">
        <f aca="false">1/(2*Pi*_Rfb1*(Cc1ea_u+Cc2ea_u)*A589)</f>
        <v>0.00314380134861741</v>
      </c>
      <c r="N589" s="0" t="n">
        <f aca="false">-Pi/2</f>
        <v>-1.570796325</v>
      </c>
      <c r="O589" s="0" t="n">
        <f aca="false">SQRT(1+(A589/Fz1_u)^2)</f>
        <v>45.8153355134828</v>
      </c>
      <c r="P589" s="0" t="n">
        <f aca="false">ATAN2(Fz1_u,A589)</f>
        <v>1.5489678406121</v>
      </c>
      <c r="Q589" s="0" t="n">
        <f aca="false">SQRT(1+(A589/Fz2_u)^2)</f>
        <v>51975.199961603</v>
      </c>
      <c r="R589" s="0" t="n">
        <f aca="false">ATAN2(Fz2_u,A589)</f>
        <v>1.57077708684968</v>
      </c>
      <c r="S589" s="0" t="n">
        <f aca="false">1/SQRT(1+(A589/Fp1_u)^2)</f>
        <v>0.00719813749697928</v>
      </c>
      <c r="T589" s="0" t="n">
        <f aca="false">-ATAN2(Fp1_u,A589)</f>
        <v>-1.56359812713673</v>
      </c>
      <c r="U589" s="0" t="n">
        <f aca="false">1/SQRT(1+(A589/Fp2_u)^2)</f>
        <v>0.192801058134125</v>
      </c>
      <c r="V589" s="0" t="n">
        <f aca="false">-ATAN2(Fp2_u,A589)</f>
        <v>-1.37678035968136</v>
      </c>
      <c r="X589" s="0" t="n">
        <f aca="false">20*LOG(C589*J589*O589*Q589*F589*M589*S589*U589)</f>
        <v>-26.0984538727278</v>
      </c>
      <c r="Y589" s="0" t="n">
        <f aca="false">(180/Pi)*(D589+H589+N589+P589+R589+T589+V589)</f>
        <v>-258.220355801905</v>
      </c>
      <c r="Z589" s="0" t="n">
        <f aca="false">Y589+180</f>
        <v>-78.2203558019052</v>
      </c>
      <c r="AC589" s="0" t="n">
        <v>1</v>
      </c>
      <c r="AD589" s="0" t="n">
        <f aca="false">Rcea1_u*Cc1ea_u*A589*2*Pi</f>
        <v>45.804420837</v>
      </c>
      <c r="AE589" s="0" t="n">
        <f aca="false">-Rcea1_u*Cc1ea_u*Cc2ea_u*(A589*2*Pi)^2</f>
        <v>-0.0809430929094521</v>
      </c>
      <c r="AF589" s="0" t="n">
        <f aca="false">(Cc2ea_u+Cc1ea_u)*A589*2*Pi</f>
        <v>0.015904312790625</v>
      </c>
      <c r="AG589" s="0" t="n">
        <f aca="false">AC589*AE589/(AE589^2+AF589^2)+AD589*AF589/(AE589^2+AF589^2)</f>
        <v>95.1609549251536</v>
      </c>
      <c r="AH589" s="0" t="n">
        <f aca="false">AD589*AE589/(AE589^2+AF589^2)-AC589*AF589/(AE589^2+AF589^2)</f>
        <v>-547.186296599295</v>
      </c>
      <c r="AJ589" s="0" t="n">
        <f aca="false">_Rfb1</f>
        <v>20000</v>
      </c>
      <c r="AK589" s="0" t="n">
        <f aca="false">_Rfb1*Rcea2_u*Cc3ea_u*A589*2*Pi</f>
        <v>2778424.53966</v>
      </c>
      <c r="AL589" s="0" t="n">
        <v>1</v>
      </c>
      <c r="AM589" s="0" t="n">
        <f aca="false">(_Rfb1+Rcea2_u)*Cc3ea_u*A589*2*Pi</f>
        <v>51975.199951983</v>
      </c>
      <c r="AN589" s="0" t="n">
        <f aca="false">AJ589*AL589/(AL589^2+AM589^2)+AK589*AM589/(AL589^2+AM589^2)</f>
        <v>53.4567433313817</v>
      </c>
      <c r="AO589" s="0" t="n">
        <f aca="false">AK589*AL589/(AL589^2+AM589^2)-AJ589*AM589/(AL589^2+AM589^2)</f>
        <v>-0.383770399634751</v>
      </c>
      <c r="AQ589" s="0" t="n">
        <f aca="false">Eadcg/(1+(Eadcg*A589/GBP)^2)</f>
        <v>0.00323845335623312</v>
      </c>
      <c r="AR589" s="0" t="n">
        <f aca="false">-(A589*Eadcg*Eadcg/GBP)/(1+(Eadcg*A589/GBP)^2)</f>
        <v>-3.19999672262785</v>
      </c>
      <c r="AT589" s="0" t="n">
        <f aca="false">-AR589*AH589+AG589*AQ589</f>
        <v>-1750.68618147076</v>
      </c>
      <c r="AU589" s="0" t="n">
        <f aca="false">AQ589*AH589+AG589*AR589</f>
        <v>-306.286781181335</v>
      </c>
      <c r="AV589" s="0" t="n">
        <f aca="false">ATAN2(AT589,AU589)</f>
        <v>-2.96839315529424</v>
      </c>
      <c r="AW589" s="0" t="n">
        <f aca="false">AG589-AH589*AO589/_Rfb2+AG589*AN589/_Rfb2+AN589-AO589*AR589+AQ589*AN589</f>
        <v>149.757401782815</v>
      </c>
      <c r="AX589" s="0" t="n">
        <f aca="false">AH589+AH589*AN589/_Rfb2+AG589*AO589/_Rfb2+AO589+AO589*AQ589+AN589*AR589</f>
        <v>-731.812006100505</v>
      </c>
      <c r="AY589" s="0" t="n">
        <f aca="false">ATAN2(AW589,AX589)</f>
        <v>-1.36894403182273</v>
      </c>
      <c r="BA589" s="0" t="n">
        <f aca="false">SQRT(AT589^2+AU589^2)/SQRT(AW589^2+AX589^2)</f>
        <v>2.37928976628077</v>
      </c>
      <c r="BB589" s="0" t="n">
        <f aca="false">20*LOG(BA589)</f>
        <v>7.52894673257718</v>
      </c>
      <c r="BC589" s="0" t="n">
        <f aca="false">AV589-AY589</f>
        <v>-1.59944912347151</v>
      </c>
      <c r="BD589" s="0" t="n">
        <f aca="false">BC589*180/Pi-180</f>
        <v>-271.641684425532</v>
      </c>
      <c r="BF589" s="0" t="n">
        <f aca="false">20*LOG(BA589*J589*F589*C589)</f>
        <v>-38.9013408869632</v>
      </c>
      <c r="BG589" s="0" t="n">
        <f aca="false">(180/Pi)*(D589+H589+BC589)</f>
        <v>-270.138980274347</v>
      </c>
      <c r="BH589" s="0" t="n">
        <f aca="false">IF(BG589&gt;180,BG589-180,BG589+180)</f>
        <v>-90.1389802743472</v>
      </c>
      <c r="BI589" s="0" t="n">
        <f aca="false">IF(BH589&gt;180,BH589-360,BH589)</f>
        <v>-90.1389802743472</v>
      </c>
      <c r="BJ589" s="0" t="n">
        <f aca="false">SUM((BF590&lt;0)*(BF589&gt;0))*A589</f>
        <v>0</v>
      </c>
      <c r="BK589" s="0" t="n">
        <f aca="false">IF(BJ589&gt;0,BI589,0)</f>
        <v>0</v>
      </c>
      <c r="BM589" s="0" t="n">
        <f aca="false">20*LOG(J589*F589*C589)</f>
        <v>-46.4302876195404</v>
      </c>
      <c r="BN589" s="0" t="n">
        <f aca="false">(H589+D589)*180/Pi</f>
        <v>-178.497295848815</v>
      </c>
      <c r="BQ589" s="347" t="n">
        <f aca="false">20*LOG(BA589*7)</f>
        <v>24.4309075328623</v>
      </c>
    </row>
    <row r="590" customFormat="false" ht="12.75" hidden="false" customHeight="false" outlineLevel="0" collapsed="false">
      <c r="A590" s="0" t="n">
        <f aca="false">A589+5000</f>
        <v>1880000</v>
      </c>
      <c r="B590" s="0" t="n">
        <f aca="false">A590/1000</f>
        <v>1880</v>
      </c>
      <c r="C590" s="0" t="n">
        <f aca="false">SQRT((A590/Fesr)^2+1)</f>
        <v>1.00006976382594</v>
      </c>
      <c r="D590" s="0" t="n">
        <f aca="false">ATAN(A590/Fesr)</f>
        <v>0.0118118390058905</v>
      </c>
      <c r="F590" s="0" t="n">
        <f aca="false">(Ro/(Ro+Rdcr))/SQRT((A590/(Q*Fo))^2+(1-(A590^2/Fo^2))^2)</f>
        <v>0.000527107053854811</v>
      </c>
      <c r="G590" s="0" t="n">
        <f aca="false">-ATAN(A590*Fo/(Q*(Fo^2-A590^2)))</f>
        <v>0.0144082500018683</v>
      </c>
      <c r="H590" s="0" t="n">
        <f aca="false">IF(G590&gt;0,G590-Pi,G590)</f>
        <v>-3.12718439999813</v>
      </c>
      <c r="J590" s="0" t="n">
        <f aca="false">Vin/Vramp</f>
        <v>9</v>
      </c>
      <c r="M590" s="0" t="n">
        <f aca="false">1/(2*Pi*_Rfb1*(Cc1ea_u+Cc2ea_u)*A590)</f>
        <v>0.0031354401748179</v>
      </c>
      <c r="N590" s="0" t="n">
        <f aca="false">-Pi/2</f>
        <v>-1.570796325</v>
      </c>
      <c r="O590" s="0" t="n">
        <f aca="false">SQRT(1+(A590/Fz1_u)^2)</f>
        <v>45.9374516142079</v>
      </c>
      <c r="P590" s="0" t="n">
        <f aca="false">ATAN2(Fz1_u,A590)</f>
        <v>1.54902587673054</v>
      </c>
      <c r="Q590" s="0" t="n">
        <f aca="false">SQRT(1+(A590/Fz2_u)^2)</f>
        <v>52113.8004947827</v>
      </c>
      <c r="R590" s="0" t="n">
        <f aca="false">ATAN2(Fz2_u,A590)</f>
        <v>1.57077713801974</v>
      </c>
      <c r="S590" s="0" t="n">
        <f aca="false">1/SQRT(1+(A590/Fp1_u)^2)</f>
        <v>0.00717899450223186</v>
      </c>
      <c r="T590" s="0" t="n">
        <f aca="false">-ATAN2(Fp1_u,A590)</f>
        <v>-1.56361727062611</v>
      </c>
      <c r="U590" s="0" t="n">
        <f aca="false">1/SQRT(1+(A590/Fp2_u)^2)</f>
        <v>0.192307276969602</v>
      </c>
      <c r="V590" s="0" t="n">
        <f aca="false">-ATAN2(Fp2_u,A590)</f>
        <v>-1.37728355752206</v>
      </c>
      <c r="X590" s="0" t="n">
        <f aca="false">20*LOG(C590*J590*O590*Q590*F590*M590*S590*U590)</f>
        <v>-26.1670172522897</v>
      </c>
      <c r="Y590" s="0" t="n">
        <f aca="false">(180/Pi)*(D590+H590+N590+P590+R590+T590+V590)</f>
        <v>-258.247359310005</v>
      </c>
      <c r="Z590" s="0" t="n">
        <f aca="false">Y590+180</f>
        <v>-78.2473593100053</v>
      </c>
      <c r="AC590" s="0" t="n">
        <v>1</v>
      </c>
      <c r="AD590" s="0" t="n">
        <f aca="false">Rcea1_u*Cc1ea_u*A590*2*Pi</f>
        <v>45.926565959232</v>
      </c>
      <c r="AE590" s="0" t="n">
        <f aca="false">-Rcea1_u*Cc1ea_u*Cc2ea_u*(A590*2*Pi)^2</f>
        <v>-0.0813753650002966</v>
      </c>
      <c r="AF590" s="0" t="n">
        <f aca="false">(Cc2ea_u+Cc1ea_u)*A590*2*Pi</f>
        <v>0.0159467242914</v>
      </c>
      <c r="AG590" s="0" t="n">
        <f aca="false">AC590*AE590/(AE590^2+AF590^2)+AD590*AF590/(AE590^2+AF590^2)</f>
        <v>94.6741472651854</v>
      </c>
      <c r="AH590" s="0" t="n">
        <f aca="false">AD590*AE590/(AE590^2+AF590^2)-AC590*AF590/(AE590^2+AF590^2)</f>
        <v>-545.826411163978</v>
      </c>
      <c r="AJ590" s="0" t="n">
        <f aca="false">_Rfb1</f>
        <v>20000</v>
      </c>
      <c r="AK590" s="0" t="n">
        <f aca="false">_Rfb1*Rcea2_u*Cc3ea_u*A590*2*Pi</f>
        <v>2785833.67176576</v>
      </c>
      <c r="AL590" s="0" t="n">
        <v>1</v>
      </c>
      <c r="AM590" s="0" t="n">
        <f aca="false">(_Rfb1+Rcea2_u)*Cc3ea_u*A590*2*Pi</f>
        <v>52113.8004851883</v>
      </c>
      <c r="AN590" s="0" t="n">
        <f aca="false">AJ590*AL590/(AL590^2+AM590^2)+AK590*AM590/(AL590^2+AM590^2)</f>
        <v>53.4567432921589</v>
      </c>
      <c r="AO590" s="0" t="n">
        <f aca="false">AK590*AL590/(AL590^2+AM590^2)-AJ590*AM590/(AL590^2+AM590^2)</f>
        <v>-0.382749733679028</v>
      </c>
      <c r="AQ590" s="0" t="n">
        <f aca="false">Eadcg/(1+(Eadcg*A590/GBP)^2)</f>
        <v>0.00322125046470358</v>
      </c>
      <c r="AR590" s="0" t="n">
        <f aca="false">-(A590*Eadcg*Eadcg/GBP)/(1+(Eadcg*A590/GBP)^2)</f>
        <v>-3.19148611040972</v>
      </c>
      <c r="AT590" s="0" t="n">
        <f aca="false">-AR590*AH590+AG590*AQ590</f>
        <v>-1741.69244078375</v>
      </c>
      <c r="AU590" s="0" t="n">
        <f aca="false">AQ590*AH590+AG590*AR590</f>
        <v>-303.909469592333</v>
      </c>
      <c r="AV590" s="0" t="n">
        <f aca="false">ATAN2(AT590,AU590)</f>
        <v>-2.96884100855021</v>
      </c>
      <c r="AW590" s="0" t="n">
        <f aca="false">AG590-AH590*AO590/_Rfb2+AG590*AN590/_Rfb2+AN590-AO590*AR590+AQ590*AN590</f>
        <v>149.264973160679</v>
      </c>
      <c r="AX590" s="0" t="n">
        <f aca="false">AH590+AH590*AN590/_Rfb2+AG590*AO590/_Rfb2+AO590+AO590*AQ590+AN590*AR590</f>
        <v>-729.963300036824</v>
      </c>
      <c r="AY590" s="0" t="n">
        <f aca="false">ATAN2(AW590,AX590)</f>
        <v>-1.36909407736085</v>
      </c>
      <c r="BA590" s="0" t="n">
        <f aca="false">SQRT(AT590^2+AU590^2)/SQRT(AW590^2+AX590^2)</f>
        <v>2.37294870710156</v>
      </c>
      <c r="BB590" s="0" t="n">
        <f aca="false">20*LOG(BA590)</f>
        <v>7.50576701497038</v>
      </c>
      <c r="BC590" s="0" t="n">
        <f aca="false">AV590-AY590</f>
        <v>-1.59974693118936</v>
      </c>
      <c r="BD590" s="0" t="n">
        <f aca="false">BC590*180/Pi-180</f>
        <v>-271.658747550891</v>
      </c>
      <c r="BF590" s="0" t="n">
        <f aca="false">20*LOG(BA590*J590*F590*C590)</f>
        <v>-38.9708002950511</v>
      </c>
      <c r="BG590" s="0" t="n">
        <f aca="false">(180/Pi)*(D590+H590+BC590)</f>
        <v>-270.156447110572</v>
      </c>
      <c r="BH590" s="0" t="n">
        <f aca="false">IF(BG590&gt;180,BG590-180,BG590+180)</f>
        <v>-90.1564471105723</v>
      </c>
      <c r="BI590" s="0" t="n">
        <f aca="false">IF(BH590&gt;180,BH590-360,BH590)</f>
        <v>-90.1564471105723</v>
      </c>
      <c r="BJ590" s="0" t="n">
        <f aca="false">SUM((BF591&lt;0)*(BF590&gt;0))*A590</f>
        <v>0</v>
      </c>
      <c r="BK590" s="0" t="n">
        <f aca="false">IF(BJ590&gt;0,BI590,0)</f>
        <v>0</v>
      </c>
      <c r="BM590" s="0" t="n">
        <f aca="false">20*LOG(J590*F590*C590)</f>
        <v>-46.4765673100215</v>
      </c>
      <c r="BN590" s="0" t="n">
        <f aca="false">(H590+D590)*180/Pi</f>
        <v>-178.497699559681</v>
      </c>
      <c r="BQ590" s="347" t="n">
        <f aca="false">20*LOG(BA590*7)</f>
        <v>24.4077278152555</v>
      </c>
    </row>
    <row r="591" customFormat="false" ht="12.75" hidden="false" customHeight="false" outlineLevel="0" collapsed="false">
      <c r="A591" s="0" t="n">
        <f aca="false">A590+5000</f>
        <v>1885000</v>
      </c>
      <c r="B591" s="0" t="n">
        <f aca="false">A591/1000</f>
        <v>1885</v>
      </c>
      <c r="C591" s="0" t="n">
        <f aca="false">SQRT((A591/Fesr)^2+1)</f>
        <v>1.00007013539055</v>
      </c>
      <c r="D591" s="0" t="n">
        <f aca="false">ATAN(A591/Fesr)</f>
        <v>0.0118432505377933</v>
      </c>
      <c r="F591" s="0" t="n">
        <f aca="false">(Ro/(Ro+Rdcr))/SQRT((A591/(Q*Fo))^2+(1-(A591^2/Fo^2))^2)</f>
        <v>0.000524313251648075</v>
      </c>
      <c r="G591" s="0" t="n">
        <f aca="false">-ATAN(A591*Fo/(Q*(Fo^2-A591^2)))</f>
        <v>0.0143699966639895</v>
      </c>
      <c r="H591" s="0" t="n">
        <f aca="false">IF(G591&gt;0,G591-Pi,G591)</f>
        <v>-3.12722265333601</v>
      </c>
      <c r="J591" s="0" t="n">
        <f aca="false">Vin/Vramp</f>
        <v>9</v>
      </c>
      <c r="M591" s="0" t="n">
        <f aca="false">1/(2*Pi*_Rfb1*(Cc1ea_u+Cc2ea_u)*A591)</f>
        <v>0.00312712335737806</v>
      </c>
      <c r="N591" s="0" t="n">
        <f aca="false">-Pi/2</f>
        <v>-1.570796325</v>
      </c>
      <c r="O591" s="0" t="n">
        <f aca="false">SQRT(1+(A591/Fz1_u)^2)</f>
        <v>46.0595678688386</v>
      </c>
      <c r="P591" s="0" t="n">
        <f aca="false">ATAN2(Fz1_u,A591)</f>
        <v>1.54908360511059</v>
      </c>
      <c r="Q591" s="0" t="n">
        <f aca="false">SQRT(1+(A591/Fz2_u)^2)</f>
        <v>52252.4010279625</v>
      </c>
      <c r="R591" s="0" t="n">
        <f aca="false">ATAN2(Fz2_u,A591)</f>
        <v>1.57077718891835</v>
      </c>
      <c r="S591" s="0" t="n">
        <f aca="false">1/SQRT(1+(A591/Fp1_u)^2)</f>
        <v>0.00715995305400316</v>
      </c>
      <c r="T591" s="0" t="n">
        <f aca="false">-ATAN2(Fp1_u,A591)</f>
        <v>-1.56363631256374</v>
      </c>
      <c r="U591" s="0" t="n">
        <f aca="false">1/SQRT(1+(A591/Fp2_u)^2)</f>
        <v>0.191815970383812</v>
      </c>
      <c r="V591" s="0" t="n">
        <f aca="false">-ATAN2(Fp2_u,A591)</f>
        <v>-1.37778418434952</v>
      </c>
      <c r="X591" s="0" t="n">
        <f aca="false">20*LOG(C591*J591*O591*Q591*F591*M591*S591*U591)</f>
        <v>-26.2354027209777</v>
      </c>
      <c r="Y591" s="0" t="n">
        <f aca="false">(180/Pi)*(D591+H591+N591+P591+R591+T591+V591)</f>
        <v>-258.274215634817</v>
      </c>
      <c r="Z591" s="0" t="n">
        <f aca="false">Y591+180</f>
        <v>-78.2742156348173</v>
      </c>
      <c r="AC591" s="0" t="n">
        <v>1</v>
      </c>
      <c r="AD591" s="0" t="n">
        <f aca="false">Rcea1_u*Cc1ea_u*A591*2*Pi</f>
        <v>46.048711081464</v>
      </c>
      <c r="AE591" s="0" t="n">
        <f aca="false">-Rcea1_u*Cc1ea_u*Cc2ea_u*(A591*2*Pi)^2</f>
        <v>-0.0818087882817957</v>
      </c>
      <c r="AF591" s="0" t="n">
        <f aca="false">(Cc2ea_u+Cc1ea_u)*A591*2*Pi</f>
        <v>0.015989135792175</v>
      </c>
      <c r="AG591" s="0" t="n">
        <f aca="false">AC591*AE591/(AE591^2+AF591^2)+AD591*AF591/(AE591^2+AF591^2)</f>
        <v>94.191018225366</v>
      </c>
      <c r="AH591" s="0" t="n">
        <f aca="false">AD591*AE591/(AE591^2+AF591^2)-AC591*AF591/(AE591^2+AF591^2)</f>
        <v>-544.473021006316</v>
      </c>
      <c r="AJ591" s="0" t="n">
        <f aca="false">_Rfb1</f>
        <v>20000</v>
      </c>
      <c r="AK591" s="0" t="n">
        <f aca="false">_Rfb1*Rcea2_u*Cc3ea_u*A591*2*Pi</f>
        <v>2793242.80387152</v>
      </c>
      <c r="AL591" s="0" t="n">
        <v>1</v>
      </c>
      <c r="AM591" s="0" t="n">
        <f aca="false">(_Rfb1+Rcea2_u)*Cc3ea_u*A591*2*Pi</f>
        <v>52252.4010183936</v>
      </c>
      <c r="AN591" s="0" t="n">
        <f aca="false">AJ591*AL591/(AL591^2+AM591^2)+AK591*AM591/(AL591^2+AM591^2)</f>
        <v>53.4567432532477</v>
      </c>
      <c r="AO591" s="0" t="n">
        <f aca="false">AK591*AL591/(AL591^2+AM591^2)-AJ591*AM591/(AL591^2+AM591^2)</f>
        <v>-0.381734482396805</v>
      </c>
      <c r="AQ591" s="0" t="n">
        <f aca="false">Eadcg/(1+(Eadcg*A591/GBP)^2)</f>
        <v>0.0032041842843888</v>
      </c>
      <c r="AR591" s="0" t="n">
        <f aca="false">-(A591*Eadcg*Eadcg/GBP)/(1+(Eadcg*A591/GBP)^2)</f>
        <v>-3.18302064719041</v>
      </c>
      <c r="AT591" s="0" t="n">
        <f aca="false">-AR591*AH591+AG591*AQ591</f>
        <v>-1732.76706232091</v>
      </c>
      <c r="AU591" s="0" t="n">
        <f aca="false">AQ591*AH591+AG591*AR591</f>
        <v>-301.55654768841</v>
      </c>
      <c r="AV591" s="0" t="n">
        <f aca="false">ATAN2(AT591,AU591)</f>
        <v>-2.96928658425267</v>
      </c>
      <c r="AW591" s="0" t="n">
        <f aca="false">AG591-AH591*AO591/_Rfb2+AG591*AN591/_Rfb2+AN591-AO591*AR591+AQ591*AN591</f>
        <v>148.776263424059</v>
      </c>
      <c r="AX591" s="0" t="n">
        <f aca="false">AH591+AH591*AN591/_Rfb2+AG591*AO591/_Rfb2+AO591+AO591*AQ591+AN591*AR591</f>
        <v>-728.123665846315</v>
      </c>
      <c r="AY591" s="0" t="n">
        <f aca="false">ATAN2(AW591,AX591)</f>
        <v>-1.3692424350366</v>
      </c>
      <c r="BA591" s="0" t="n">
        <f aca="false">SQRT(AT591^2+AU591^2)/SQRT(AW591^2+AX591^2)</f>
        <v>2.36664106132756</v>
      </c>
      <c r="BB591" s="0" t="n">
        <f aca="false">20*LOG(BA591)</f>
        <v>7.48264790547302</v>
      </c>
      <c r="BC591" s="0" t="n">
        <f aca="false">AV591-AY591</f>
        <v>-1.60004414921607</v>
      </c>
      <c r="BD591" s="0" t="n">
        <f aca="false">BC591*180/Pi-180</f>
        <v>-271.675776889436</v>
      </c>
      <c r="BF591" s="0" t="n">
        <f aca="false">20*LOG(BA591*J591*F591*C591)</f>
        <v>-39.0400760520498</v>
      </c>
      <c r="BG591" s="0" t="n">
        <f aca="false">(180/Pi)*(D591+H591+BC591)</f>
        <v>-270.173868455725</v>
      </c>
      <c r="BH591" s="0" t="n">
        <f aca="false">IF(BG591&gt;180,BG591-180,BG591+180)</f>
        <v>-90.1738684557246</v>
      </c>
      <c r="BI591" s="0" t="n">
        <f aca="false">IF(BH591&gt;180,BH591-360,BH591)</f>
        <v>-90.1738684557246</v>
      </c>
      <c r="BJ591" s="0" t="n">
        <f aca="false">SUM((BF592&lt;0)*(BF591&gt;0))*A591</f>
        <v>0</v>
      </c>
      <c r="BK591" s="0" t="n">
        <f aca="false">IF(BJ591&gt;0,BI591,0)</f>
        <v>0</v>
      </c>
      <c r="BM591" s="0" t="n">
        <f aca="false">20*LOG(J591*F591*C591)</f>
        <v>-46.5227239575229</v>
      </c>
      <c r="BN591" s="0" t="n">
        <f aca="false">(H591+D591)*180/Pi</f>
        <v>-178.498091566289</v>
      </c>
      <c r="BQ591" s="347" t="n">
        <f aca="false">20*LOG(BA591*7)</f>
        <v>24.3846087057581</v>
      </c>
    </row>
    <row r="592" customFormat="false" ht="12.75" hidden="false" customHeight="false" outlineLevel="0" collapsed="false">
      <c r="A592" s="0" t="n">
        <f aca="false">A591+5000</f>
        <v>1890000</v>
      </c>
      <c r="B592" s="0" t="n">
        <f aca="false">A592/1000</f>
        <v>1890</v>
      </c>
      <c r="C592" s="0" t="n">
        <f aca="false">SQRT((A592/Fesr)^2+1)</f>
        <v>1.00007050794192</v>
      </c>
      <c r="D592" s="0" t="n">
        <f aca="false">ATAN(A592/Fesr)</f>
        <v>0.0118746620463239</v>
      </c>
      <c r="F592" s="0" t="n">
        <f aca="false">(Ro/(Ro+Rdcr))/SQRT((A592/(Q*Fo))^2+(1-(A592^2/Fo^2))^2)</f>
        <v>0.000521541605630337</v>
      </c>
      <c r="G592" s="0" t="n">
        <f aca="false">-ATAN(A592*Fo/(Q*(Fo^2-A592^2)))</f>
        <v>0.0143319460028724</v>
      </c>
      <c r="H592" s="0" t="n">
        <f aca="false">IF(G592&gt;0,G592-Pi,G592)</f>
        <v>-3.12726070399713</v>
      </c>
      <c r="J592" s="0" t="n">
        <f aca="false">Vin/Vramp</f>
        <v>9</v>
      </c>
      <c r="M592" s="0" t="n">
        <f aca="false">1/(2*Pi*_Rfb1*(Cc1ea_u+Cc2ea_u)*A592)</f>
        <v>0.0031188505442633</v>
      </c>
      <c r="N592" s="0" t="n">
        <f aca="false">-Pi/2</f>
        <v>-1.570796325</v>
      </c>
      <c r="O592" s="0" t="n">
        <f aca="false">SQRT(1+(A592/Fz1_u)^2)</f>
        <v>46.181684276154</v>
      </c>
      <c r="P592" s="0" t="n">
        <f aca="false">ATAN2(Fz1_u,A592)</f>
        <v>1.54914102819306</v>
      </c>
      <c r="Q592" s="0" t="n">
        <f aca="false">SQRT(1+(A592/Fz2_u)^2)</f>
        <v>52391.0015611425</v>
      </c>
      <c r="R592" s="0" t="n">
        <f aca="false">ATAN2(Fz2_u,A592)</f>
        <v>1.57077723954765</v>
      </c>
      <c r="S592" s="0" t="n">
        <f aca="false">1/SQRT(1+(A592/Fp1_u)^2)</f>
        <v>0.00714101234645096</v>
      </c>
      <c r="T592" s="0" t="n">
        <f aca="false">-ATAN2(Fp1_u,A592)</f>
        <v>-1.56365525375552</v>
      </c>
      <c r="U592" s="0" t="n">
        <f aca="false">1/SQRT(1+(A592/Fp2_u)^2)</f>
        <v>0.191327120194932</v>
      </c>
      <c r="V592" s="0" t="n">
        <f aca="false">-ATAN2(Fp2_u,A592)</f>
        <v>-1.37828225956883</v>
      </c>
      <c r="X592" s="0" t="n">
        <f aca="false">20*LOG(C592*J592*O592*Q592*F592*M592*S592*U592)</f>
        <v>-26.3036111896636</v>
      </c>
      <c r="Y592" s="0" t="n">
        <f aca="false">(180/Pi)*(D592+H592+N592+P592+R592+T592+V592)</f>
        <v>-258.300925887447</v>
      </c>
      <c r="Z592" s="0" t="n">
        <f aca="false">Y592+180</f>
        <v>-78.3009258874474</v>
      </c>
      <c r="AC592" s="0" t="n">
        <v>1</v>
      </c>
      <c r="AD592" s="0" t="n">
        <f aca="false">Rcea1_u*Cc1ea_u*A592*2*Pi</f>
        <v>46.170856203696</v>
      </c>
      <c r="AE592" s="0" t="n">
        <f aca="false">-Rcea1_u*Cc1ea_u*Cc2ea_u*(A592*2*Pi)^2</f>
        <v>-0.0822433627539496</v>
      </c>
      <c r="AF592" s="0" t="n">
        <f aca="false">(Cc2ea_u+Cc1ea_u)*A592*2*Pi</f>
        <v>0.01603154729295</v>
      </c>
      <c r="AG592" s="0" t="n">
        <f aca="false">AC592*AE592/(AE592^2+AF592^2)+AD592*AF592/(AE592^2+AF592^2)</f>
        <v>93.7115313205404</v>
      </c>
      <c r="AH592" s="0" t="n">
        <f aca="false">AD592*AE592/(AE592^2+AF592^2)-AC592*AF592/(AE592^2+AF592^2)</f>
        <v>-543.126081688469</v>
      </c>
      <c r="AJ592" s="0" t="n">
        <f aca="false">_Rfb1</f>
        <v>20000</v>
      </c>
      <c r="AK592" s="0" t="n">
        <f aca="false">_Rfb1*Rcea2_u*Cc3ea_u*A592*2*Pi</f>
        <v>2800651.93597728</v>
      </c>
      <c r="AL592" s="0" t="n">
        <v>1</v>
      </c>
      <c r="AM592" s="0" t="n">
        <f aca="false">(_Rfb1+Rcea2_u)*Cc3ea_u*A592*2*Pi</f>
        <v>52391.0015515989</v>
      </c>
      <c r="AN592" s="0" t="n">
        <f aca="false">AJ592*AL592/(AL592^2+AM592^2)+AK592*AM592/(AL592^2+AM592^2)</f>
        <v>53.4567432146449</v>
      </c>
      <c r="AO592" s="0" t="n">
        <f aca="false">AK592*AL592/(AL592^2+AM592^2)-AJ592*AM592/(AL592^2+AM592^2)</f>
        <v>-0.380724602814481</v>
      </c>
      <c r="AQ592" s="0" t="n">
        <f aca="false">Eadcg/(1+(Eadcg*A592/GBP)^2)</f>
        <v>0.00318725337052697</v>
      </c>
      <c r="AR592" s="0" t="n">
        <f aca="false">-(A592*Eadcg*Eadcg/GBP)/(1+(Eadcg*A592/GBP)^2)</f>
        <v>-3.17459997464597</v>
      </c>
      <c r="AT592" s="0" t="n">
        <f aca="false">-AR592*AH592+AG592*AQ592</f>
        <v>-1723.90936276372</v>
      </c>
      <c r="AU592" s="0" t="n">
        <f aca="false">AQ592*AH592+AG592*AR592</f>
        <v>-299.227705388706</v>
      </c>
      <c r="AV592" s="0" t="n">
        <f aca="false">ATAN2(AT592,AU592)</f>
        <v>-2.96972989947918</v>
      </c>
      <c r="AW592" s="0" t="n">
        <f aca="false">AG592-AH592*AO592/_Rfb2+AG592*AN592/_Rfb2+AN592-AO592*AR592+AQ592*AN592</f>
        <v>148.291235717678</v>
      </c>
      <c r="AX592" s="0" t="n">
        <f aca="false">AH592+AH592*AN592/_Rfb2+AG592*AO592/_Rfb2+AO592+AO592*AQ592+AN592*AR592</f>
        <v>-726.293038806317</v>
      </c>
      <c r="AY592" s="0" t="n">
        <f aca="false">ATAN2(AW592,AX592)</f>
        <v>-1.36938911732632</v>
      </c>
      <c r="BA592" s="0" t="n">
        <f aca="false">SQRT(AT592^2+AU592^2)/SQRT(AW592^2+AX592^2)</f>
        <v>2.36036656529439</v>
      </c>
      <c r="BB592" s="0" t="n">
        <f aca="false">20*LOG(BA592)</f>
        <v>7.45958908416731</v>
      </c>
      <c r="BC592" s="0" t="n">
        <f aca="false">AV592-AY592</f>
        <v>-1.60034078215286</v>
      </c>
      <c r="BD592" s="0" t="n">
        <f aca="false">BC592*180/Pi-180</f>
        <v>-271.692772704798</v>
      </c>
      <c r="BF592" s="0" t="n">
        <f aca="false">20*LOG(BA592*J592*F592*C592)</f>
        <v>-39.1091691305467</v>
      </c>
      <c r="BG592" s="0" t="n">
        <f aca="false">(180/Pi)*(D592+H592+BC592)</f>
        <v>-270.19124466651</v>
      </c>
      <c r="BH592" s="0" t="n">
        <f aca="false">IF(BG592&gt;180,BG592-180,BG592+180)</f>
        <v>-90.1912446665099</v>
      </c>
      <c r="BI592" s="0" t="n">
        <f aca="false">IF(BH592&gt;180,BH592-360,BH592)</f>
        <v>-90.1912446665099</v>
      </c>
      <c r="BJ592" s="0" t="n">
        <f aca="false">SUM((BF593&lt;0)*(BF592&gt;0))*A592</f>
        <v>0</v>
      </c>
      <c r="BK592" s="0" t="n">
        <f aca="false">IF(BJ592&gt;0,BI592,0)</f>
        <v>0</v>
      </c>
      <c r="BM592" s="0" t="n">
        <f aca="false">20*LOG(J592*F592*C592)</f>
        <v>-46.568758214714</v>
      </c>
      <c r="BN592" s="0" t="n">
        <f aca="false">(H592+D592)*180/Pi</f>
        <v>-178.498471961712</v>
      </c>
      <c r="BQ592" s="347" t="n">
        <f aca="false">20*LOG(BA592*7)</f>
        <v>24.3615498844524</v>
      </c>
    </row>
    <row r="593" customFormat="false" ht="12.75" hidden="false" customHeight="false" outlineLevel="0" collapsed="false">
      <c r="A593" s="0" t="n">
        <f aca="false">A592+5000</f>
        <v>1895000</v>
      </c>
      <c r="B593" s="0" t="n">
        <f aca="false">A593/1000</f>
        <v>1895</v>
      </c>
      <c r="C593" s="0" t="n">
        <f aca="false">SQRT((A593/Fesr)^2+1)</f>
        <v>1.00007088148003</v>
      </c>
      <c r="D593" s="0" t="n">
        <f aca="false">ATAN(A593/Fesr)</f>
        <v>0.0119060735314204</v>
      </c>
      <c r="F593" s="0" t="n">
        <f aca="false">(Ro/(Ro+Rdcr))/SQRT((A593/(Q*Fo))^2+(1-(A593^2/Fo^2))^2)</f>
        <v>0.000518791882107884</v>
      </c>
      <c r="G593" s="0" t="n">
        <f aca="false">-ATAN(A593*Fo/(Q*(Fo^2-A593^2)))</f>
        <v>0.0142940964112898</v>
      </c>
      <c r="H593" s="0" t="n">
        <f aca="false">IF(G593&gt;0,G593-Pi,G593)</f>
        <v>-3.12729855358871</v>
      </c>
      <c r="J593" s="0" t="n">
        <f aca="false">Vin/Vramp</f>
        <v>9</v>
      </c>
      <c r="M593" s="0" t="n">
        <f aca="false">1/(2*Pi*_Rfb1*(Cc1ea_u+Cc2ea_u)*A593)</f>
        <v>0.00311062138715443</v>
      </c>
      <c r="N593" s="0" t="n">
        <f aca="false">-Pi/2</f>
        <v>-1.570796325</v>
      </c>
      <c r="O593" s="0" t="n">
        <f aca="false">SQRT(1+(A593/Fz1_u)^2)</f>
        <v>46.3038008349463</v>
      </c>
      <c r="P593" s="0" t="n">
        <f aca="false">ATAN2(Fz1_u,A593)</f>
        <v>1.54919814839306</v>
      </c>
      <c r="Q593" s="0" t="n">
        <f aca="false">SQRT(1+(A593/Fz2_u)^2)</f>
        <v>52529.6020943226</v>
      </c>
      <c r="R593" s="0" t="n">
        <f aca="false">ATAN2(Fz2_u,A593)</f>
        <v>1.57077728990978</v>
      </c>
      <c r="S593" s="0" t="n">
        <f aca="false">1/SQRT(1+(A593/Fp1_u)^2)</f>
        <v>0.00712217158223686</v>
      </c>
      <c r="T593" s="0" t="n">
        <f aca="false">-ATAN2(Fp1_u,A593)</f>
        <v>-1.56367409499887</v>
      </c>
      <c r="U593" s="0" t="n">
        <f aca="false">1/SQRT(1+(A593/Fp2_u)^2)</f>
        <v>0.190840708394929</v>
      </c>
      <c r="V593" s="0" t="n">
        <f aca="false">-ATAN2(Fp2_u,A593)</f>
        <v>-1.3787778023928</v>
      </c>
      <c r="X593" s="0" t="n">
        <f aca="false">20*LOG(C593*J593*O593*Q593*F593*M593*S593*U593)</f>
        <v>-26.3716435623117</v>
      </c>
      <c r="Y593" s="0" t="n">
        <f aca="false">(180/Pi)*(D593+H593+N593+P593+R593+T593+V593)</f>
        <v>-258.327491167991</v>
      </c>
      <c r="Z593" s="0" t="n">
        <f aca="false">Y593+180</f>
        <v>-78.3274911679914</v>
      </c>
      <c r="AC593" s="0" t="n">
        <v>1</v>
      </c>
      <c r="AD593" s="0" t="n">
        <f aca="false">Rcea1_u*Cc1ea_u*A593*2*Pi</f>
        <v>46.293001325928</v>
      </c>
      <c r="AE593" s="0" t="n">
        <f aca="false">-Rcea1_u*Cc1ea_u*Cc2ea_u*(A593*2*Pi)^2</f>
        <v>-0.0826790884167582</v>
      </c>
      <c r="AF593" s="0" t="n">
        <f aca="false">(Cc2ea_u+Cc1ea_u)*A593*2*Pi</f>
        <v>0.016073958793725</v>
      </c>
      <c r="AG593" s="0" t="n">
        <f aca="false">AC593*AE593/(AE593^2+AF593^2)+AD593*AF593/(AE593^2+AF593^2)</f>
        <v>93.235650510536</v>
      </c>
      <c r="AH593" s="0" t="n">
        <f aca="false">AD593*AE593/(AE593^2+AF593^2)-AC593*AF593/(AE593^2+AF593^2)</f>
        <v>-541.785549155089</v>
      </c>
      <c r="AJ593" s="0" t="n">
        <f aca="false">_Rfb1</f>
        <v>20000</v>
      </c>
      <c r="AK593" s="0" t="n">
        <f aca="false">_Rfb1*Rcea2_u*Cc3ea_u*A593*2*Pi</f>
        <v>2808061.06808304</v>
      </c>
      <c r="AL593" s="0" t="n">
        <v>1</v>
      </c>
      <c r="AM593" s="0" t="n">
        <f aca="false">(_Rfb1+Rcea2_u)*Cc3ea_u*A593*2*Pi</f>
        <v>52529.6020848041</v>
      </c>
      <c r="AN593" s="0" t="n">
        <f aca="false">AJ593*AL593/(AL593^2+AM593^2)+AK593*AM593/(AL593^2+AM593^2)</f>
        <v>53.4567431763473</v>
      </c>
      <c r="AO593" s="0" t="n">
        <f aca="false">AK593*AL593/(AL593^2+AM593^2)-AJ593*AM593/(AL593^2+AM593^2)</f>
        <v>-0.379720052412006</v>
      </c>
      <c r="AQ593" s="0" t="n">
        <f aca="false">Eadcg/(1+(Eadcg*A593/GBP)^2)</f>
        <v>0.00317045629739126</v>
      </c>
      <c r="AR593" s="0" t="n">
        <f aca="false">-(A593*Eadcg*Eadcg/GBP)/(1+(Eadcg*A593/GBP)^2)</f>
        <v>-3.16622373823425</v>
      </c>
      <c r="AT593" s="0" t="n">
        <f aca="false">-AR593*AH593+AG593*AQ593</f>
        <v>-1715.11866721182</v>
      </c>
      <c r="AU593" s="0" t="n">
        <f aca="false">AQ593*AH593+AG593*AR593</f>
        <v>-296.922637302325</v>
      </c>
      <c r="AV593" s="0" t="n">
        <f aca="false">ATAN2(AT593,AU593)</f>
        <v>-2.9701709711396</v>
      </c>
      <c r="AW593" s="0" t="n">
        <f aca="false">AG593-AH593*AO593/_Rfb2+AG593*AN593/_Rfb2+AN593-AO593*AR593+AQ593*AN593</f>
        <v>147.809853635289</v>
      </c>
      <c r="AX593" s="0" t="n">
        <f aca="false">AH593+AH593*AN593/_Rfb2+AG593*AO593/_Rfb2+AO593+AO593*AQ593+AN593*AR593</f>
        <v>-724.471354788747</v>
      </c>
      <c r="AY593" s="0" t="n">
        <f aca="false">ATAN2(AW593,AX593)</f>
        <v>-1.369534136587</v>
      </c>
      <c r="BA593" s="0" t="n">
        <f aca="false">SQRT(AT593^2+AU593^2)/SQRT(AW593^2+AX593^2)</f>
        <v>2.35412495810067</v>
      </c>
      <c r="BB593" s="0" t="n">
        <f aca="false">20*LOG(BA593)</f>
        <v>7.43659023364247</v>
      </c>
      <c r="BC593" s="0" t="n">
        <f aca="false">AV593-AY593</f>
        <v>-1.60063683455261</v>
      </c>
      <c r="BD593" s="0" t="n">
        <f aca="false">BC593*180/Pi-180</f>
        <v>-271.709735257838</v>
      </c>
      <c r="BF593" s="0" t="n">
        <f aca="false">20*LOG(BA593*J593*F593*C593)</f>
        <v>-39.1780804954403</v>
      </c>
      <c r="BG593" s="0" t="n">
        <f aca="false">(180/Pi)*(D593+H593+BC593)</f>
        <v>-270.20857609588</v>
      </c>
      <c r="BH593" s="0" t="n">
        <f aca="false">IF(BG593&gt;180,BG593-180,BG593+180)</f>
        <v>-90.2085760958797</v>
      </c>
      <c r="BI593" s="0" t="n">
        <f aca="false">IF(BH593&gt;180,BH593-360,BH593)</f>
        <v>-90.2085760958797</v>
      </c>
      <c r="BJ593" s="0" t="n">
        <f aca="false">SUM((BF594&lt;0)*(BF593&gt;0))*A593</f>
        <v>0</v>
      </c>
      <c r="BK593" s="0" t="n">
        <f aca="false">IF(BJ593&gt;0,BI593,0)</f>
        <v>0</v>
      </c>
      <c r="BM593" s="0" t="n">
        <f aca="false">20*LOG(J593*F593*C593)</f>
        <v>-46.6146707290828</v>
      </c>
      <c r="BN593" s="0" t="n">
        <f aca="false">(H593+D593)*180/Pi</f>
        <v>-178.498840838042</v>
      </c>
      <c r="BQ593" s="347" t="n">
        <f aca="false">20*LOG(BA593*7)</f>
        <v>24.3385510339276</v>
      </c>
    </row>
    <row r="594" customFormat="false" ht="12.75" hidden="false" customHeight="false" outlineLevel="0" collapsed="false">
      <c r="A594" s="0" t="n">
        <f aca="false">A593+5000</f>
        <v>1900000</v>
      </c>
      <c r="B594" s="0" t="n">
        <f aca="false">A594/1000</f>
        <v>1900</v>
      </c>
      <c r="C594" s="0" t="n">
        <f aca="false">SQRT((A594/Fesr)^2+1)</f>
        <v>1.0000712560049</v>
      </c>
      <c r="D594" s="0" t="n">
        <f aca="false">ATAN(A594/Fesr)</f>
        <v>0.0119374849930207</v>
      </c>
      <c r="F594" s="0" t="n">
        <f aca="false">(Ro/(Ro+Rdcr))/SQRT((A594/(Q*Fo))^2+(1-(A594^2/Fo^2))^2)</f>
        <v>0.000516063850460447</v>
      </c>
      <c r="G594" s="0" t="n">
        <f aca="false">-ATAN(A594*Fo/(Q*(Fo^2-A594^2)))</f>
        <v>0.0142564462989707</v>
      </c>
      <c r="H594" s="0" t="n">
        <f aca="false">IF(G594&gt;0,G594-Pi,G594)</f>
        <v>-3.12733620370103</v>
      </c>
      <c r="J594" s="0" t="n">
        <f aca="false">Vin/Vramp</f>
        <v>9</v>
      </c>
      <c r="M594" s="0" t="n">
        <f aca="false">1/(2*Pi*_Rfb1*(Cc1ea_u+Cc2ea_u)*A594)</f>
        <v>0.00310243554139876</v>
      </c>
      <c r="N594" s="0" t="n">
        <f aca="false">-Pi/2</f>
        <v>-1.570796325</v>
      </c>
      <c r="O594" s="0" t="n">
        <f aca="false">SQRT(1+(A594/Fz1_u)^2)</f>
        <v>46.42591754402</v>
      </c>
      <c r="P594" s="0" t="n">
        <f aca="false">ATAN2(Fz1_u,A594)</f>
        <v>1.54925496810027</v>
      </c>
      <c r="Q594" s="0" t="n">
        <f aca="false">SQRT(1+(A594/Fz2_u)^2)</f>
        <v>52668.2026275028</v>
      </c>
      <c r="R594" s="0" t="n">
        <f aca="false">ATAN2(Fz2_u,A594)</f>
        <v>1.57077734000685</v>
      </c>
      <c r="S594" s="0" t="n">
        <f aca="false">1/SQRT(1+(A594/Fp1_u)^2)</f>
        <v>0.00710342997241447</v>
      </c>
      <c r="T594" s="0" t="n">
        <f aca="false">-ATAN2(Fp1_u,A594)</f>
        <v>-1.5636928370828</v>
      </c>
      <c r="U594" s="0" t="n">
        <f aca="false">1/SQRT(1+(A594/Fp2_u)^2)</f>
        <v>0.19035671714754</v>
      </c>
      <c r="V594" s="0" t="n">
        <f aca="false">-ATAN2(Fp2_u,A594)</f>
        <v>-1.37927083184436</v>
      </c>
      <c r="X594" s="0" t="n">
        <f aca="false">20*LOG(C594*J594*O594*Q594*F594*M594*S594*U594)</f>
        <v>-26.4395007360476</v>
      </c>
      <c r="Y594" s="0" t="n">
        <f aca="false">(180/Pi)*(D594+H594+N594+P594+R594+T594+V594)</f>
        <v>-258.353912565669</v>
      </c>
      <c r="Z594" s="0" t="n">
        <f aca="false">Y594+180</f>
        <v>-78.3539125656688</v>
      </c>
      <c r="AC594" s="0" t="n">
        <v>1</v>
      </c>
      <c r="AD594" s="0" t="n">
        <f aca="false">Rcea1_u*Cc1ea_u*A594*2*Pi</f>
        <v>46.41514644816</v>
      </c>
      <c r="AE594" s="0" t="n">
        <f aca="false">-Rcea1_u*Cc1ea_u*Cc2ea_u*(A594*2*Pi)^2</f>
        <v>-0.0831159652702215</v>
      </c>
      <c r="AF594" s="0" t="n">
        <f aca="false">(Cc2ea_u+Cc1ea_u)*A594*2*Pi</f>
        <v>0.0161163702945</v>
      </c>
      <c r="AG594" s="0" t="n">
        <f aca="false">AC594*AE594/(AE594^2+AF594^2)+AD594*AF594/(AE594^2+AF594^2)</f>
        <v>92.7633401937624</v>
      </c>
      <c r="AH594" s="0" t="n">
        <f aca="false">AD594*AE594/(AE594^2+AF594^2)-AC594*AF594/(AE594^2+AF594^2)</f>
        <v>-540.451379729527</v>
      </c>
      <c r="AJ594" s="0" t="n">
        <f aca="false">_Rfb1</f>
        <v>20000</v>
      </c>
      <c r="AK594" s="0" t="n">
        <f aca="false">_Rfb1*Rcea2_u*Cc3ea_u*A594*2*Pi</f>
        <v>2815470.2001888</v>
      </c>
      <c r="AL594" s="0" t="n">
        <v>1</v>
      </c>
      <c r="AM594" s="0" t="n">
        <f aca="false">(_Rfb1+Rcea2_u)*Cc3ea_u*A594*2*Pi</f>
        <v>52668.2026180094</v>
      </c>
      <c r="AN594" s="0" t="n">
        <f aca="false">AJ594*AL594/(AL594^2+AM594^2)+AK594*AM594/(AL594^2+AM594^2)</f>
        <v>53.4567431383516</v>
      </c>
      <c r="AO594" s="0" t="n">
        <f aca="false">AK594*AL594/(AL594^2+AM594^2)-AJ594*AM594/(AL594^2+AM594^2)</f>
        <v>-0.378720789116906</v>
      </c>
      <c r="AQ594" s="0" t="n">
        <f aca="false">Eadcg/(1+(Eadcg*A594/GBP)^2)</f>
        <v>0.00315379165798967</v>
      </c>
      <c r="AR594" s="0" t="n">
        <f aca="false">-(A594*Eadcg*Eadcg/GBP)/(1+(Eadcg*A594/GBP)^2)</f>
        <v>-3.15789158714505</v>
      </c>
      <c r="AT594" s="0" t="n">
        <f aca="false">-AR594*AH594+AG594*AQ594</f>
        <v>-1706.39430906034</v>
      </c>
      <c r="AU594" s="0" t="n">
        <f aca="false">AQ594*AH594+AG594*AR594</f>
        <v>-294.641042646297</v>
      </c>
      <c r="AV594" s="0" t="n">
        <f aca="false">ATAN2(AT594,AU594)</f>
        <v>-2.97060981597811</v>
      </c>
      <c r="AW594" s="0" t="n">
        <f aca="false">AG594-AH594*AO594/_Rfb2+AG594*AN594/_Rfb2+AN594-AO594*AR594+AQ594*AN594</f>
        <v>147.33208121323</v>
      </c>
      <c r="AX594" s="0" t="n">
        <f aca="false">AH594+AH594*AN594/_Rfb2+AG594*AO594/_Rfb2+AO594+AO594*AQ594+AN594*AR594</f>
        <v>-722.65855025355</v>
      </c>
      <c r="AY594" s="0" t="n">
        <f aca="false">ATAN2(AW594,AX594)</f>
        <v>-1.36967750505765</v>
      </c>
      <c r="BA594" s="0" t="n">
        <f aca="false">SQRT(AT594^2+AU594^2)/SQRT(AW594^2+AX594^2)</f>
        <v>2.34791598157196</v>
      </c>
      <c r="BB594" s="0" t="n">
        <f aca="false">20*LOG(BA594)</f>
        <v>7.41365103896868</v>
      </c>
      <c r="BC594" s="0" t="n">
        <f aca="false">AV594-AY594</f>
        <v>-1.60093231092046</v>
      </c>
      <c r="BD594" s="0" t="n">
        <f aca="false">BC594*180/Pi-180</f>
        <v>-271.726664806681</v>
      </c>
      <c r="BF594" s="0" t="n">
        <f aca="false">20*LOG(BA594*J594*F594*C594)</f>
        <v>-39.2468111040212</v>
      </c>
      <c r="BG594" s="0" t="n">
        <f aca="false">(180/Pi)*(D594+H594+BC594)</f>
        <v>-270.225863093079</v>
      </c>
      <c r="BH594" s="0" t="n">
        <f aca="false">IF(BG594&gt;180,BG594-180,BG594+180)</f>
        <v>-90.2258630930795</v>
      </c>
      <c r="BI594" s="0" t="n">
        <f aca="false">IF(BH594&gt;180,BH594-360,BH594)</f>
        <v>-90.2258630930795</v>
      </c>
      <c r="BJ594" s="0" t="n">
        <f aca="false">SUM((BF595&lt;0)*(BF594&gt;0))*A594</f>
        <v>0</v>
      </c>
      <c r="BK594" s="0" t="n">
        <f aca="false">IF(BJ594&gt;0,BI594,0)</f>
        <v>0</v>
      </c>
      <c r="BM594" s="0" t="n">
        <f aca="false">20*LOG(J594*F594*C594)</f>
        <v>-46.6604621429898</v>
      </c>
      <c r="BN594" s="0" t="n">
        <f aca="false">(H594+D594)*180/Pi</f>
        <v>-178.499198286398</v>
      </c>
      <c r="BQ594" s="347" t="n">
        <f aca="false">20*LOG(BA594*7)</f>
        <v>24.3156118392538</v>
      </c>
    </row>
    <row r="595" customFormat="false" ht="12.75" hidden="false" customHeight="false" outlineLevel="0" collapsed="false">
      <c r="A595" s="0" t="n">
        <f aca="false">A594+5000</f>
        <v>1905000</v>
      </c>
      <c r="B595" s="0" t="n">
        <f aca="false">A595/1000</f>
        <v>1905</v>
      </c>
      <c r="C595" s="0" t="n">
        <f aca="false">SQRT((A595/Fesr)^2+1)</f>
        <v>1.00007163151652</v>
      </c>
      <c r="D595" s="0" t="n">
        <f aca="false">ATAN(A595/Fesr)</f>
        <v>0.011968896431063</v>
      </c>
      <c r="F595" s="0" t="n">
        <f aca="false">(Ro/(Ro+Rdcr))/SQRT((A595/(Q*Fo))^2+(1-(A595^2/Fo^2))^2)</f>
        <v>0.000513357283092818</v>
      </c>
      <c r="G595" s="0" t="n">
        <f aca="false">-ATAN(A595*Fo/(Q*(Fo^2-A595^2)))</f>
        <v>0.0142189940923777</v>
      </c>
      <c r="H595" s="0" t="n">
        <f aca="false">IF(G595&gt;0,G595-Pi,G595)</f>
        <v>-3.12737365590762</v>
      </c>
      <c r="J595" s="0" t="n">
        <f aca="false">Vin/Vramp</f>
        <v>9</v>
      </c>
      <c r="M595" s="0" t="n">
        <f aca="false">1/(2*Pi*_Rfb1*(Cc1ea_u+Cc2ea_u)*A595)</f>
        <v>0.00309429266596202</v>
      </c>
      <c r="N595" s="0" t="n">
        <f aca="false">-Pi/2</f>
        <v>-1.570796325</v>
      </c>
      <c r="O595" s="0" t="n">
        <f aca="false">SQRT(1+(A595/Fz1_u)^2)</f>
        <v>46.5480344021923</v>
      </c>
      <c r="P595" s="0" t="n">
        <f aca="false">ATAN2(Fz1_u,A595)</f>
        <v>1.54931148967933</v>
      </c>
      <c r="Q595" s="0" t="n">
        <f aca="false">SQRT(1+(A595/Fz2_u)^2)</f>
        <v>52806.8031606832</v>
      </c>
      <c r="R595" s="0" t="n">
        <f aca="false">ATAN2(Fz2_u,A595)</f>
        <v>1.57077738984094</v>
      </c>
      <c r="S595" s="0" t="n">
        <f aca="false">1/SQRT(1+(A595/Fp1_u)^2)</f>
        <v>0.00708478673631924</v>
      </c>
      <c r="T595" s="0" t="n">
        <f aca="false">-ATAN2(Fp1_u,A595)</f>
        <v>-1.56371148078803</v>
      </c>
      <c r="U595" s="0" t="n">
        <f aca="false">1/SQRT(1+(A595/Fp2_u)^2)</f>
        <v>0.189875128786283</v>
      </c>
      <c r="V595" s="0" t="n">
        <f aca="false">-ATAN2(Fp2_u,A595)</f>
        <v>-1.37976136675884</v>
      </c>
      <c r="X595" s="0" t="n">
        <f aca="false">20*LOG(C595*J595*O595*Q595*F595*M595*S595*U595)</f>
        <v>-26.5071836012266</v>
      </c>
      <c r="Y595" s="0" t="n">
        <f aca="false">(180/Pi)*(D595+H595+N595+P595+R595+T595+V595)</f>
        <v>-258.380191158955</v>
      </c>
      <c r="Z595" s="0" t="n">
        <f aca="false">Y595+180</f>
        <v>-78.3801911589554</v>
      </c>
      <c r="AC595" s="0" t="n">
        <v>1</v>
      </c>
      <c r="AD595" s="0" t="n">
        <f aca="false">Rcea1_u*Cc1ea_u*A595*2*Pi</f>
        <v>46.537291570392</v>
      </c>
      <c r="AE595" s="0" t="n">
        <f aca="false">-Rcea1_u*Cc1ea_u*Cc2ea_u*(A595*2*Pi)^2</f>
        <v>-0.0835539933143394</v>
      </c>
      <c r="AF595" s="0" t="n">
        <f aca="false">(Cc2ea_u+Cc1ea_u)*A595*2*Pi</f>
        <v>0.016158781795275</v>
      </c>
      <c r="AG595" s="0" t="n">
        <f aca="false">AC595*AE595/(AE595^2+AF595^2)+AD595*AF595/(AE595^2+AF595^2)</f>
        <v>92.2945652009153</v>
      </c>
      <c r="AH595" s="0" t="n">
        <f aca="false">AD595*AE595/(AE595^2+AF595^2)-AC595*AF595/(AE595^2+AF595^2)</f>
        <v>-539.123530110079</v>
      </c>
      <c r="AJ595" s="0" t="n">
        <f aca="false">_Rfb1</f>
        <v>20000</v>
      </c>
      <c r="AK595" s="0" t="n">
        <f aca="false">_Rfb1*Rcea2_u*Cc3ea_u*A595*2*Pi</f>
        <v>2822879.33229456</v>
      </c>
      <c r="AL595" s="0" t="n">
        <v>1</v>
      </c>
      <c r="AM595" s="0" t="n">
        <f aca="false">(_Rfb1+Rcea2_u)*Cc3ea_u*A595*2*Pi</f>
        <v>52806.8031512147</v>
      </c>
      <c r="AN595" s="0" t="n">
        <f aca="false">AJ595*AL595/(AL595^2+AM595^2)+AK595*AM595/(AL595^2+AM595^2)</f>
        <v>53.4567431006548</v>
      </c>
      <c r="AO595" s="0" t="n">
        <f aca="false">AK595*AL595/(AL595^2+AM595^2)-AJ595*AM595/(AL595^2+AM595^2)</f>
        <v>-0.377726771298416</v>
      </c>
      <c r="AQ595" s="0" t="n">
        <f aca="false">Eadcg/(1+(Eadcg*A595/GBP)^2)</f>
        <v>0.00313725806377032</v>
      </c>
      <c r="AR595" s="0" t="n">
        <f aca="false">-(A595*Eadcg*Eadcg/GBP)/(1+(Eadcg*A595/GBP)^2)</f>
        <v>-3.14960317425126</v>
      </c>
      <c r="AT595" s="0" t="n">
        <f aca="false">-AR595*AH595+AG595*AQ595</f>
        <v>-1697.73562987933</v>
      </c>
      <c r="AU595" s="0" t="n">
        <f aca="false">AQ595*AH595+AG595*AR595</f>
        <v>-292.382625165149</v>
      </c>
      <c r="AV595" s="0" t="n">
        <f aca="false">ATAN2(AT595,AU595)</f>
        <v>-2.9710464505752</v>
      </c>
      <c r="AW595" s="0" t="n">
        <f aca="false">AG595-AH595*AO595/_Rfb2+AG595*AN595/_Rfb2+AN595-AO595*AR595+AQ595*AN595</f>
        <v>146.857882924072</v>
      </c>
      <c r="AX595" s="0" t="n">
        <f aca="false">AH595+AH595*AN595/_Rfb2+AG595*AO595/_Rfb2+AO595+AO595*AQ595+AN595*AR595</f>
        <v>-720.854562242223</v>
      </c>
      <c r="AY595" s="0" t="n">
        <f aca="false">ATAN2(AW595,AX595)</f>
        <v>-1.36981923486071</v>
      </c>
      <c r="BA595" s="0" t="n">
        <f aca="false">SQRT(AT595^2+AU595^2)/SQRT(AW595^2+AX595^2)</f>
        <v>2.3417393802253</v>
      </c>
      <c r="BB595" s="0" t="n">
        <f aca="false">20*LOG(BA595)</f>
        <v>7.39077118767141</v>
      </c>
      <c r="BC595" s="0" t="n">
        <f aca="false">AV595-AY595</f>
        <v>-1.60122721571449</v>
      </c>
      <c r="BD595" s="0" t="n">
        <f aca="false">BC595*180/Pi-180</f>
        <v>-271.743561606756</v>
      </c>
      <c r="BF595" s="0" t="n">
        <f aca="false">20*LOG(BA595*J595*F595*C595)</f>
        <v>-39.3153619060513</v>
      </c>
      <c r="BG595" s="0" t="n">
        <f aca="false">(180/Pi)*(D595+H595+BC595)</f>
        <v>-270.243106003698</v>
      </c>
      <c r="BH595" s="0" t="n">
        <f aca="false">IF(BG595&gt;180,BG595-180,BG595+180)</f>
        <v>-90.243106003698</v>
      </c>
      <c r="BI595" s="0" t="n">
        <f aca="false">IF(BH595&gt;180,BH595-360,BH595)</f>
        <v>-90.243106003698</v>
      </c>
      <c r="BJ595" s="0" t="n">
        <f aca="false">SUM((BF596&lt;0)*(BF595&gt;0))*A595</f>
        <v>0</v>
      </c>
      <c r="BK595" s="0" t="n">
        <f aca="false">IF(BJ595&gt;0,BI595,0)</f>
        <v>0</v>
      </c>
      <c r="BM595" s="0" t="n">
        <f aca="false">20*LOG(J595*F595*C595)</f>
        <v>-46.7061330937227</v>
      </c>
      <c r="BN595" s="0" t="n">
        <f aca="false">(H595+D595)*180/Pi</f>
        <v>-178.499544396942</v>
      </c>
      <c r="BQ595" s="347" t="n">
        <f aca="false">20*LOG(BA595*7)</f>
        <v>24.2927319879565</v>
      </c>
    </row>
    <row r="596" customFormat="false" ht="12.75" hidden="false" customHeight="false" outlineLevel="0" collapsed="false">
      <c r="A596" s="0" t="n">
        <f aca="false">A595+5000</f>
        <v>1910000</v>
      </c>
      <c r="B596" s="0" t="n">
        <f aca="false">A596/1000</f>
        <v>1910</v>
      </c>
      <c r="C596" s="0" t="n">
        <f aca="false">SQRT((A596/Fesr)^2+1)</f>
        <v>1.00007200801489</v>
      </c>
      <c r="D596" s="0" t="n">
        <f aca="false">ATAN(A596/Fesr)</f>
        <v>0.0120003078454853</v>
      </c>
      <c r="F596" s="0" t="n">
        <f aca="false">(Ro/(Ro+Rdcr))/SQRT((A596/(Q*Fo))^2+(1-(A596^2/Fo^2))^2)</f>
        <v>0.00051067195538735</v>
      </c>
      <c r="G596" s="0" t="n">
        <f aca="false">-ATAN(A596*Fo/(Q*(Fo^2-A596^2)))</f>
        <v>0.0141817382344872</v>
      </c>
      <c r="H596" s="0" t="n">
        <f aca="false">IF(G596&gt;0,G596-Pi,G596)</f>
        <v>-3.12741091176551</v>
      </c>
      <c r="J596" s="0" t="n">
        <f aca="false">Vin/Vramp</f>
        <v>9</v>
      </c>
      <c r="M596" s="0" t="n">
        <f aca="false">1/(2*Pi*_Rfb1*(Cc1ea_u+Cc2ea_u)*A596)</f>
        <v>0.00308619242338096</v>
      </c>
      <c r="N596" s="0" t="n">
        <f aca="false">-Pi/2</f>
        <v>-1.570796325</v>
      </c>
      <c r="O596" s="0" t="n">
        <f aca="false">SQRT(1+(A596/Fz1_u)^2)</f>
        <v>46.6701514082929</v>
      </c>
      <c r="P596" s="0" t="n">
        <f aca="false">ATAN2(Fz1_u,A596)</f>
        <v>1.54936771547011</v>
      </c>
      <c r="Q596" s="0" t="n">
        <f aca="false">SQRT(1+(A596/Fz2_u)^2)</f>
        <v>52945.4036938637</v>
      </c>
      <c r="R596" s="0" t="n">
        <f aca="false">ATAN2(Fz2_u,A596)</f>
        <v>1.57077743941412</v>
      </c>
      <c r="S596" s="0" t="n">
        <f aca="false">1/SQRT(1+(A596/Fp1_u)^2)</f>
        <v>0.00706624110146007</v>
      </c>
      <c r="T596" s="0" t="n">
        <f aca="false">-ATAN2(Fp1_u,A596)</f>
        <v>-1.56373002688714</v>
      </c>
      <c r="U596" s="0" t="n">
        <f aca="false">1/SQRT(1+(A596/Fp2_u)^2)</f>
        <v>0.189395925812488</v>
      </c>
      <c r="V596" s="0" t="n">
        <f aca="false">-ATAN2(Fp2_u,A596)</f>
        <v>-1.38024942578626</v>
      </c>
      <c r="X596" s="0" t="n">
        <f aca="false">20*LOG(C596*J596*O596*Q596*F596*M596*S596*U596)</f>
        <v>-26.5746930415009</v>
      </c>
      <c r="Y596" s="0" t="n">
        <f aca="false">(180/Pi)*(D596+H596+N596+P596+R596+T596+V596)</f>
        <v>-258.406328015714</v>
      </c>
      <c r="Z596" s="0" t="n">
        <f aca="false">Y596+180</f>
        <v>-78.4063280157135</v>
      </c>
      <c r="AC596" s="0" t="n">
        <v>1</v>
      </c>
      <c r="AD596" s="0" t="n">
        <f aca="false">Rcea1_u*Cc1ea_u*A596*2*Pi</f>
        <v>46.659436692624</v>
      </c>
      <c r="AE596" s="0" t="n">
        <f aca="false">-Rcea1_u*Cc1ea_u*Cc2ea_u*(A596*2*Pi)^2</f>
        <v>-0.0839931725491122</v>
      </c>
      <c r="AF596" s="0" t="n">
        <f aca="false">(Cc2ea_u+Cc1ea_u)*A596*2*Pi</f>
        <v>0.01620119329605</v>
      </c>
      <c r="AG596" s="0" t="n">
        <f aca="false">AC596*AE596/(AE596^2+AF596^2)+AD596*AF596/(AE596^2+AF596^2)</f>
        <v>91.8292907887854</v>
      </c>
      <c r="AH596" s="0" t="n">
        <f aca="false">AD596*AE596/(AE596^2+AF596^2)-AC596*AF596/(AE596^2+AF596^2)</f>
        <v>-537.801957366274</v>
      </c>
      <c r="AJ596" s="0" t="n">
        <f aca="false">_Rfb1</f>
        <v>20000</v>
      </c>
      <c r="AK596" s="0" t="n">
        <f aca="false">_Rfb1*Rcea2_u*Cc3ea_u*A596*2*Pi</f>
        <v>2830288.46440032</v>
      </c>
      <c r="AL596" s="0" t="n">
        <v>1</v>
      </c>
      <c r="AM596" s="0" t="n">
        <f aca="false">(_Rfb1+Rcea2_u)*Cc3ea_u*A596*2*Pi</f>
        <v>52945.40368442</v>
      </c>
      <c r="AN596" s="0" t="n">
        <f aca="false">AJ596*AL596/(AL596^2+AM596^2)+AK596*AM596/(AL596^2+AM596^2)</f>
        <v>53.4567430632535</v>
      </c>
      <c r="AO596" s="0" t="n">
        <f aca="false">AK596*AL596/(AL596^2+AM596^2)-AJ596*AM596/(AL596^2+AM596^2)</f>
        <v>-0.376737957761692</v>
      </c>
      <c r="AQ596" s="0" t="n">
        <f aca="false">Eadcg/(1+(Eadcg*A596/GBP)^2)</f>
        <v>0.00312085414433227</v>
      </c>
      <c r="AR596" s="0" t="n">
        <f aca="false">-(A596*Eadcg*Eadcg/GBP)/(1+(Eadcg*A596/GBP)^2)</f>
        <v>-3.14135815606054</v>
      </c>
      <c r="AT596" s="0" t="n">
        <f aca="false">-AR596*AH596+AG596*AQ596</f>
        <v>-1689.14197929514</v>
      </c>
      <c r="AU596" s="0" t="n">
        <f aca="false">AQ596*AH596+AG596*AR596</f>
        <v>-290.147093052082</v>
      </c>
      <c r="AV596" s="0" t="n">
        <f aca="false">ATAN2(AT596,AU596)</f>
        <v>-2.97148089134963</v>
      </c>
      <c r="AW596" s="0" t="n">
        <f aca="false">AG596-AH596*AO596/_Rfb2+AG596*AN596/_Rfb2+AN596-AO596*AR596+AQ596*AN596</f>
        <v>146.387223670383</v>
      </c>
      <c r="AX596" s="0" t="n">
        <f aca="false">AH596+AH596*AN596/_Rfb2+AG596*AO596/_Rfb2+AO596+AO596*AQ596+AN596*AR596</f>
        <v>-719.05932837143</v>
      </c>
      <c r="AY596" s="0" t="n">
        <f aca="false">ATAN2(AW596,AX596)</f>
        <v>-1.36995933800337</v>
      </c>
      <c r="BA596" s="0" t="n">
        <f aca="false">SQRT(AT596^2+AU596^2)/SQRT(AW596^2+AX596^2)</f>
        <v>2.33559490123428</v>
      </c>
      <c r="BB596" s="0" t="n">
        <f aca="false">20*LOG(BA596)</f>
        <v>7.36795036970597</v>
      </c>
      <c r="BC596" s="0" t="n">
        <f aca="false">AV596-AY596</f>
        <v>-1.60152155334626</v>
      </c>
      <c r="BD596" s="0" t="n">
        <f aca="false">BC596*180/Pi-180</f>
        <v>-271.760425910828</v>
      </c>
      <c r="BF596" s="0" t="n">
        <f aca="false">20*LOG(BA596*J596*F596*C596)</f>
        <v>-39.3837338438433</v>
      </c>
      <c r="BG596" s="0" t="n">
        <f aca="false">(180/Pi)*(D596+H596+BC596)</f>
        <v>-270.260305169714</v>
      </c>
      <c r="BH596" s="0" t="n">
        <f aca="false">IF(BG596&gt;180,BG596-180,BG596+180)</f>
        <v>-90.2603051697145</v>
      </c>
      <c r="BI596" s="0" t="n">
        <f aca="false">IF(BH596&gt;180,BH596-360,BH596)</f>
        <v>-90.2603051697145</v>
      </c>
      <c r="BJ596" s="0" t="n">
        <f aca="false">SUM((BF597&lt;0)*(BF596&gt;0))*A596</f>
        <v>0</v>
      </c>
      <c r="BK596" s="0" t="n">
        <f aca="false">IF(BJ596&gt;0,BI596,0)</f>
        <v>0</v>
      </c>
      <c r="BM596" s="0" t="n">
        <f aca="false">20*LOG(J596*F596*C596)</f>
        <v>-46.7516842135492</v>
      </c>
      <c r="BN596" s="0" t="n">
        <f aca="false">(H596+D596)*180/Pi</f>
        <v>-178.499879258886</v>
      </c>
      <c r="BQ596" s="347" t="n">
        <f aca="false">20*LOG(BA596*7)</f>
        <v>24.2699111699911</v>
      </c>
    </row>
    <row r="597" customFormat="false" ht="12.75" hidden="false" customHeight="false" outlineLevel="0" collapsed="false">
      <c r="A597" s="0" t="n">
        <f aca="false">A596+5000</f>
        <v>1915000</v>
      </c>
      <c r="B597" s="0" t="n">
        <f aca="false">A597/1000</f>
        <v>1915</v>
      </c>
      <c r="C597" s="0" t="n">
        <f aca="false">SQRT((A597/Fesr)^2+1)</f>
        <v>1.0000723855</v>
      </c>
      <c r="D597" s="0" t="n">
        <f aca="false">ATAN(A597/Fesr)</f>
        <v>0.0120317192362256</v>
      </c>
      <c r="F597" s="0" t="n">
        <f aca="false">(Ro/(Ro+Rdcr))/SQRT((A597/(Q*Fo))^2+(1-(A597^2/Fo^2))^2)</f>
        <v>0.000508007645657329</v>
      </c>
      <c r="G597" s="0" t="n">
        <f aca="false">-ATAN(A597*Fo/(Q*(Fo^2-A597^2)))</f>
        <v>0.0141446771845732</v>
      </c>
      <c r="H597" s="0" t="n">
        <f aca="false">IF(G597&gt;0,G597-Pi,G597)</f>
        <v>-3.12744797281543</v>
      </c>
      <c r="J597" s="0" t="n">
        <f aca="false">Vin/Vramp</f>
        <v>9</v>
      </c>
      <c r="M597" s="0" t="n">
        <f aca="false">1/(2*Pi*_Rfb1*(Cc1ea_u+Cc2ea_u)*A597)</f>
        <v>0.00307813447971678</v>
      </c>
      <c r="N597" s="0" t="n">
        <f aca="false">-Pi/2</f>
        <v>-1.570796325</v>
      </c>
      <c r="O597" s="0" t="n">
        <f aca="false">SQRT(1+(A597/Fz1_u)^2)</f>
        <v>46.7922685611637</v>
      </c>
      <c r="P597" s="0" t="n">
        <f aca="false">ATAN2(Fz1_u,A597)</f>
        <v>1.54942364778807</v>
      </c>
      <c r="Q597" s="0" t="n">
        <f aca="false">SQRT(1+(A597/Fz2_u)^2)</f>
        <v>53084.0042270443</v>
      </c>
      <c r="R597" s="0" t="n">
        <f aca="false">ATAN2(Fz2_u,A597)</f>
        <v>1.57077748872843</v>
      </c>
      <c r="S597" s="0" t="n">
        <f aca="false">1/SQRT(1+(A597/Fp1_u)^2)</f>
        <v>0.00704779230341268</v>
      </c>
      <c r="T597" s="0" t="n">
        <f aca="false">-ATAN2(Fp1_u,A597)</f>
        <v>-1.56374847614459</v>
      </c>
      <c r="U597" s="0" t="n">
        <f aca="false">1/SQRT(1+(A597/Fp2_u)^2)</f>
        <v>0.188919090893355</v>
      </c>
      <c r="V597" s="0" t="n">
        <f aca="false">-ATAN2(Fp2_u,A597)</f>
        <v>-1.38073502739356</v>
      </c>
      <c r="X597" s="0" t="n">
        <f aca="false">20*LOG(C597*J597*O597*Q597*F597*M597*S597*U597)</f>
        <v>-26.6420299338861</v>
      </c>
      <c r="Y597" s="0" t="n">
        <f aca="false">(180/Pi)*(D597+H597+N597+P597+R597+T597+V597)</f>
        <v>-258.43232419332</v>
      </c>
      <c r="Z597" s="0" t="n">
        <f aca="false">Y597+180</f>
        <v>-78.4323241933204</v>
      </c>
      <c r="AC597" s="0" t="n">
        <v>1</v>
      </c>
      <c r="AD597" s="0" t="n">
        <f aca="false">Rcea1_u*Cc1ea_u*A597*2*Pi</f>
        <v>46.781581814856</v>
      </c>
      <c r="AE597" s="0" t="n">
        <f aca="false">-Rcea1_u*Cc1ea_u*Cc2ea_u*(A597*2*Pi)^2</f>
        <v>-0.0844335029745396</v>
      </c>
      <c r="AF597" s="0" t="n">
        <f aca="false">(Cc2ea_u+Cc1ea_u)*A597*2*Pi</f>
        <v>0.016243604796825</v>
      </c>
      <c r="AG597" s="0" t="n">
        <f aca="false">AC597*AE597/(AE597^2+AF597^2)+AD597*AF597/(AE597^2+AF597^2)</f>
        <v>91.3674826341681</v>
      </c>
      <c r="AH597" s="0" t="n">
        <f aca="false">AD597*AE597/(AE597^2+AF597^2)-AC597*AF597/(AE597^2+AF597^2)</f>
        <v>-536.486618935199</v>
      </c>
      <c r="AJ597" s="0" t="n">
        <f aca="false">_Rfb1</f>
        <v>20000</v>
      </c>
      <c r="AK597" s="0" t="n">
        <f aca="false">_Rfb1*Rcea2_u*Cc3ea_u*A597*2*Pi</f>
        <v>2837697.59650608</v>
      </c>
      <c r="AL597" s="0" t="n">
        <v>1</v>
      </c>
      <c r="AM597" s="0" t="n">
        <f aca="false">(_Rfb1+Rcea2_u)*Cc3ea_u*A597*2*Pi</f>
        <v>53084.0042176253</v>
      </c>
      <c r="AN597" s="0" t="n">
        <f aca="false">AJ597*AL597/(AL597^2+AM597^2)+AK597*AM597/(AL597^2+AM597^2)</f>
        <v>53.4567430261449</v>
      </c>
      <c r="AO597" s="0" t="n">
        <f aca="false">AK597*AL597/(AL597^2+AM597^2)-AJ597*AM597/(AL597^2+AM597^2)</f>
        <v>-0.375754307742125</v>
      </c>
      <c r="AQ597" s="0" t="n">
        <f aca="false">Eadcg/(1+(Eadcg*A597/GBP)^2)</f>
        <v>0.00310457854714151</v>
      </c>
      <c r="AR597" s="0" t="n">
        <f aca="false">-(A597*Eadcg*Eadcg/GBP)/(1+(Eadcg*A597/GBP)^2)</f>
        <v>-3.13315619266794</v>
      </c>
      <c r="AT597" s="0" t="n">
        <f aca="false">-AR597*AH597+AG597*AQ597</f>
        <v>-1680.61271487381</v>
      </c>
      <c r="AU597" s="0" t="n">
        <f aca="false">AQ597*AH597+AG597*AR597</f>
        <v>-287.934158871699</v>
      </c>
      <c r="AV597" s="0" t="n">
        <f aca="false">ATAN2(AT597,AU597)</f>
        <v>-2.97191315456039</v>
      </c>
      <c r="AW597" s="0" t="n">
        <f aca="false">AG597-AH597*AO597/_Rfb2+AG597*AN597/_Rfb2+AN597-AO597*AR597+AQ597*AN597</f>
        <v>145.920068778592</v>
      </c>
      <c r="AX597" s="0" t="n">
        <f aca="false">AH597+AH597*AN597/_Rfb2+AG597*AO597/_Rfb2+AO597+AO597*AQ597+AN597*AR597</f>
        <v>-717.272786826686</v>
      </c>
      <c r="AY597" s="0" t="n">
        <f aca="false">ATAN2(AW597,AX597)</f>
        <v>-1.37009782637892</v>
      </c>
      <c r="BA597" s="0" t="n">
        <f aca="false">SQRT(AT597^2+AU597^2)/SQRT(AW597^2+AX597^2)</f>
        <v>2.32948229439464</v>
      </c>
      <c r="BB597" s="0" t="n">
        <f aca="false">20*LOG(BA597)</f>
        <v>7.34518827743254</v>
      </c>
      <c r="BC597" s="0" t="n">
        <f aca="false">AV597-AY597</f>
        <v>-1.60181532818148</v>
      </c>
      <c r="BD597" s="0" t="n">
        <f aca="false">BC597*180/Pi-180</f>
        <v>-271.777257969032</v>
      </c>
      <c r="BF597" s="0" t="n">
        <f aca="false">20*LOG(BA597*J597*F597*C597)</f>
        <v>-39.4519278523374</v>
      </c>
      <c r="BG597" s="0" t="n">
        <f aca="false">(180/Pi)*(D597+H597+BC597)</f>
        <v>-270.277460929545</v>
      </c>
      <c r="BH597" s="0" t="n">
        <f aca="false">IF(BG597&gt;180,BG597-180,BG597+180)</f>
        <v>-90.2774609295455</v>
      </c>
      <c r="BI597" s="0" t="n">
        <f aca="false">IF(BH597&gt;180,BH597-360,BH597)</f>
        <v>-90.2774609295455</v>
      </c>
      <c r="BJ597" s="0" t="n">
        <f aca="false">SUM((BF598&lt;0)*(BF597&gt;0))*A597</f>
        <v>0</v>
      </c>
      <c r="BK597" s="0" t="n">
        <f aca="false">IF(BJ597&gt;0,BI597,0)</f>
        <v>0</v>
      </c>
      <c r="BM597" s="0" t="n">
        <f aca="false">20*LOG(J597*F597*C597)</f>
        <v>-46.79711612977</v>
      </c>
      <c r="BN597" s="0" t="n">
        <f aca="false">(H597+D597)*180/Pi</f>
        <v>-178.500202960513</v>
      </c>
      <c r="BQ597" s="347" t="n">
        <f aca="false">20*LOG(BA597*7)</f>
        <v>24.2471490777177</v>
      </c>
    </row>
    <row r="598" customFormat="false" ht="12.75" hidden="false" customHeight="false" outlineLevel="0" collapsed="false">
      <c r="A598" s="0" t="n">
        <f aca="false">A597+5000</f>
        <v>1920000</v>
      </c>
      <c r="B598" s="0" t="n">
        <f aca="false">A598/1000</f>
        <v>1920</v>
      </c>
      <c r="C598" s="0" t="n">
        <f aca="false">SQRT((A598/Fesr)^2+1)</f>
        <v>1.00007276397186</v>
      </c>
      <c r="D598" s="0" t="n">
        <f aca="false">ATAN(A598/Fesr)</f>
        <v>0.012063130603222</v>
      </c>
      <c r="F598" s="0" t="n">
        <f aca="false">(Ro/(Ro+Rdcr))/SQRT((A598/(Q*Fo))^2+(1-(A598^2/Fo^2))^2)</f>
        <v>0.000505364135101193</v>
      </c>
      <c r="G598" s="0" t="n">
        <f aca="false">-ATAN(A598*Fo/(Q*(Fo^2-A598^2)))</f>
        <v>0.0141078094179947</v>
      </c>
      <c r="H598" s="0" t="n">
        <f aca="false">IF(G598&gt;0,G598-Pi,G598)</f>
        <v>-3.12748484058201</v>
      </c>
      <c r="J598" s="0" t="n">
        <f aca="false">Vin/Vramp</f>
        <v>9</v>
      </c>
      <c r="M598" s="0" t="n">
        <f aca="false">1/(2*Pi*_Rfb1*(Cc1ea_u+Cc2ea_u)*A598)</f>
        <v>0.00307011850450919</v>
      </c>
      <c r="N598" s="0" t="n">
        <f aca="false">-Pi/2</f>
        <v>-1.570796325</v>
      </c>
      <c r="O598" s="0" t="n">
        <f aca="false">SQRT(1+(A598/Fz1_u)^2)</f>
        <v>46.9143858596584</v>
      </c>
      <c r="P598" s="0" t="n">
        <f aca="false">ATAN2(Fz1_u,A598)</f>
        <v>1.54947928892459</v>
      </c>
      <c r="Q598" s="0" t="n">
        <f aca="false">SQRT(1+(A598/Fz2_u)^2)</f>
        <v>53222.6047602251</v>
      </c>
      <c r="R598" s="0" t="n">
        <f aca="false">ATAN2(Fz2_u,A598)</f>
        <v>1.57077753778589</v>
      </c>
      <c r="S598" s="0" t="n">
        <f aca="false">1/SQRT(1+(A598/Fp1_u)^2)</f>
        <v>0.00702943958571453</v>
      </c>
      <c r="T598" s="0" t="n">
        <f aca="false">-ATAN2(Fp1_u,A598)</f>
        <v>-1.56376682931692</v>
      </c>
      <c r="U598" s="0" t="n">
        <f aca="false">1/SQRT(1+(A598/Fp2_u)^2)</f>
        <v>0.188444606860047</v>
      </c>
      <c r="V598" s="0" t="n">
        <f aca="false">-ATAN2(Fp2_u,A598)</f>
        <v>-1.38121818986683</v>
      </c>
      <c r="X598" s="0" t="n">
        <f aca="false">20*LOG(C598*J598*O598*Q598*F598*M598*S598*U598)</f>
        <v>-26.7091951488271</v>
      </c>
      <c r="Y598" s="0" t="n">
        <f aca="false">(180/Pi)*(D598+H598+N598+P598+R598+T598+V598)</f>
        <v>-258.458180738795</v>
      </c>
      <c r="Z598" s="0" t="n">
        <f aca="false">Y598+180</f>
        <v>-78.4581807387949</v>
      </c>
      <c r="AC598" s="0" t="n">
        <v>1</v>
      </c>
      <c r="AD598" s="0" t="n">
        <f aca="false">Rcea1_u*Cc1ea_u*A598*2*Pi</f>
        <v>46.903726937088</v>
      </c>
      <c r="AE598" s="0" t="n">
        <f aca="false">-Rcea1_u*Cc1ea_u*Cc2ea_u*(A598*2*Pi)^2</f>
        <v>-0.0848749845906217</v>
      </c>
      <c r="AF598" s="0" t="n">
        <f aca="false">(Cc2ea_u+Cc1ea_u)*A598*2*Pi</f>
        <v>0.0162860162976</v>
      </c>
      <c r="AG598" s="0" t="n">
        <f aca="false">AC598*AE598/(AE598^2+AF598^2)+AD598*AF598/(AE598^2+AF598^2)</f>
        <v>90.909106827873</v>
      </c>
      <c r="AH598" s="0" t="n">
        <f aca="false">AD598*AE598/(AE598^2+AF598^2)-AC598*AF598/(AE598^2+AF598^2)</f>
        <v>-535.177472617863</v>
      </c>
      <c r="AJ598" s="0" t="n">
        <f aca="false">_Rfb1</f>
        <v>20000</v>
      </c>
      <c r="AK598" s="0" t="n">
        <f aca="false">_Rfb1*Rcea2_u*Cc3ea_u*A598*2*Pi</f>
        <v>2845106.72861184</v>
      </c>
      <c r="AL598" s="0" t="n">
        <v>1</v>
      </c>
      <c r="AM598" s="0" t="n">
        <f aca="false">(_Rfb1+Rcea2_u)*Cc3ea_u*A598*2*Pi</f>
        <v>53222.6047508306</v>
      </c>
      <c r="AN598" s="0" t="n">
        <f aca="false">AJ598*AL598/(AL598^2+AM598^2)+AK598*AM598/(AL598^2+AM598^2)</f>
        <v>53.4567429893258</v>
      </c>
      <c r="AO598" s="0" t="n">
        <f aca="false">AK598*AL598/(AL598^2+AM598^2)-AJ598*AM598/(AL598^2+AM598^2)</f>
        <v>-0.374775780899739</v>
      </c>
      <c r="AQ598" s="0" t="n">
        <f aca="false">Eadcg/(1+(Eadcg*A598/GBP)^2)</f>
        <v>0.00308842993725212</v>
      </c>
      <c r="AR598" s="0" t="n">
        <f aca="false">-(A598*Eadcg*Eadcg/GBP)/(1+(Eadcg*A598/GBP)^2)</f>
        <v>-3.12499694770919</v>
      </c>
      <c r="AT598" s="0" t="n">
        <f aca="false">-AR598*AH598+AG598*AQ598</f>
        <v>-1672.14720200644</v>
      </c>
      <c r="AU598" s="0" t="n">
        <f aca="false">AQ598*AH598+AG598*AR598</f>
        <v>-285.743539484247</v>
      </c>
      <c r="AV598" s="0" t="n">
        <f aca="false">ATAN2(AT598,AU598)</f>
        <v>-2.97234325630858</v>
      </c>
      <c r="AW598" s="0" t="n">
        <f aca="false">AG598-AH598*AO598/_Rfb2+AG598*AN598/_Rfb2+AN598-AO598*AR598+AQ598*AN598</f>
        <v>145.456383992948</v>
      </c>
      <c r="AX598" s="0" t="n">
        <f aca="false">AH598+AH598*AN598/_Rfb2+AG598*AO598/_Rfb2+AO598+AO598*AQ598+AN598*AR598</f>
        <v>-715.494876356133</v>
      </c>
      <c r="AY598" s="0" t="n">
        <f aca="false">ATAN2(AW598,AX598)</f>
        <v>-1.37023471176804</v>
      </c>
      <c r="BA598" s="0" t="n">
        <f aca="false">SQRT(AT598^2+AU598^2)/SQRT(AW598^2+AX598^2)</f>
        <v>2.32340131209037</v>
      </c>
      <c r="BB598" s="0" t="n">
        <f aca="false">20*LOG(BA598)</f>
        <v>7.32248460559138</v>
      </c>
      <c r="BC598" s="0" t="n">
        <f aca="false">AV598-AY598</f>
        <v>-1.60210854454054</v>
      </c>
      <c r="BD598" s="0" t="n">
        <f aca="false">BC598*180/Pi-180</f>
        <v>-271.79405802891</v>
      </c>
      <c r="BF598" s="0" t="n">
        <f aca="false">20*LOG(BA598*J598*F598*C598)</f>
        <v>-39.5199448591789</v>
      </c>
      <c r="BG598" s="0" t="n">
        <f aca="false">(180/Pi)*(D598+H598+BC598)</f>
        <v>-270.294573618091</v>
      </c>
      <c r="BH598" s="0" t="n">
        <f aca="false">IF(BG598&gt;180,BG598-180,BG598+180)</f>
        <v>-90.294573618091</v>
      </c>
      <c r="BI598" s="0" t="n">
        <f aca="false">IF(BH598&gt;180,BH598-360,BH598)</f>
        <v>-90.294573618091</v>
      </c>
      <c r="BJ598" s="0" t="n">
        <f aca="false">SUM((BF599&lt;0)*(BF598&gt;0))*A598</f>
        <v>0</v>
      </c>
      <c r="BK598" s="0" t="n">
        <f aca="false">IF(BJ598&gt;0,BI598,0)</f>
        <v>0</v>
      </c>
      <c r="BM598" s="0" t="n">
        <f aca="false">20*LOG(J598*F598*C598)</f>
        <v>-46.8424294647703</v>
      </c>
      <c r="BN598" s="0" t="n">
        <f aca="false">(H598+D598)*180/Pi</f>
        <v>-178.500515589181</v>
      </c>
      <c r="BQ598" s="347" t="n">
        <f aca="false">20*LOG(BA598*7)</f>
        <v>24.2244454058765</v>
      </c>
    </row>
    <row r="599" customFormat="false" ht="12.75" hidden="false" customHeight="false" outlineLevel="0" collapsed="false">
      <c r="A599" s="0" t="n">
        <f aca="false">A598+5000</f>
        <v>1925000</v>
      </c>
      <c r="B599" s="0" t="n">
        <f aca="false">A599/1000</f>
        <v>1925</v>
      </c>
      <c r="C599" s="0" t="n">
        <f aca="false">SQRT((A599/Fesr)^2+1)</f>
        <v>1.00007314343047</v>
      </c>
      <c r="D599" s="0" t="n">
        <f aca="false">ATAN(A599/Fesr)</f>
        <v>0.0120945419464125</v>
      </c>
      <c r="F599" s="0" t="n">
        <f aca="false">(Ro/(Ro+Rdcr))/SQRT((A599/(Q*Fo))^2+(1-(A599^2/Fo^2))^2)</f>
        <v>0.000502741207757585</v>
      </c>
      <c r="G599" s="0" t="n">
        <f aca="false">-ATAN(A599*Fo/(Q*(Fo^2-A599^2)))</f>
        <v>0.0140711334259859</v>
      </c>
      <c r="H599" s="0" t="n">
        <f aca="false">IF(G599&gt;0,G599-Pi,G599)</f>
        <v>-3.12752151657401</v>
      </c>
      <c r="J599" s="0" t="n">
        <f aca="false">Vin/Vramp</f>
        <v>9</v>
      </c>
      <c r="M599" s="0" t="n">
        <f aca="false">1/(2*Pi*_Rfb1*(Cc1ea_u+Cc2ea_u)*A599)</f>
        <v>0.00306214417073124</v>
      </c>
      <c r="N599" s="0" t="n">
        <f aca="false">-Pi/2</f>
        <v>-1.570796325</v>
      </c>
      <c r="O599" s="0" t="n">
        <f aca="false">SQRT(1+(A599/Fz1_u)^2)</f>
        <v>47.0365033026429</v>
      </c>
      <c r="P599" s="0" t="n">
        <f aca="false">ATAN2(Fz1_u,A599)</f>
        <v>1.54953464114722</v>
      </c>
      <c r="Q599" s="0" t="n">
        <f aca="false">SQRT(1+(A599/Fz2_u)^2)</f>
        <v>53361.205293406</v>
      </c>
      <c r="R599" s="0" t="n">
        <f aca="false">ATAN2(Fz2_u,A599)</f>
        <v>1.57077758658851</v>
      </c>
      <c r="S599" s="0" t="n">
        <f aca="false">1/SQRT(1+(A599/Fp1_u)^2)</f>
        <v>0.00701118219976148</v>
      </c>
      <c r="T599" s="0" t="n">
        <f aca="false">-ATAN2(Fp1_u,A599)</f>
        <v>-1.5637850871528</v>
      </c>
      <c r="U599" s="0" t="n">
        <f aca="false">1/SQRT(1+(A599/Fp2_u)^2)</f>
        <v>0.187972456705795</v>
      </c>
      <c r="V599" s="0" t="n">
        <f aca="false">-ATAN2(Fp2_u,A599)</f>
        <v>-1.38169893131347</v>
      </c>
      <c r="X599" s="0" t="n">
        <f aca="false">20*LOG(C599*J599*O599*Q599*F599*M599*S599*U599)</f>
        <v>-26.7761895502625</v>
      </c>
      <c r="Y599" s="0" t="n">
        <f aca="false">(180/Pi)*(D599+H599+N599+P599+R599+T599+V599)</f>
        <v>-258.483898688922</v>
      </c>
      <c r="Z599" s="0" t="n">
        <f aca="false">Y599+180</f>
        <v>-78.4838986889223</v>
      </c>
      <c r="AC599" s="0" t="n">
        <v>1</v>
      </c>
      <c r="AD599" s="0" t="n">
        <f aca="false">Rcea1_u*Cc1ea_u*A599*2*Pi</f>
        <v>47.02587205932</v>
      </c>
      <c r="AE599" s="0" t="n">
        <f aca="false">-Rcea1_u*Cc1ea_u*Cc2ea_u*(A599*2*Pi)^2</f>
        <v>-0.0853176173973585</v>
      </c>
      <c r="AF599" s="0" t="n">
        <f aca="false">(Cc2ea_u+Cc1ea_u)*A599*2*Pi</f>
        <v>0.016328427798375</v>
      </c>
      <c r="AG599" s="0" t="n">
        <f aca="false">AC599*AE599/(AE599^2+AF599^2)+AD599*AF599/(AE599^2+AF599^2)</f>
        <v>90.454129868831</v>
      </c>
      <c r="AH599" s="0" t="n">
        <f aca="false">AD599*AE599/(AE599^2+AF599^2)-AC599*AF599/(AE599^2+AF599^2)</f>
        <v>-533.874476575598</v>
      </c>
      <c r="AJ599" s="0" t="n">
        <f aca="false">_Rfb1</f>
        <v>20000</v>
      </c>
      <c r="AK599" s="0" t="n">
        <f aca="false">_Rfb1*Rcea2_u*Cc3ea_u*A599*2*Pi</f>
        <v>2852515.8607176</v>
      </c>
      <c r="AL599" s="0" t="n">
        <v>1</v>
      </c>
      <c r="AM599" s="0" t="n">
        <f aca="false">(_Rfb1+Rcea2_u)*Cc3ea_u*A599*2*Pi</f>
        <v>53361.2052840359</v>
      </c>
      <c r="AN599" s="0" t="n">
        <f aca="false">AJ599*AL599/(AL599^2+AM599^2)+AK599*AM599/(AL599^2+AM599^2)</f>
        <v>53.4567429527932</v>
      </c>
      <c r="AO599" s="0" t="n">
        <f aca="false">AK599*AL599/(AL599^2+AM599^2)-AJ599*AM599/(AL599^2+AM599^2)</f>
        <v>-0.373802337313671</v>
      </c>
      <c r="AQ599" s="0" t="n">
        <f aca="false">Eadcg/(1+(Eadcg*A599/GBP)^2)</f>
        <v>0.0030724069970326</v>
      </c>
      <c r="AR599" s="0" t="n">
        <f aca="false">-(A599*Eadcg*Eadcg/GBP)/(1+(Eadcg*A599/GBP)^2)</f>
        <v>-3.11688008831465</v>
      </c>
      <c r="AT599" s="0" t="n">
        <f aca="false">-AR599*AH599+AG599*AQ599</f>
        <v>-1663.74481379637</v>
      </c>
      <c r="AU599" s="0" t="n">
        <f aca="false">AQ599*AH599+AG599*AR599</f>
        <v>-283.574955971355</v>
      </c>
      <c r="AV599" s="0" t="n">
        <f aca="false">ATAN2(AT599,AU599)</f>
        <v>-2.97277121253929</v>
      </c>
      <c r="AW599" s="0" t="n">
        <f aca="false">AG599-AH599*AO599/_Rfb2+AG599*AN599/_Rfb2+AN599-AO599*AR599+AQ599*AN599</f>
        <v>144.996135469581</v>
      </c>
      <c r="AX599" s="0" t="n">
        <f aca="false">AH599+AH599*AN599/_Rfb2+AG599*AO599/_Rfb2+AO599+AO599*AQ599+AN599*AR599</f>
        <v>-713.72553626438</v>
      </c>
      <c r="AY599" s="0" t="n">
        <f aca="false">ATAN2(AW599,AX599)</f>
        <v>-1.37037000584014</v>
      </c>
      <c r="BA599" s="0" t="n">
        <f aca="false">SQRT(AT599^2+AU599^2)/SQRT(AW599^2+AX599^2)</f>
        <v>2.31735170926048</v>
      </c>
      <c r="BB599" s="0" t="n">
        <f aca="false">20*LOG(BA599)</f>
        <v>7.29983905127841</v>
      </c>
      <c r="BC599" s="0" t="n">
        <f aca="false">AV599-AY599</f>
        <v>-1.60240120669915</v>
      </c>
      <c r="BD599" s="0" t="n">
        <f aca="false">BC599*180/Pi-180</f>
        <v>-271.810826335441</v>
      </c>
      <c r="BF599" s="0" t="n">
        <f aca="false">20*LOG(BA599*J599*F599*C599)</f>
        <v>-39.5877857847931</v>
      </c>
      <c r="BG599" s="0" t="n">
        <f aca="false">(180/Pi)*(D599+H599+BC599)</f>
        <v>-270.31164356678</v>
      </c>
      <c r="BH599" s="0" t="n">
        <f aca="false">IF(BG599&gt;180,BG599-180,BG599+180)</f>
        <v>-90.31164356678</v>
      </c>
      <c r="BI599" s="0" t="n">
        <f aca="false">IF(BH599&gt;180,BH599-360,BH599)</f>
        <v>-90.31164356678</v>
      </c>
      <c r="BJ599" s="0" t="n">
        <f aca="false">SUM((BF600&lt;0)*(BF599&gt;0))*A599</f>
        <v>0</v>
      </c>
      <c r="BK599" s="0" t="n">
        <f aca="false">IF(BJ599&gt;0,BI599,0)</f>
        <v>0</v>
      </c>
      <c r="BM599" s="0" t="n">
        <f aca="false">20*LOG(J599*F599*C599)</f>
        <v>-46.8876248360715</v>
      </c>
      <c r="BN599" s="0" t="n">
        <f aca="false">(H599+D599)*180/Pi</f>
        <v>-178.500817231339</v>
      </c>
      <c r="BQ599" s="347" t="n">
        <f aca="false">20*LOG(BA599*7)</f>
        <v>24.2017998515635</v>
      </c>
    </row>
    <row r="600" customFormat="false" ht="12.75" hidden="false" customHeight="false" outlineLevel="0" collapsed="false">
      <c r="A600" s="0" t="n">
        <f aca="false">A599+5000</f>
        <v>1930000</v>
      </c>
      <c r="B600" s="0" t="n">
        <f aca="false">A600/1000</f>
        <v>1930</v>
      </c>
      <c r="C600" s="0" t="n">
        <f aca="false">SQRT((A600/Fesr)^2+1)</f>
        <v>1.00007352387582</v>
      </c>
      <c r="D600" s="0" t="n">
        <f aca="false">ATAN(A600/Fesr)</f>
        <v>0.0121259532657352</v>
      </c>
      <c r="F600" s="0" t="n">
        <f aca="false">(Ro/(Ro+Rdcr))/SQRT((A600/(Q*Fo))^2+(1-(A600^2/Fo^2))^2)</f>
        <v>0.000500138650461217</v>
      </c>
      <c r="G600" s="0" t="n">
        <f aca="false">-ATAN(A600*Fo/(Q*(Fo^2-A600^2)))</f>
        <v>0.0140346477154506</v>
      </c>
      <c r="H600" s="0" t="n">
        <f aca="false">IF(G600&gt;0,G600-Pi,G600)</f>
        <v>-3.12755800228455</v>
      </c>
      <c r="J600" s="0" t="n">
        <f aca="false">Vin/Vramp</f>
        <v>9</v>
      </c>
      <c r="M600" s="0" t="n">
        <f aca="false">1/(2*Pi*_Rfb1*(Cc1ea_u+Cc2ea_u)*A600)</f>
        <v>0.00305421115474489</v>
      </c>
      <c r="N600" s="0" t="n">
        <f aca="false">-Pi/2</f>
        <v>-1.570796325</v>
      </c>
      <c r="O600" s="0" t="n">
        <f aca="false">SQRT(1+(A600/Fz1_u)^2)</f>
        <v>47.1586208889947</v>
      </c>
      <c r="P600" s="0" t="n">
        <f aca="false">ATAN2(Fz1_u,A600)</f>
        <v>1.54958970670007</v>
      </c>
      <c r="Q600" s="0" t="n">
        <f aca="false">SQRT(1+(A600/Fz2_u)^2)</f>
        <v>53499.805826587</v>
      </c>
      <c r="R600" s="0" t="n">
        <f aca="false">ATAN2(Fz2_u,A600)</f>
        <v>1.57077763513827</v>
      </c>
      <c r="S600" s="0" t="n">
        <f aca="false">1/SQRT(1+(A600/Fp1_u)^2)</f>
        <v>0.00699301940470596</v>
      </c>
      <c r="T600" s="0" t="n">
        <f aca="false">-ATAN2(Fp1_u,A600)</f>
        <v>-1.56380325039312</v>
      </c>
      <c r="U600" s="0" t="n">
        <f aca="false">1/SQRT(1+(A600/Fp2_u)^2)</f>
        <v>0.187502623584039</v>
      </c>
      <c r="V600" s="0" t="n">
        <f aca="false">-ATAN2(Fp2_u,A600)</f>
        <v>-1.38217726966433</v>
      </c>
      <c r="X600" s="0" t="n">
        <f aca="false">20*LOG(C600*J600*O600*Q600*F600*M600*S600*U600)</f>
        <v>-26.8430139956894</v>
      </c>
      <c r="Y600" s="0" t="n">
        <f aca="false">(180/Pi)*(D600+H600+N600+P600+R600+T600+V600)</f>
        <v>-258.509479070378</v>
      </c>
      <c r="Z600" s="0" t="n">
        <f aca="false">Y600+180</f>
        <v>-78.5094790703777</v>
      </c>
      <c r="AC600" s="0" t="n">
        <v>1</v>
      </c>
      <c r="AD600" s="0" t="n">
        <f aca="false">Rcea1_u*Cc1ea_u*A600*2*Pi</f>
        <v>47.148017181552</v>
      </c>
      <c r="AE600" s="0" t="n">
        <f aca="false">-Rcea1_u*Cc1ea_u*Cc2ea_u*(A600*2*Pi)^2</f>
        <v>-0.0857614013947501</v>
      </c>
      <c r="AF600" s="0" t="n">
        <f aca="false">(Cc2ea_u+Cc1ea_u)*A600*2*Pi</f>
        <v>0.01637083929915</v>
      </c>
      <c r="AG600" s="0" t="n">
        <f aca="false">AC600*AE600/(AE600^2+AF600^2)+AD600*AF600/(AE600^2+AF600^2)</f>
        <v>90.0025186582984</v>
      </c>
      <c r="AH600" s="0" t="n">
        <f aca="false">AD600*AE600/(AE600^2+AF600^2)-AC600*AF600/(AE600^2+AF600^2)</f>
        <v>-532.577589326499</v>
      </c>
      <c r="AJ600" s="0" t="n">
        <f aca="false">_Rfb1</f>
        <v>20000</v>
      </c>
      <c r="AK600" s="0" t="n">
        <f aca="false">_Rfb1*Rcea2_u*Cc3ea_u*A600*2*Pi</f>
        <v>2859924.99282336</v>
      </c>
      <c r="AL600" s="0" t="n">
        <v>1</v>
      </c>
      <c r="AM600" s="0" t="n">
        <f aca="false">(_Rfb1+Rcea2_u)*Cc3ea_u*A600*2*Pi</f>
        <v>53499.8058172412</v>
      </c>
      <c r="AN600" s="0" t="n">
        <f aca="false">AJ600*AL600/(AL600^2+AM600^2)+AK600*AM600/(AL600^2+AM600^2)</f>
        <v>53.4567429165442</v>
      </c>
      <c r="AO600" s="0" t="n">
        <f aca="false">AK600*AL600/(AL600^2+AM600^2)-AJ600*AM600/(AL600^2+AM600^2)</f>
        <v>-0.372833937476748</v>
      </c>
      <c r="AQ600" s="0" t="n">
        <f aca="false">Eadcg/(1+(Eadcg*A600/GBP)^2)</f>
        <v>0.00305650842589703</v>
      </c>
      <c r="AR600" s="0" t="n">
        <f aca="false">-(A600*Eadcg*Eadcg/GBP)/(1+(Eadcg*A600/GBP)^2)</f>
        <v>-3.10880528506413</v>
      </c>
      <c r="AT600" s="0" t="n">
        <f aca="false">-AR600*AH600+AG600*AQ600</f>
        <v>-1655.4049309483</v>
      </c>
      <c r="AU600" s="0" t="n">
        <f aca="false">AQ600*AH600+AG600*AR600</f>
        <v>-281.428133563221</v>
      </c>
      <c r="AV600" s="0" t="n">
        <f aca="false">ATAN2(AT600,AU600)</f>
        <v>-2.97319703904347</v>
      </c>
      <c r="AW600" s="0" t="n">
        <f aca="false">AG600-AH600*AO600/_Rfb2+AG600*AN600/_Rfb2+AN600-AO600*AR600+AQ600*AN600</f>
        <v>144.539289770662</v>
      </c>
      <c r="AX600" s="0" t="n">
        <f aca="false">AH600+AH600*AN600/_Rfb2+AG600*AO600/_Rfb2+AO600+AO600*AQ600+AN600*AR600</f>
        <v>-711.964706406433</v>
      </c>
      <c r="AY600" s="0" t="n">
        <f aca="false">ATAN2(AW600,AX600)</f>
        <v>-1.3705037201546</v>
      </c>
      <c r="BA600" s="0" t="n">
        <f aca="false">SQRT(AT600^2+AU600^2)/SQRT(AW600^2+AX600^2)</f>
        <v>2.31133324336604</v>
      </c>
      <c r="BB600" s="0" t="n">
        <f aca="false">20*LOG(BA600)</f>
        <v>7.27725131392115</v>
      </c>
      <c r="BC600" s="0" t="n">
        <f aca="false">AV600-AY600</f>
        <v>-1.60269331888888</v>
      </c>
      <c r="BD600" s="0" t="n">
        <f aca="false">BC600*180/Pi-180</f>
        <v>-271.827563131075</v>
      </c>
      <c r="BF600" s="0" t="n">
        <f aca="false">20*LOG(BA600*J600*F600*C600)</f>
        <v>-39.6554515424603</v>
      </c>
      <c r="BG600" s="0" t="n">
        <f aca="false">(180/Pi)*(D600+H600+BC600)</f>
        <v>-270.328671103615</v>
      </c>
      <c r="BH600" s="0" t="n">
        <f aca="false">IF(BG600&gt;180,BG600-180,BG600+180)</f>
        <v>-90.328671103615</v>
      </c>
      <c r="BI600" s="0" t="n">
        <f aca="false">IF(BH600&gt;180,BH600-360,BH600)</f>
        <v>-90.328671103615</v>
      </c>
      <c r="BJ600" s="0" t="n">
        <f aca="false">SUM((BF601&lt;0)*(BF600&gt;0))*A600</f>
        <v>0</v>
      </c>
      <c r="BK600" s="0" t="n">
        <f aca="false">IF(BJ600&gt;0,BI600,0)</f>
        <v>0</v>
      </c>
      <c r="BM600" s="0" t="n">
        <f aca="false">20*LOG(J600*F600*C600)</f>
        <v>-46.9327028563815</v>
      </c>
      <c r="BN600" s="0" t="n">
        <f aca="false">(H600+D600)*180/Pi</f>
        <v>-178.50110797254</v>
      </c>
      <c r="BQ600" s="347" t="n">
        <f aca="false">20*LOG(BA600*7)</f>
        <v>24.1792121142063</v>
      </c>
    </row>
    <row r="601" customFormat="false" ht="12.75" hidden="false" customHeight="false" outlineLevel="0" collapsed="false">
      <c r="A601" s="0" t="n">
        <f aca="false">A600+5000</f>
        <v>1935000</v>
      </c>
      <c r="B601" s="0" t="n">
        <f aca="false">A601/1000</f>
        <v>1935</v>
      </c>
      <c r="C601" s="0" t="n">
        <f aca="false">SQRT((A601/Fesr)^2+1)</f>
        <v>1.00007390530791</v>
      </c>
      <c r="D601" s="0" t="n">
        <f aca="false">ATAN(A601/Fesr)</f>
        <v>0.012157364561128</v>
      </c>
      <c r="F601" s="0" t="n">
        <f aca="false">(Ro/(Ro+Rdcr))/SQRT((A601/(Q*Fo))^2+(1-(A601^2/Fo^2))^2)</f>
        <v>0.000497556252799543</v>
      </c>
      <c r="G601" s="0" t="n">
        <f aca="false">-ATAN(A601*Fo/(Q*(Fo^2-A601^2)))</f>
        <v>0.0139983508087585</v>
      </c>
      <c r="H601" s="0" t="n">
        <f aca="false">IF(G601&gt;0,G601-Pi,G601)</f>
        <v>-3.12759429919124</v>
      </c>
      <c r="J601" s="0" t="n">
        <f aca="false">Vin/Vramp</f>
        <v>9</v>
      </c>
      <c r="M601" s="0" t="n">
        <f aca="false">1/(2*Pi*_Rfb1*(Cc1ea_u+Cc2ea_u)*A601)</f>
        <v>0.00304631913625718</v>
      </c>
      <c r="N601" s="0" t="n">
        <f aca="false">-Pi/2</f>
        <v>-1.570796325</v>
      </c>
      <c r="O601" s="0" t="n">
        <f aca="false">SQRT(1+(A601/Fz1_u)^2)</f>
        <v>47.2807386176029</v>
      </c>
      <c r="P601" s="0" t="n">
        <f aca="false">ATAN2(Fz1_u,A601)</f>
        <v>1.54964448780405</v>
      </c>
      <c r="Q601" s="0" t="n">
        <f aca="false">SQRT(1+(A601/Fz2_u)^2)</f>
        <v>53638.4063597681</v>
      </c>
      <c r="R601" s="0" t="n">
        <f aca="false">ATAN2(Fz2_u,A601)</f>
        <v>1.57077768343713</v>
      </c>
      <c r="S601" s="0" t="n">
        <f aca="false">1/SQRT(1+(A601/Fp1_u)^2)</f>
        <v>0.00697495046735684</v>
      </c>
      <c r="T601" s="0" t="n">
        <f aca="false">-ATAN2(Fp1_u,A601)</f>
        <v>-1.56382131977116</v>
      </c>
      <c r="U601" s="0" t="n">
        <f aca="false">1/SQRT(1+(A601/Fp2_u)^2)</f>
        <v>0.187035090806589</v>
      </c>
      <c r="V601" s="0" t="n">
        <f aca="false">-ATAN2(Fp2_u,A601)</f>
        <v>-1.38265322267588</v>
      </c>
      <c r="X601" s="0" t="n">
        <f aca="false">20*LOG(C601*J601*O601*Q601*F601*M601*S601*U601)</f>
        <v>-26.9096693362261</v>
      </c>
      <c r="Y601" s="0" t="n">
        <f aca="false">(180/Pi)*(D601+H601+N601+P601+R601+T601+V601)</f>
        <v>-258.534922899847</v>
      </c>
      <c r="Z601" s="0" t="n">
        <f aca="false">Y601+180</f>
        <v>-78.5349228998467</v>
      </c>
      <c r="AC601" s="0" t="n">
        <v>1</v>
      </c>
      <c r="AD601" s="0" t="n">
        <f aca="false">Rcea1_u*Cc1ea_u*A601*2*Pi</f>
        <v>47.270162303784</v>
      </c>
      <c r="AE601" s="0" t="n">
        <f aca="false">-Rcea1_u*Cc1ea_u*Cc2ea_u*(A601*2*Pi)^2</f>
        <v>-0.0862063365827964</v>
      </c>
      <c r="AF601" s="0" t="n">
        <f aca="false">(Cc2ea_u+Cc1ea_u)*A601*2*Pi</f>
        <v>0.016413250799925</v>
      </c>
      <c r="AG601" s="0" t="n">
        <f aca="false">AC601*AE601/(AE601^2+AF601^2)+AD601*AF601/(AE601^2+AF601^2)</f>
        <v>89.5542404941544</v>
      </c>
      <c r="AH601" s="0" t="n">
        <f aca="false">AD601*AE601/(AE601^2+AF601^2)-AC601*AF601/(AE601^2+AF601^2)</f>
        <v>-531.286769741897</v>
      </c>
      <c r="AJ601" s="0" t="n">
        <f aca="false">_Rfb1</f>
        <v>20000</v>
      </c>
      <c r="AK601" s="0" t="n">
        <f aca="false">_Rfb1*Rcea2_u*Cc3ea_u*A601*2*Pi</f>
        <v>2867334.12492912</v>
      </c>
      <c r="AL601" s="0" t="n">
        <v>1</v>
      </c>
      <c r="AM601" s="0" t="n">
        <f aca="false">(_Rfb1+Rcea2_u)*Cc3ea_u*A601*2*Pi</f>
        <v>53638.4063504465</v>
      </c>
      <c r="AN601" s="0" t="n">
        <f aca="false">AJ601*AL601/(AL601^2+AM601^2)+AK601*AM601/(AL601^2+AM601^2)</f>
        <v>53.4567428805758</v>
      </c>
      <c r="AO601" s="0" t="n">
        <f aca="false">AK601*AL601/(AL601^2+AM601^2)-AJ601*AM601/(AL601^2+AM601^2)</f>
        <v>-0.37187054229014</v>
      </c>
      <c r="AQ601" s="0" t="n">
        <f aca="false">Eadcg/(1+(Eadcg*A601/GBP)^2)</f>
        <v>0.00304073294004115</v>
      </c>
      <c r="AR601" s="0" t="n">
        <f aca="false">-(A601*Eadcg*Eadcg/GBP)/(1+(Eadcg*A601/GBP)^2)</f>
        <v>-3.10077221194226</v>
      </c>
      <c r="AT601" s="0" t="n">
        <f aca="false">-AR601*AH601+AG601*AQ601</f>
        <v>-1647.12694165925</v>
      </c>
      <c r="AU601" s="0" t="n">
        <f aca="false">AQ601*AH601+AG601*AR601</f>
        <v>-279.302801567231</v>
      </c>
      <c r="AV601" s="0" t="n">
        <f aca="false">ATAN2(AT601,AU601)</f>
        <v>-2.97362075145977</v>
      </c>
      <c r="AW601" s="0" t="n">
        <f aca="false">AG601-AH601*AO601/_Rfb2+AG601*AN601/_Rfb2+AN601-AO601*AR601+AQ601*AN601</f>
        <v>144.085813858655</v>
      </c>
      <c r="AX601" s="0" t="n">
        <f aca="false">AH601+AH601*AN601/_Rfb2+AG601*AO601/_Rfb2+AO601+AO601*AQ601+AN601*AR601</f>
        <v>-710.212327181691</v>
      </c>
      <c r="AY601" s="0" t="n">
        <f aca="false">ATAN2(AW601,AX601)</f>
        <v>-1.37063586616206</v>
      </c>
      <c r="BA601" s="0" t="n">
        <f aca="false">SQRT(AT601^2+AU601^2)/SQRT(AW601^2+AX601^2)</f>
        <v>2.30534567435799</v>
      </c>
      <c r="BB601" s="0" t="n">
        <f aca="false">20*LOG(BA601)</f>
        <v>7.25472109525489</v>
      </c>
      <c r="BC601" s="0" t="n">
        <f aca="false">AV601-AY601</f>
        <v>-1.60298488529772</v>
      </c>
      <c r="BD601" s="0" t="n">
        <f aca="false">BC601*180/Pi-180</f>
        <v>-271.844268655769</v>
      </c>
      <c r="BF601" s="0" t="n">
        <f aca="false">20*LOG(BA601*J601*F601*C601)</f>
        <v>-39.7229430383896</v>
      </c>
      <c r="BG601" s="0" t="n">
        <f aca="false">(180/Pi)*(D601+H601+BC601)</f>
        <v>-270.345656553216</v>
      </c>
      <c r="BH601" s="0" t="n">
        <f aca="false">IF(BG601&gt;180,BG601-180,BG601+180)</f>
        <v>-90.3456565532164</v>
      </c>
      <c r="BI601" s="0" t="n">
        <f aca="false">IF(BH601&gt;180,BH601-360,BH601)</f>
        <v>-90.3456565532164</v>
      </c>
      <c r="BJ601" s="0" t="n">
        <f aca="false">SUM((BF602&lt;0)*(BF601&gt;0))*A601</f>
        <v>0</v>
      </c>
      <c r="BK601" s="0" t="n">
        <f aca="false">IF(BJ601&gt;0,BI601,0)</f>
        <v>0</v>
      </c>
      <c r="BM601" s="0" t="n">
        <f aca="false">20*LOG(J601*F601*C601)</f>
        <v>-46.9776641336445</v>
      </c>
      <c r="BN601" s="0" t="n">
        <f aca="false">(H601+D601)*180/Pi</f>
        <v>-178.501387897448</v>
      </c>
      <c r="BQ601" s="347" t="n">
        <f aca="false">20*LOG(BA601*7)</f>
        <v>24.15668189554</v>
      </c>
    </row>
    <row r="602" customFormat="false" ht="12.75" hidden="false" customHeight="false" outlineLevel="0" collapsed="false">
      <c r="A602" s="0" t="n">
        <f aca="false">A601+5000</f>
        <v>1940000</v>
      </c>
      <c r="B602" s="0" t="n">
        <f aca="false">A602/1000</f>
        <v>1940</v>
      </c>
      <c r="C602" s="0" t="n">
        <f aca="false">SQRT((A602/Fesr)^2+1)</f>
        <v>1.00007428772675</v>
      </c>
      <c r="D602" s="0" t="n">
        <f aca="false">ATAN(A602/Fesr)</f>
        <v>0.0121887758325291</v>
      </c>
      <c r="F602" s="0" t="n">
        <f aca="false">(Ro/(Ro+Rdcr))/SQRT((A602/(Q*Fo))^2+(1-(A602^2/Fo^2))^2)</f>
        <v>0.000494993807070195</v>
      </c>
      <c r="G602" s="0" t="n">
        <f aca="false">-ATAN(A602*Fo/(Q*(Fo^2-A602^2)))</f>
        <v>0.013962241243546</v>
      </c>
      <c r="H602" s="0" t="n">
        <f aca="false">IF(G602&gt;0,G602-Pi,G602)</f>
        <v>-3.12763040875645</v>
      </c>
      <c r="J602" s="0" t="n">
        <f aca="false">Vin/Vramp</f>
        <v>9</v>
      </c>
      <c r="M602" s="0" t="n">
        <f aca="false">1/(2*Pi*_Rfb1*(Cc1ea_u+Cc2ea_u)*A602)</f>
        <v>0.00303846779827714</v>
      </c>
      <c r="N602" s="0" t="n">
        <f aca="false">-Pi/2</f>
        <v>-1.570796325</v>
      </c>
      <c r="O602" s="0" t="n">
        <f aca="false">SQRT(1+(A602/Fz1_u)^2)</f>
        <v>47.4028564873681</v>
      </c>
      <c r="P602" s="0" t="n">
        <f aca="false">ATAN2(Fz1_u,A602)</f>
        <v>1.5496989866572</v>
      </c>
      <c r="Q602" s="0" t="n">
        <f aca="false">SQRT(1+(A602/Fz2_u)^2)</f>
        <v>53777.0068929494</v>
      </c>
      <c r="R602" s="0" t="n">
        <f aca="false">ATAN2(Fz2_u,A602)</f>
        <v>1.57077773148702</v>
      </c>
      <c r="S602" s="0" t="n">
        <f aca="false">1/SQRT(1+(A602/Fp1_u)^2)</f>
        <v>0.00695697466208073</v>
      </c>
      <c r="T602" s="0" t="n">
        <f aca="false">-ATAN2(Fp1_u,A602)</f>
        <v>-1.56383929601258</v>
      </c>
      <c r="U602" s="0" t="n">
        <f aca="false">1/SQRT(1+(A602/Fp2_u)^2)</f>
        <v>0.186569841841814</v>
      </c>
      <c r="V602" s="0" t="n">
        <f aca="false">-ATAN2(Fp2_u,A602)</f>
        <v>-1.38312680793222</v>
      </c>
      <c r="X602" s="0" t="n">
        <f aca="false">20*LOG(C602*J602*O602*Q602*F602*M602*S602*U602)</f>
        <v>-26.9761564166749</v>
      </c>
      <c r="Y602" s="0" t="n">
        <f aca="false">(180/Pi)*(D602+H602+N602+P602+R602+T602+V602)</f>
        <v>-258.560231184146</v>
      </c>
      <c r="Z602" s="0" t="n">
        <f aca="false">Y602+180</f>
        <v>-78.5602311841456</v>
      </c>
      <c r="AC602" s="0" t="n">
        <v>1</v>
      </c>
      <c r="AD602" s="0" t="n">
        <f aca="false">Rcea1_u*Cc1ea_u*A602*2*Pi</f>
        <v>47.392307426016</v>
      </c>
      <c r="AE602" s="0" t="n">
        <f aca="false">-Rcea1_u*Cc1ea_u*Cc2ea_u*(A602*2*Pi)^2</f>
        <v>-0.0866524229614974</v>
      </c>
      <c r="AF602" s="0" t="n">
        <f aca="false">(Cc2ea_u+Cc1ea_u)*A602*2*Pi</f>
        <v>0.0164556623007</v>
      </c>
      <c r="AG602" s="0" t="n">
        <f aca="false">AC602*AE602/(AE602^2+AF602^2)+AD602*AF602/(AE602^2+AF602^2)</f>
        <v>89.1092630652914</v>
      </c>
      <c r="AH602" s="0" t="n">
        <f aca="false">AD602*AE602/(AE602^2+AF602^2)-AC602*AF602/(AE602^2+AF602^2)</f>
        <v>-530.001977042879</v>
      </c>
      <c r="AJ602" s="0" t="n">
        <f aca="false">_Rfb1</f>
        <v>20000</v>
      </c>
      <c r="AK602" s="0" t="n">
        <f aca="false">_Rfb1*Rcea2_u*Cc3ea_u*A602*2*Pi</f>
        <v>2874743.25703488</v>
      </c>
      <c r="AL602" s="0" t="n">
        <v>1</v>
      </c>
      <c r="AM602" s="0" t="n">
        <f aca="false">(_Rfb1+Rcea2_u)*Cc3ea_u*A602*2*Pi</f>
        <v>53777.0068836517</v>
      </c>
      <c r="AN602" s="0" t="n">
        <f aca="false">AJ602*AL602/(AL602^2+AM602^2)+AK602*AM602/(AL602^2+AM602^2)</f>
        <v>53.4567428448852</v>
      </c>
      <c r="AO602" s="0" t="n">
        <f aca="false">AK602*AL602/(AL602^2+AM602^2)-AJ602*AM602/(AL602^2+AM602^2)</f>
        <v>-0.370912113058097</v>
      </c>
      <c r="AQ602" s="0" t="n">
        <f aca="false">Eadcg/(1+(Eadcg*A602/GBP)^2)</f>
        <v>0.00302507927218319</v>
      </c>
      <c r="AR602" s="0" t="n">
        <f aca="false">-(A602*Eadcg*Eadcg/GBP)/(1+(Eadcg*A602/GBP)^2)</f>
        <v>-3.09278054629465</v>
      </c>
      <c r="AT602" s="0" t="n">
        <f aca="false">-AR602*AH602+AG602*AQ602</f>
        <v>-1638.91024151126</v>
      </c>
      <c r="AU602" s="0" t="n">
        <f aca="false">AQ602*AH602+AG602*AR602</f>
        <v>-277.198693297955</v>
      </c>
      <c r="AV602" s="0" t="n">
        <f aca="false">ATAN2(AT602,AU602)</f>
        <v>-2.97404236527631</v>
      </c>
      <c r="AW602" s="0" t="n">
        <f aca="false">AG602-AH602*AO602/_Rfb2+AG602*AN602/_Rfb2+AN602-AO602*AR602+AQ602*AN602</f>
        <v>143.635675090661</v>
      </c>
      <c r="AX602" s="0" t="n">
        <f aca="false">AH602+AH602*AN602/_Rfb2+AG602*AO602/_Rfb2+AO602+AO602*AQ602+AN602*AR602</f>
        <v>-708.468339528022</v>
      </c>
      <c r="AY602" s="0" t="n">
        <f aca="false">ATAN2(AW602,AX602)</f>
        <v>-1.37076645520565</v>
      </c>
      <c r="BA602" s="0" t="n">
        <f aca="false">SQRT(AT602^2+AU602^2)/SQRT(AW602^2+AX602^2)</f>
        <v>2.29938876464522</v>
      </c>
      <c r="BB602" s="0" t="n">
        <f aca="false">20*LOG(BA602)</f>
        <v>7.2322480992992</v>
      </c>
      <c r="BC602" s="0" t="n">
        <f aca="false">AV602-AY602</f>
        <v>-1.60327591007066</v>
      </c>
      <c r="BD602" s="0" t="n">
        <f aca="false">BC602*180/Pi-180</f>
        <v>-271.860943147011</v>
      </c>
      <c r="BF602" s="0" t="n">
        <f aca="false">20*LOG(BA602*J602*F602*C602)</f>
        <v>-39.7902611717914</v>
      </c>
      <c r="BG602" s="0" t="n">
        <f aca="false">(180/Pi)*(D602+H602+BC602)</f>
        <v>-270.362600236866</v>
      </c>
      <c r="BH602" s="0" t="n">
        <f aca="false">IF(BG602&gt;180,BG602-180,BG602+180)</f>
        <v>-90.3626002368656</v>
      </c>
      <c r="BI602" s="0" t="n">
        <f aca="false">IF(BH602&gt;180,BH602-360,BH602)</f>
        <v>-90.3626002368656</v>
      </c>
      <c r="BJ602" s="0" t="n">
        <f aca="false">SUM((BF603&lt;0)*(BF602&gt;0))*A602</f>
        <v>0</v>
      </c>
      <c r="BK602" s="0" t="n">
        <f aca="false">IF(BJ602&gt;0,BI602,0)</f>
        <v>0</v>
      </c>
      <c r="BM602" s="0" t="n">
        <f aca="false">20*LOG(J602*F602*C602)</f>
        <v>-47.0225092710906</v>
      </c>
      <c r="BN602" s="0" t="n">
        <f aca="false">(H602+D602)*180/Pi</f>
        <v>-178.501657089854</v>
      </c>
      <c r="BQ602" s="347" t="n">
        <f aca="false">20*LOG(BA602*7)</f>
        <v>24.1342088995843</v>
      </c>
    </row>
    <row r="603" customFormat="false" ht="12.75" hidden="false" customHeight="false" outlineLevel="0" collapsed="false">
      <c r="A603" s="0" t="n">
        <f aca="false">A602+5000</f>
        <v>1945000</v>
      </c>
      <c r="B603" s="0" t="n">
        <f aca="false">A603/1000</f>
        <v>1945</v>
      </c>
      <c r="C603" s="0" t="n">
        <f aca="false">SQRT((A603/Fesr)^2+1)</f>
        <v>1.00007467113232</v>
      </c>
      <c r="D603" s="0" t="n">
        <f aca="false">ATAN(A603/Fesr)</f>
        <v>0.0122201870798765</v>
      </c>
      <c r="F603" s="0" t="n">
        <f aca="false">(Ro/(Ro+Rdcr))/SQRT((A603/(Q*Fo))^2+(1-(A603^2/Fo^2))^2)</f>
        <v>0.000492451108239205</v>
      </c>
      <c r="G603" s="0" t="n">
        <f aca="false">-ATAN(A603*Fo/(Q*(Fo^2-A603^2)))</f>
        <v>0.013926317572519</v>
      </c>
      <c r="H603" s="0" t="n">
        <f aca="false">IF(G603&gt;0,G603-Pi,G603)</f>
        <v>-3.12766633242748</v>
      </c>
      <c r="J603" s="0" t="n">
        <f aca="false">Vin/Vramp</f>
        <v>9</v>
      </c>
      <c r="M603" s="0" t="n">
        <f aca="false">1/(2*Pi*_Rfb1*(Cc1ea_u+Cc2ea_u)*A603)</f>
        <v>0.00303065682707334</v>
      </c>
      <c r="N603" s="0" t="n">
        <f aca="false">-Pi/2</f>
        <v>-1.570796325</v>
      </c>
      <c r="O603" s="0" t="n">
        <f aca="false">SQRT(1+(A603/Fz1_u)^2)</f>
        <v>47.5249744972021</v>
      </c>
      <c r="P603" s="0" t="n">
        <f aca="false">ATAN2(Fz1_u,A603)</f>
        <v>1.54975320543496</v>
      </c>
      <c r="Q603" s="0" t="n">
        <f aca="false">SQRT(1+(A603/Fz2_u)^2)</f>
        <v>53915.6074261308</v>
      </c>
      <c r="R603" s="0" t="n">
        <f aca="false">ATAN2(Fz2_u,A603)</f>
        <v>1.57077777928986</v>
      </c>
      <c r="S603" s="0" t="n">
        <f aca="false">1/SQRT(1+(A603/Fp1_u)^2)</f>
        <v>0.00693909127070485</v>
      </c>
      <c r="T603" s="0" t="n">
        <f aca="false">-ATAN2(Fp1_u,A603)</f>
        <v>-1.56385717983564</v>
      </c>
      <c r="U603" s="0" t="n">
        <f aca="false">1/SQRT(1+(A603/Fp2_u)^2)</f>
        <v>0.18610686031285</v>
      </c>
      <c r="V603" s="0" t="n">
        <f aca="false">-ATAN2(Fp2_u,A603)</f>
        <v>-1.38359804284721</v>
      </c>
      <c r="X603" s="0" t="n">
        <f aca="false">20*LOG(C603*J603*O603*Q603*F603*M603*S603*U603)</f>
        <v>-27.0424760755839</v>
      </c>
      <c r="Y603" s="0" t="n">
        <f aca="false">(180/Pi)*(D603+H603+N603+P603+R603+T603+V603)</f>
        <v>-258.585404920339</v>
      </c>
      <c r="Z603" s="0" t="n">
        <f aca="false">Y603+180</f>
        <v>-78.5854049203392</v>
      </c>
      <c r="AC603" s="0" t="n">
        <v>1</v>
      </c>
      <c r="AD603" s="0" t="n">
        <f aca="false">Rcea1_u*Cc1ea_u*A603*2*Pi</f>
        <v>47.514452548248</v>
      </c>
      <c r="AE603" s="0" t="n">
        <f aca="false">-Rcea1_u*Cc1ea_u*Cc2ea_u*(A603*2*Pi)^2</f>
        <v>-0.087099660530853</v>
      </c>
      <c r="AF603" s="0" t="n">
        <f aca="false">(Cc2ea_u+Cc1ea_u)*A603*2*Pi</f>
        <v>0.016498073801475</v>
      </c>
      <c r="AG603" s="0" t="n">
        <f aca="false">AC603*AE603/(AE603^2+AF603^2)+AD603*AF603/(AE603^2+AF603^2)</f>
        <v>88.6675544460967</v>
      </c>
      <c r="AH603" s="0" t="n">
        <f aca="false">AD603*AE603/(AE603^2+AF603^2)-AC603*AF603/(AE603^2+AF603^2)</f>
        <v>-528.723170796829</v>
      </c>
      <c r="AJ603" s="0" t="n">
        <f aca="false">_Rfb1</f>
        <v>20000</v>
      </c>
      <c r="AK603" s="0" t="n">
        <f aca="false">_Rfb1*Rcea2_u*Cc3ea_u*A603*2*Pi</f>
        <v>2882152.38914064</v>
      </c>
      <c r="AL603" s="0" t="n">
        <v>1</v>
      </c>
      <c r="AM603" s="0" t="n">
        <f aca="false">(_Rfb1+Rcea2_u)*Cc3ea_u*A603*2*Pi</f>
        <v>53915.607416857</v>
      </c>
      <c r="AN603" s="0" t="n">
        <f aca="false">AJ603*AL603/(AL603^2+AM603^2)+AK603*AM603/(AL603^2+AM603^2)</f>
        <v>53.4567428094695</v>
      </c>
      <c r="AO603" s="0" t="n">
        <f aca="false">AK603*AL603/(AL603^2+AM603^2)-AJ603*AM603/(AL603^2+AM603^2)</f>
        <v>-0.369958611482769</v>
      </c>
      <c r="AQ603" s="0" t="n">
        <f aca="false">Eadcg/(1+(Eadcg*A603/GBP)^2)</f>
        <v>0.00300954617130937</v>
      </c>
      <c r="AR603" s="0" t="n">
        <f aca="false">-(A603*Eadcg*Eadcg/GBP)/(1+(Eadcg*A603/GBP)^2)</f>
        <v>-3.08482996878468</v>
      </c>
      <c r="AT603" s="0" t="n">
        <f aca="false">-AR603*AH603+AG603*AQ603</f>
        <v>-1630.75423336591</v>
      </c>
      <c r="AU603" s="0" t="n">
        <f aca="false">AQ603*AH603+AG603*AR603</f>
        <v>-275.11554600852</v>
      </c>
      <c r="AV603" s="0" t="n">
        <f aca="false">ATAN2(AT603,AU603)</f>
        <v>-2.97446189583247</v>
      </c>
      <c r="AW603" s="0" t="n">
        <f aca="false">AG603-AH603*AO603/_Rfb2+AG603*AN603/_Rfb2+AN603-AO603*AR603+AQ603*AN603</f>
        <v>143.188841212856</v>
      </c>
      <c r="AX603" s="0" t="n">
        <f aca="false">AH603+AH603*AN603/_Rfb2+AG603*AO603/_Rfb2+AO603+AO603*AQ603+AN603*AR603</f>
        <v>-706.732684915909</v>
      </c>
      <c r="AY603" s="0" t="n">
        <f aca="false">ATAN2(AW603,AX603)</f>
        <v>-1.37089549852223</v>
      </c>
      <c r="BA603" s="0" t="n">
        <f aca="false">SQRT(AT603^2+AU603^2)/SQRT(AW603^2+AX603^2)</f>
        <v>2.2934622790633</v>
      </c>
      <c r="BB603" s="0" t="n">
        <f aca="false">20*LOG(BA603)</f>
        <v>7.20983203233472</v>
      </c>
      <c r="BC603" s="0" t="n">
        <f aca="false">AV603-AY603</f>
        <v>-1.60356639731023</v>
      </c>
      <c r="BD603" s="0" t="n">
        <f aca="false">BC603*180/Pi-180</f>
        <v>-271.87758683986</v>
      </c>
      <c r="BF603" s="0" t="n">
        <f aca="false">20*LOG(BA603*J603*F603*C603)</f>
        <v>-39.8574068349496</v>
      </c>
      <c r="BG603" s="0" t="n">
        <f aca="false">(180/Pi)*(D603+H603+BC603)</f>
        <v>-270.379502472547</v>
      </c>
      <c r="BH603" s="0" t="n">
        <f aca="false">IF(BG603&gt;180,BG603-180,BG603+180)</f>
        <v>-90.3795024725471</v>
      </c>
      <c r="BI603" s="0" t="n">
        <f aca="false">IF(BH603&gt;180,BH603-360,BH603)</f>
        <v>-90.3795024725471</v>
      </c>
      <c r="BJ603" s="0" t="n">
        <f aca="false">SUM((BF604&lt;0)*(BF603&gt;0))*A603</f>
        <v>0</v>
      </c>
      <c r="BK603" s="0" t="n">
        <f aca="false">IF(BJ603&gt;0,BI603,0)</f>
        <v>0</v>
      </c>
      <c r="BM603" s="0" t="n">
        <f aca="false">20*LOG(J603*F603*C603)</f>
        <v>-47.0672388672844</v>
      </c>
      <c r="BN603" s="0" t="n">
        <f aca="false">(H603+D603)*180/Pi</f>
        <v>-178.501915632687</v>
      </c>
      <c r="BQ603" s="347" t="n">
        <f aca="false">20*LOG(BA603*7)</f>
        <v>24.1117928326199</v>
      </c>
    </row>
    <row r="604" customFormat="false" ht="12.75" hidden="false" customHeight="false" outlineLevel="0" collapsed="false">
      <c r="A604" s="0" t="n">
        <f aca="false">A603+5000</f>
        <v>1950000</v>
      </c>
      <c r="B604" s="0" t="n">
        <f aca="false">A604/1000</f>
        <v>1950</v>
      </c>
      <c r="C604" s="0" t="n">
        <f aca="false">SQRT((A604/Fesr)^2+1)</f>
        <v>1.00007505552463</v>
      </c>
      <c r="D604" s="0" t="n">
        <f aca="false">ATAN(A604/Fesr)</f>
        <v>0.0122515983031081</v>
      </c>
      <c r="F604" s="0" t="n">
        <f aca="false">(Ro/(Ro+Rdcr))/SQRT((A604/(Q*Fo))^2+(1-(A604^2/Fo^2))^2)</f>
        <v>0.000489927953899962</v>
      </c>
      <c r="G604" s="0" t="n">
        <f aca="false">-ATAN(A604*Fo/(Q*(Fo^2-A604^2)))</f>
        <v>0.0138905783632597</v>
      </c>
      <c r="H604" s="0" t="n">
        <f aca="false">IF(G604&gt;0,G604-Pi,G604)</f>
        <v>-3.12770207163674</v>
      </c>
      <c r="J604" s="0" t="n">
        <f aca="false">Vin/Vramp</f>
        <v>9</v>
      </c>
      <c r="M604" s="0" t="n">
        <f aca="false">1/(2*Pi*_Rfb1*(Cc1ea_u+Cc2ea_u)*A604)</f>
        <v>0.00302288591213212</v>
      </c>
      <c r="N604" s="0" t="n">
        <f aca="false">-Pi/2</f>
        <v>-1.570796325</v>
      </c>
      <c r="O604" s="0" t="n">
        <f aca="false">SQRT(1+(A604/Fz1_u)^2)</f>
        <v>47.6470926460281</v>
      </c>
      <c r="P604" s="0" t="n">
        <f aca="false">ATAN2(Fz1_u,A604)</f>
        <v>1.5498071462905</v>
      </c>
      <c r="Q604" s="0" t="n">
        <f aca="false">SQRT(1+(A604/Fz2_u)^2)</f>
        <v>54054.2079593123</v>
      </c>
      <c r="R604" s="0" t="n">
        <f aca="false">ATAN2(Fz2_u,A604)</f>
        <v>1.57077782684757</v>
      </c>
      <c r="S604" s="0" t="n">
        <f aca="false">1/SQRT(1+(A604/Fp1_u)^2)</f>
        <v>0.00692129958242141</v>
      </c>
      <c r="T604" s="0" t="n">
        <f aca="false">-ATAN2(Fp1_u,A604)</f>
        <v>-1.56387497195118</v>
      </c>
      <c r="U604" s="0" t="n">
        <f aca="false">1/SQRT(1+(A604/Fp2_u)^2)</f>
        <v>0.185646129995836</v>
      </c>
      <c r="V604" s="0" t="n">
        <f aca="false">-ATAN2(Fp2_u,A604)</f>
        <v>-1.38406694466645</v>
      </c>
      <c r="X604" s="0" t="n">
        <f aca="false">20*LOG(C604*J604*O604*Q604*F604*M604*S604*U604)</f>
        <v>-27.108629145308</v>
      </c>
      <c r="Y604" s="0" t="n">
        <f aca="false">(180/Pi)*(D604+H604+N604+P604+R604+T604+V604)</f>
        <v>-258.610445095857</v>
      </c>
      <c r="Z604" s="0" t="n">
        <f aca="false">Y604+180</f>
        <v>-78.6104450958571</v>
      </c>
      <c r="AC604" s="0" t="n">
        <v>1</v>
      </c>
      <c r="AD604" s="0" t="n">
        <f aca="false">Rcea1_u*Cc1ea_u*A604*2*Pi</f>
        <v>47.63659767048</v>
      </c>
      <c r="AE604" s="0" t="n">
        <f aca="false">-Rcea1_u*Cc1ea_u*Cc2ea_u*(A604*2*Pi)^2</f>
        <v>-0.0875480492908635</v>
      </c>
      <c r="AF604" s="0" t="n">
        <f aca="false">(Cc2ea_u+Cc1ea_u)*A604*2*Pi</f>
        <v>0.01654048530225</v>
      </c>
      <c r="AG604" s="0" t="n">
        <f aca="false">AC604*AE604/(AE604^2+AF604^2)+AD604*AF604/(AE604^2+AF604^2)</f>
        <v>88.2290830910228</v>
      </c>
      <c r="AH604" s="0" t="n">
        <f aca="false">AD604*AE604/(AE604^2+AF604^2)-AC604*AF604/(AE604^2+AF604^2)</f>
        <v>-527.450310914021</v>
      </c>
      <c r="AJ604" s="0" t="n">
        <f aca="false">_Rfb1</f>
        <v>20000</v>
      </c>
      <c r="AK604" s="0" t="n">
        <f aca="false">_Rfb1*Rcea2_u*Cc3ea_u*A604*2*Pi</f>
        <v>2889561.5212464</v>
      </c>
      <c r="AL604" s="0" t="n">
        <v>1</v>
      </c>
      <c r="AM604" s="0" t="n">
        <f aca="false">(_Rfb1+Rcea2_u)*Cc3ea_u*A604*2*Pi</f>
        <v>54054.2079500623</v>
      </c>
      <c r="AN604" s="0" t="n">
        <f aca="false">AJ604*AL604/(AL604^2+AM604^2)+AK604*AM604/(AL604^2+AM604^2)</f>
        <v>53.4567427743258</v>
      </c>
      <c r="AO604" s="0" t="n">
        <f aca="false">AK604*AL604/(AL604^2+AM604^2)-AJ604*AM604/(AL604^2+AM604^2)</f>
        <v>-0.369009999659105</v>
      </c>
      <c r="AQ604" s="0" t="n">
        <f aca="false">Eadcg/(1+(Eadcg*A604/GBP)^2)</f>
        <v>0.00299413240242392</v>
      </c>
      <c r="AR604" s="0" t="n">
        <f aca="false">-(A604*Eadcg*Eadcg/GBP)/(1+(Eadcg*A604/GBP)^2)</f>
        <v>-3.07692016335094</v>
      </c>
      <c r="AT604" s="0" t="n">
        <f aca="false">-AR604*AH604+AG604*AQ604</f>
        <v>-1622.65832726056</v>
      </c>
      <c r="AU604" s="0" t="n">
        <f aca="false">AQ604*AH604+AG604*AR604</f>
        <v>-273.05310082331</v>
      </c>
      <c r="AV604" s="0" t="n">
        <f aca="false">ATAN2(AT604,AU604)</f>
        <v>-2.97487935832066</v>
      </c>
      <c r="AW604" s="0" t="n">
        <f aca="false">AG604-AH604*AO604/_Rfb2+AG604*AN604/_Rfb2+AN604-AO604*AR604+AQ604*AN604</f>
        <v>142.74528035502</v>
      </c>
      <c r="AX604" s="0" t="n">
        <f aca="false">AH604+AH604*AN604/_Rfb2+AG604*AO604/_Rfb2+AO604+AO604*AQ604+AN604*AR604</f>
        <v>-705.005305342675</v>
      </c>
      <c r="AY604" s="0" t="n">
        <f aca="false">ATAN2(AW604,AX604)</f>
        <v>-1.37102300724361</v>
      </c>
      <c r="BA604" s="0" t="n">
        <f aca="false">SQRT(AT604^2+AU604^2)/SQRT(AW604^2+AX604^2)</f>
        <v>2.28756598484358</v>
      </c>
      <c r="BB604" s="0" t="n">
        <f aca="false">20*LOG(BA604)</f>
        <v>7.1874726028803</v>
      </c>
      <c r="BC604" s="0" t="n">
        <f aca="false">AV604-AY604</f>
        <v>-1.60385635107705</v>
      </c>
      <c r="BD604" s="0" t="n">
        <f aca="false">BC604*180/Pi-180</f>
        <v>-271.894199966972</v>
      </c>
      <c r="BF604" s="0" t="n">
        <f aca="false">20*LOG(BA604*J604*F604*C604)</f>
        <v>-39.9243809132921</v>
      </c>
      <c r="BG604" s="0" t="n">
        <f aca="false">(180/Pi)*(D604+H604+BC604)</f>
        <v>-270.396363574992</v>
      </c>
      <c r="BH604" s="0" t="n">
        <f aca="false">IF(BG604&gt;180,BG604-180,BG604+180)</f>
        <v>-90.3963635749922</v>
      </c>
      <c r="BI604" s="0" t="n">
        <f aca="false">IF(BH604&gt;180,BH604-360,BH604)</f>
        <v>-90.3963635749922</v>
      </c>
      <c r="BJ604" s="0" t="n">
        <f aca="false">SUM((BF605&lt;0)*(BF604&gt;0))*A604</f>
        <v>0</v>
      </c>
      <c r="BK604" s="0" t="n">
        <f aca="false">IF(BJ604&gt;0,BI604,0)</f>
        <v>0</v>
      </c>
      <c r="BM604" s="0" t="n">
        <f aca="false">20*LOG(J604*F604*C604)</f>
        <v>-47.1118535161724</v>
      </c>
      <c r="BN604" s="0" t="n">
        <f aca="false">(H604+D604)*180/Pi</f>
        <v>-178.50216360802</v>
      </c>
      <c r="BQ604" s="347" t="n">
        <f aca="false">20*LOG(BA604*7)</f>
        <v>24.0894334031654</v>
      </c>
    </row>
    <row r="605" customFormat="false" ht="12.75" hidden="false" customHeight="false" outlineLevel="0" collapsed="false">
      <c r="A605" s="0" t="n">
        <f aca="false">A604+5000</f>
        <v>1955000</v>
      </c>
      <c r="B605" s="0" t="n">
        <f aca="false">A605/1000</f>
        <v>1955</v>
      </c>
      <c r="C605" s="0" t="n">
        <f aca="false">SQRT((A605/Fesr)^2+1)</f>
        <v>1.00007544090368</v>
      </c>
      <c r="D605" s="0" t="n">
        <f aca="false">ATAN(A605/Fesr)</f>
        <v>0.0122830095021622</v>
      </c>
      <c r="F605" s="0" t="n">
        <f aca="false">(Ro/(Ro+Rdcr))/SQRT((A605/(Q*Fo))^2+(1-(A605^2/Fo^2))^2)</f>
        <v>0.000487424144232912</v>
      </c>
      <c r="G605" s="0" t="n">
        <f aca="false">-ATAN(A605*Fo/(Q*(Fo^2-A605^2)))</f>
        <v>0.0138550221980353</v>
      </c>
      <c r="H605" s="0" t="n">
        <f aca="false">IF(G605&gt;0,G605-Pi,G605)</f>
        <v>-3.12773762780196</v>
      </c>
      <c r="J605" s="0" t="n">
        <f aca="false">Vin/Vramp</f>
        <v>9</v>
      </c>
      <c r="M605" s="0" t="n">
        <f aca="false">1/(2*Pi*_Rfb1*(Cc1ea_u+Cc2ea_u)*A605)</f>
        <v>0.00301515474611644</v>
      </c>
      <c r="N605" s="0" t="n">
        <f aca="false">-Pi/2</f>
        <v>-1.570796325</v>
      </c>
      <c r="O605" s="0" t="n">
        <f aca="false">SQRT(1+(A605/Fz1_u)^2)</f>
        <v>47.7692109327799</v>
      </c>
      <c r="P605" s="0" t="n">
        <f aca="false">ATAN2(Fz1_u,A605)</f>
        <v>1.54986081135496</v>
      </c>
      <c r="Q605" s="0" t="n">
        <f aca="false">SQRT(1+(A605/Fz2_u)^2)</f>
        <v>54192.8084924939</v>
      </c>
      <c r="R605" s="0" t="n">
        <f aca="false">ATAN2(Fz2_u,A605)</f>
        <v>1.57077787416201</v>
      </c>
      <c r="S605" s="0" t="n">
        <f aca="false">1/SQRT(1+(A605/Fp1_u)^2)</f>
        <v>0.00690359889369346</v>
      </c>
      <c r="T605" s="0" t="n">
        <f aca="false">-ATAN2(Fp1_u,A605)</f>
        <v>-1.56389267306281</v>
      </c>
      <c r="U605" s="0" t="n">
        <f aca="false">1/SQRT(1+(A605/Fp2_u)^2)</f>
        <v>0.185187634818174</v>
      </c>
      <c r="V605" s="0" t="n">
        <f aca="false">-ATAN2(Fp2_u,A605)</f>
        <v>-1.3845335304693</v>
      </c>
      <c r="X605" s="0" t="n">
        <f aca="false">20*LOG(C605*J605*O605*Q605*F605*M605*S605*U605)</f>
        <v>-27.1746164520691</v>
      </c>
      <c r="Y605" s="0" t="n">
        <f aca="false">(180/Pi)*(D605+H605+N605+P605+R605+T605+V605)</f>
        <v>-258.635352688608</v>
      </c>
      <c r="Z605" s="0" t="n">
        <f aca="false">Y605+180</f>
        <v>-78.6353526886077</v>
      </c>
      <c r="AC605" s="0" t="n">
        <v>1</v>
      </c>
      <c r="AD605" s="0" t="n">
        <f aca="false">Rcea1_u*Cc1ea_u*A605*2*Pi</f>
        <v>47.758742792712</v>
      </c>
      <c r="AE605" s="0" t="n">
        <f aca="false">-Rcea1_u*Cc1ea_u*Cc2ea_u*(A605*2*Pi)^2</f>
        <v>-0.0879975892415286</v>
      </c>
      <c r="AF605" s="0" t="n">
        <f aca="false">(Cc2ea_u+Cc1ea_u)*A605*2*Pi</f>
        <v>0.016582896803025</v>
      </c>
      <c r="AG605" s="0" t="n">
        <f aca="false">AC605*AE605/(AE605^2+AF605^2)+AD605*AF605/(AE605^2+AF605^2)</f>
        <v>87.7938178292463</v>
      </c>
      <c r="AH605" s="0" t="n">
        <f aca="false">AD605*AE605/(AE605^2+AF605^2)-AC605*AF605/(AE605^2+AF605^2)</f>
        <v>-526.183357644239</v>
      </c>
      <c r="AJ605" s="0" t="n">
        <f aca="false">_Rfb1</f>
        <v>20000</v>
      </c>
      <c r="AK605" s="0" t="n">
        <f aca="false">_Rfb1*Rcea2_u*Cc3ea_u*A605*2*Pi</f>
        <v>2896970.65335216</v>
      </c>
      <c r="AL605" s="0" t="n">
        <v>1</v>
      </c>
      <c r="AM605" s="0" t="n">
        <f aca="false">(_Rfb1+Rcea2_u)*Cc3ea_u*A605*2*Pi</f>
        <v>54192.8084832676</v>
      </c>
      <c r="AN605" s="0" t="n">
        <f aca="false">AJ605*AL605/(AL605^2+AM605^2)+AK605*AM605/(AL605^2+AM605^2)</f>
        <v>53.4567427394515</v>
      </c>
      <c r="AO605" s="0" t="n">
        <f aca="false">AK605*AL605/(AL605^2+AM605^2)-AJ605*AM605/(AL605^2+AM605^2)</f>
        <v>-0.368066240069827</v>
      </c>
      <c r="AQ605" s="0" t="n">
        <f aca="false">Eadcg/(1+(Eadcg*A605/GBP)^2)</f>
        <v>0.00297883674630359</v>
      </c>
      <c r="AR605" s="0" t="n">
        <f aca="false">-(A605*Eadcg*Eadcg/GBP)/(1+(Eadcg*A605/GBP)^2)</f>
        <v>-3.0690508171654</v>
      </c>
      <c r="AT605" s="0" t="n">
        <f aca="false">-AR605*AH605+AG605*AQ605</f>
        <v>-1614.62194030624</v>
      </c>
      <c r="AU605" s="0" t="n">
        <f aca="false">AQ605*AH605+AG605*AR605</f>
        <v>-271.011102671963</v>
      </c>
      <c r="AV605" s="0" t="n">
        <f aca="false">ATAN2(AT605,AU605)</f>
        <v>-2.97529476778803</v>
      </c>
      <c r="AW605" s="0" t="n">
        <f aca="false">AG605-AH605*AO605/_Rfb2+AG605*AN605/_Rfb2+AN605-AO605*AR605+AQ605*AN605</f>
        <v>142.30496102515</v>
      </c>
      <c r="AX605" s="0" t="n">
        <f aca="false">AH605+AH605*AN605/_Rfb2+AG605*AO605/_Rfb2+AO605+AO605*AQ605+AN605*AR605</f>
        <v>-703.286143326773</v>
      </c>
      <c r="AY605" s="0" t="n">
        <f aca="false">ATAN2(AW605,AX605)</f>
        <v>-1.3711489923977</v>
      </c>
      <c r="BA605" s="0" t="n">
        <f aca="false">SQRT(AT605^2+AU605^2)/SQRT(AW605^2+AX605^2)</f>
        <v>2.28169965158279</v>
      </c>
      <c r="BB605" s="0" t="n">
        <f aca="false">20*LOG(BA605)</f>
        <v>7.1651695216703</v>
      </c>
      <c r="BC605" s="0" t="n">
        <f aca="false">AV605-AY605</f>
        <v>-1.60414577539033</v>
      </c>
      <c r="BD605" s="0" t="n">
        <f aca="false">BC605*180/Pi-180</f>
        <v>-271.91078275863</v>
      </c>
      <c r="BF605" s="0" t="n">
        <f aca="false">20*LOG(BA605*J605*F605*C605)</f>
        <v>-39.9911842854611</v>
      </c>
      <c r="BG605" s="0" t="n">
        <f aca="false">(180/Pi)*(D605+H605+BC605)</f>
        <v>-270.413183855718</v>
      </c>
      <c r="BH605" s="0" t="n">
        <f aca="false">IF(BG605&gt;180,BG605-180,BG605+180)</f>
        <v>-90.4131838557184</v>
      </c>
      <c r="BI605" s="0" t="n">
        <f aca="false">IF(BH605&gt;180,BH605-360,BH605)</f>
        <v>-90.4131838557184</v>
      </c>
      <c r="BJ605" s="0" t="n">
        <f aca="false">SUM((BF606&lt;0)*(BF605&gt;0))*A605</f>
        <v>0</v>
      </c>
      <c r="BK605" s="0" t="n">
        <f aca="false">IF(BJ605&gt;0,BI605,0)</f>
        <v>0</v>
      </c>
      <c r="BM605" s="0" t="n">
        <f aca="false">20*LOG(J605*F605*C605)</f>
        <v>-47.1563538071314</v>
      </c>
      <c r="BN605" s="0" t="n">
        <f aca="false">(H605+D605)*180/Pi</f>
        <v>-178.502401097088</v>
      </c>
      <c r="BQ605" s="347" t="n">
        <f aca="false">20*LOG(BA605*7)</f>
        <v>24.0671303219554</v>
      </c>
    </row>
    <row r="606" customFormat="false" ht="12.75" hidden="false" customHeight="false" outlineLevel="0" collapsed="false">
      <c r="A606" s="0" t="n">
        <f aca="false">A605+5000</f>
        <v>1960000</v>
      </c>
      <c r="B606" s="0" t="n">
        <f aca="false">A606/1000</f>
        <v>1960</v>
      </c>
      <c r="C606" s="0" t="n">
        <f aca="false">SQRT((A606/Fesr)^2+1)</f>
        <v>1.00007582726947</v>
      </c>
      <c r="D606" s="0" t="n">
        <f aca="false">ATAN(A606/Fesr)</f>
        <v>0.0123144206769766</v>
      </c>
      <c r="F606" s="0" t="n">
        <f aca="false">(Ro/(Ro+Rdcr))/SQRT((A606/(Q*Fo))^2+(1-(A606^2/Fo^2))^2)</f>
        <v>0.000484939481965969</v>
      </c>
      <c r="G606" s="0" t="n">
        <f aca="false">-ATAN(A606*Fo/(Q*(Fo^2-A606^2)))</f>
        <v>0.0138196476736106</v>
      </c>
      <c r="H606" s="0" t="n">
        <f aca="false">IF(G606&gt;0,G606-Pi,G606)</f>
        <v>-3.12777300232639</v>
      </c>
      <c r="J606" s="0" t="n">
        <f aca="false">Vin/Vramp</f>
        <v>9</v>
      </c>
      <c r="M606" s="0" t="n">
        <f aca="false">1/(2*Pi*_Rfb1*(Cc1ea_u+Cc2ea_u)*A606)</f>
        <v>0.00300746302482533</v>
      </c>
      <c r="N606" s="0" t="n">
        <f aca="false">-Pi/2</f>
        <v>-1.570796325</v>
      </c>
      <c r="O606" s="0" t="n">
        <f aca="false">SQRT(1+(A606/Fz1_u)^2)</f>
        <v>47.8913293564026</v>
      </c>
      <c r="P606" s="0" t="n">
        <f aca="false">ATAN2(Fz1_u,A606)</f>
        <v>1.54991420273776</v>
      </c>
      <c r="Q606" s="0" t="n">
        <f aca="false">SQRT(1+(A606/Fz2_u)^2)</f>
        <v>54331.4090256757</v>
      </c>
      <c r="R606" s="0" t="n">
        <f aca="false">ATAN2(Fz2_u,A606)</f>
        <v>1.57077792123506</v>
      </c>
      <c r="S606" s="0" t="n">
        <f aca="false">1/SQRT(1+(A606/Fp1_u)^2)</f>
        <v>0.00688598850816213</v>
      </c>
      <c r="T606" s="0" t="n">
        <f aca="false">-ATAN2(Fp1_u,A606)</f>
        <v>-1.56391028386694</v>
      </c>
      <c r="U606" s="0" t="n">
        <f aca="false">1/SQRT(1+(A606/Fp2_u)^2)</f>
        <v>0.184731358856808</v>
      </c>
      <c r="V606" s="0" t="n">
        <f aca="false">-ATAN2(Fp2_u,A606)</f>
        <v>-1.38499781717085</v>
      </c>
      <c r="X606" s="0" t="n">
        <f aca="false">20*LOG(C606*J606*O606*Q606*F606*M606*S606*U606)</f>
        <v>-27.2404388160159</v>
      </c>
      <c r="Y606" s="0" t="n">
        <f aca="false">(180/Pi)*(D606+H606+N606+P606+R606+T606+V606)</f>
        <v>-258.660128667092</v>
      </c>
      <c r="Z606" s="0" t="n">
        <f aca="false">Y606+180</f>
        <v>-78.6601286670922</v>
      </c>
      <c r="AC606" s="0" t="n">
        <v>1</v>
      </c>
      <c r="AD606" s="0" t="n">
        <f aca="false">Rcea1_u*Cc1ea_u*A606*2*Pi</f>
        <v>47.880887914944</v>
      </c>
      <c r="AE606" s="0" t="n">
        <f aca="false">-Rcea1_u*Cc1ea_u*Cc2ea_u*(A606*2*Pi)^2</f>
        <v>-0.0884482803828484</v>
      </c>
      <c r="AF606" s="0" t="n">
        <f aca="false">(Cc2ea_u+Cc1ea_u)*A606*2*Pi</f>
        <v>0.0166253083038</v>
      </c>
      <c r="AG606" s="0" t="n">
        <f aca="false">AC606*AE606/(AE606^2+AF606^2)+AD606*AF606/(AE606^2+AF606^2)</f>
        <v>87.3617278594117</v>
      </c>
      <c r="AH606" s="0" t="n">
        <f aca="false">AD606*AE606/(AE606^2+AF606^2)-AC606*AF606/(AE606^2+AF606^2)</f>
        <v>-524.922271573432</v>
      </c>
      <c r="AJ606" s="0" t="n">
        <f aca="false">_Rfb1</f>
        <v>20000</v>
      </c>
      <c r="AK606" s="0" t="n">
        <f aca="false">_Rfb1*Rcea2_u*Cc3ea_u*A606*2*Pi</f>
        <v>2904379.78545792</v>
      </c>
      <c r="AL606" s="0" t="n">
        <v>1</v>
      </c>
      <c r="AM606" s="0" t="n">
        <f aca="false">(_Rfb1+Rcea2_u)*Cc3ea_u*A606*2*Pi</f>
        <v>54331.4090164729</v>
      </c>
      <c r="AN606" s="0" t="n">
        <f aca="false">AJ606*AL606/(AL606^2+AM606^2)+AK606*AM606/(AL606^2+AM606^2)</f>
        <v>53.4567427048437</v>
      </c>
      <c r="AO606" s="0" t="n">
        <f aca="false">AK606*AL606/(AL606^2+AM606^2)-AJ606*AM606/(AL606^2+AM606^2)</f>
        <v>-0.36712729558049</v>
      </c>
      <c r="AQ606" s="0" t="n">
        <f aca="false">Eadcg/(1+(Eadcg*A606/GBP)^2)</f>
        <v>0.00296365799925658</v>
      </c>
      <c r="AR606" s="0" t="n">
        <f aca="false">-(A606*Eadcg*Eadcg/GBP)/(1+(Eadcg*A606/GBP)^2)</f>
        <v>-3.06122162059211</v>
      </c>
      <c r="AT606" s="0" t="n">
        <f aca="false">-AR606*AH606+AG606*AQ606</f>
        <v>-1606.64449658731</v>
      </c>
      <c r="AU606" s="0" t="n">
        <f aca="false">AQ606*AH606+AG606*AR606</f>
        <v>-268.989300224651</v>
      </c>
      <c r="AV606" s="0" t="n">
        <f aca="false">ATAN2(AT606,AU606)</f>
        <v>-2.9757081391382</v>
      </c>
      <c r="AW606" s="0" t="n">
        <f aca="false">AG606-AH606*AO606/_Rfb2+AG606*AN606/_Rfb2+AN606-AO606*AR606+AQ606*AN606</f>
        <v>141.867852104162</v>
      </c>
      <c r="AX606" s="0" t="n">
        <f aca="false">AH606+AH606*AN606/_Rfb2+AG606*AO606/_Rfb2+AO606+AO606*AQ606+AN606*AR606</f>
        <v>-701.575141902149</v>
      </c>
      <c r="AY606" s="0" t="n">
        <f aca="false">ATAN2(AW606,AX606)</f>
        <v>-1.37127346490978</v>
      </c>
      <c r="BA606" s="0" t="n">
        <f aca="false">SQRT(AT606^2+AU606^2)/SQRT(AW606^2+AX606^2)</f>
        <v>2.27586305121316</v>
      </c>
      <c r="BB606" s="0" t="n">
        <f aca="false">20*LOG(BA606)</f>
        <v>7.14292250163237</v>
      </c>
      <c r="BC606" s="0" t="n">
        <f aca="false">AV606-AY606</f>
        <v>-1.60443467422842</v>
      </c>
      <c r="BD606" s="0" t="n">
        <f aca="false">BC606*180/Pi-180</f>
        <v>-271.927335442778</v>
      </c>
      <c r="BF606" s="0" t="n">
        <f aca="false">20*LOG(BA606*J606*F606*C606)</f>
        <v>-40.057817823382</v>
      </c>
      <c r="BG606" s="0" t="n">
        <f aca="false">(180/Pi)*(D606+H606+BC606)</f>
        <v>-270.429963623072</v>
      </c>
      <c r="BH606" s="0" t="n">
        <f aca="false">IF(BG606&gt;180,BG606-180,BG606+180)</f>
        <v>-90.4299636230717</v>
      </c>
      <c r="BI606" s="0" t="n">
        <f aca="false">IF(BH606&gt;180,BH606-360,BH606)</f>
        <v>-90.4299636230717</v>
      </c>
      <c r="BJ606" s="0" t="n">
        <f aca="false">SUM((BF607&lt;0)*(BF606&gt;0))*A606</f>
        <v>0</v>
      </c>
      <c r="BK606" s="0" t="n">
        <f aca="false">IF(BJ606&gt;0,BI606,0)</f>
        <v>0</v>
      </c>
      <c r="BM606" s="0" t="n">
        <f aca="false">20*LOG(J606*F606*C606)</f>
        <v>-47.2007403250144</v>
      </c>
      <c r="BN606" s="0" t="n">
        <f aca="false">(H606+D606)*180/Pi</f>
        <v>-178.502628180294</v>
      </c>
      <c r="BQ606" s="347" t="n">
        <f aca="false">20*LOG(BA606*7)</f>
        <v>24.0448833019175</v>
      </c>
    </row>
    <row r="607" customFormat="false" ht="12.75" hidden="false" customHeight="false" outlineLevel="0" collapsed="false">
      <c r="A607" s="0" t="n">
        <f aca="false">A606+5000</f>
        <v>1965000</v>
      </c>
      <c r="B607" s="0" t="n">
        <f aca="false">A607/1000</f>
        <v>1965</v>
      </c>
      <c r="C607" s="0" t="n">
        <f aca="false">SQRT((A607/Fesr)^2+1)</f>
        <v>1.000076214622</v>
      </c>
      <c r="D607" s="0" t="n">
        <f aca="false">ATAN(A607/Fesr)</f>
        <v>0.0123458318274895</v>
      </c>
      <c r="F607" s="0" t="n">
        <f aca="false">(Ro/(Ro+Rdcr))/SQRT((A607/(Q*Fo))^2+(1-(A607^2/Fo^2))^2)</f>
        <v>0.000482473772335645</v>
      </c>
      <c r="G607" s="0" t="n">
        <f aca="false">-ATAN(A607*Fo/(Q*(Fo^2-A607^2)))</f>
        <v>0.013784453401063</v>
      </c>
      <c r="H607" s="0" t="n">
        <f aca="false">IF(G607&gt;0,G607-Pi,G607)</f>
        <v>-3.12780819659894</v>
      </c>
      <c r="J607" s="0" t="n">
        <f aca="false">Vin/Vramp</f>
        <v>9</v>
      </c>
      <c r="M607" s="0" t="n">
        <f aca="false">1/(2*Pi*_Rfb1*(Cc1ea_u+Cc2ea_u)*A607)</f>
        <v>0.00299981044715402</v>
      </c>
      <c r="N607" s="0" t="n">
        <f aca="false">-Pi/2</f>
        <v>-1.570796325</v>
      </c>
      <c r="O607" s="0" t="n">
        <f aca="false">SQRT(1+(A607/Fz1_u)^2)</f>
        <v>48.0134479158518</v>
      </c>
      <c r="P607" s="0" t="n">
        <f aca="false">ATAN2(Fz1_u,A607)</f>
        <v>1.54996732252684</v>
      </c>
      <c r="Q607" s="0" t="n">
        <f aca="false">SQRT(1+(A607/Fz2_u)^2)</f>
        <v>54470.0095588575</v>
      </c>
      <c r="R607" s="0" t="n">
        <f aca="false">ATAN2(Fz2_u,A607)</f>
        <v>1.57077796806854</v>
      </c>
      <c r="S607" s="0" t="n">
        <f aca="false">1/SQRT(1+(A607/Fp1_u)^2)</f>
        <v>0.00686846773655532</v>
      </c>
      <c r="T607" s="0" t="n">
        <f aca="false">-ATAN2(Fp1_u,A607)</f>
        <v>-1.5639278050529</v>
      </c>
      <c r="U607" s="0" t="n">
        <f aca="false">1/SQRT(1+(A607/Fp2_u)^2)</f>
        <v>0.184277286336528</v>
      </c>
      <c r="V607" s="0" t="n">
        <f aca="false">-ATAN2(Fp2_u,A607)</f>
        <v>-1.3854598215239</v>
      </c>
      <c r="X607" s="0" t="n">
        <f aca="false">20*LOG(C607*J607*O607*Q607*F607*M607*S607*U607)</f>
        <v>-27.3060970512826</v>
      </c>
      <c r="Y607" s="0" t="n">
        <f aca="false">(180/Pi)*(D607+H607+N607+P607+R607+T607+V607)</f>
        <v>-258.684773990515</v>
      </c>
      <c r="Z607" s="0" t="n">
        <f aca="false">Y607+180</f>
        <v>-78.6847739905151</v>
      </c>
      <c r="AC607" s="0" t="n">
        <v>1</v>
      </c>
      <c r="AD607" s="0" t="n">
        <f aca="false">Rcea1_u*Cc1ea_u*A607*2*Pi</f>
        <v>48.003033037176</v>
      </c>
      <c r="AE607" s="0" t="n">
        <f aca="false">-Rcea1_u*Cc1ea_u*Cc2ea_u*(A607*2*Pi)^2</f>
        <v>-0.088900122714823</v>
      </c>
      <c r="AF607" s="0" t="n">
        <f aca="false">(Cc2ea_u+Cc1ea_u)*A607*2*Pi</f>
        <v>0.016667719804575</v>
      </c>
      <c r="AG607" s="0" t="n">
        <f aca="false">AC607*AE607/(AE607^2+AF607^2)+AD607*AF607/(AE607^2+AF607^2)</f>
        <v>86.9327827444603</v>
      </c>
      <c r="AH607" s="0" t="n">
        <f aca="false">AD607*AE607/(AE607^2+AF607^2)-AC607*AF607/(AE607^2+AF607^2)</f>
        <v>-523.66701362041</v>
      </c>
      <c r="AJ607" s="0" t="n">
        <f aca="false">_Rfb1</f>
        <v>20000</v>
      </c>
      <c r="AK607" s="0" t="n">
        <f aca="false">_Rfb1*Rcea2_u*Cc3ea_u*A607*2*Pi</f>
        <v>2911788.91756368</v>
      </c>
      <c r="AL607" s="0" t="n">
        <v>1</v>
      </c>
      <c r="AM607" s="0" t="n">
        <f aca="false">(_Rfb1+Rcea2_u)*Cc3ea_u*A607*2*Pi</f>
        <v>54470.0095496782</v>
      </c>
      <c r="AN607" s="0" t="n">
        <f aca="false">AJ607*AL607/(AL607^2+AM607^2)+AK607*AM607/(AL607^2+AM607^2)</f>
        <v>53.4567426704997</v>
      </c>
      <c r="AO607" s="0" t="n">
        <f aca="false">AK607*AL607/(AL607^2+AM607^2)-AJ607*AM607/(AL607^2+AM607^2)</f>
        <v>-0.366193129434606</v>
      </c>
      <c r="AQ607" s="0" t="n">
        <f aca="false">Eadcg/(1+(Eadcg*A607/GBP)^2)</f>
        <v>0.00294859497288568</v>
      </c>
      <c r="AR607" s="0" t="n">
        <f aca="false">-(A607*Eadcg*Eadcg/GBP)/(1+(Eadcg*A607/GBP)^2)</f>
        <v>-3.05343226714663</v>
      </c>
      <c r="AT607" s="0" t="n">
        <f aca="false">-AR607*AH607+AG607*AQ607</f>
        <v>-1598.72542706269</v>
      </c>
      <c r="AU607" s="0" t="n">
        <f aca="false">AQ607*AH607+AG607*AR607</f>
        <v>-266.98744582861</v>
      </c>
      <c r="AV607" s="0" t="n">
        <f aca="false">ATAN2(AT607,AU607)</f>
        <v>-2.9761194871329</v>
      </c>
      <c r="AW607" s="0" t="n">
        <f aca="false">AG607-AH607*AO607/_Rfb2+AG607*AN607/_Rfb2+AN607-AO607*AR607+AQ607*AN607</f>
        <v>141.433922840678</v>
      </c>
      <c r="AX607" s="0" t="n">
        <f aca="false">AH607+AH607*AN607/_Rfb2+AG607*AO607/_Rfb2+AO607+AO607*AQ607+AN607*AR607</f>
        <v>-699.872244612678</v>
      </c>
      <c r="AY607" s="0" t="n">
        <f aca="false">ATAN2(AW607,AX607)</f>
        <v>-1.37139643560358</v>
      </c>
      <c r="BA607" s="0" t="n">
        <f aca="false">SQRT(AT607^2+AU607^2)/SQRT(AW607^2+AX607^2)</f>
        <v>2.27005595797291</v>
      </c>
      <c r="BB607" s="0" t="n">
        <f aca="false">20*LOG(BA607)</f>
        <v>7.12073125786526</v>
      </c>
      <c r="BC607" s="0" t="n">
        <f aca="false">AV607-AY607</f>
        <v>-1.60472305152932</v>
      </c>
      <c r="BD607" s="0" t="n">
        <f aca="false">BC607*180/Pi-180</f>
        <v>-271.943858245046</v>
      </c>
      <c r="BF607" s="0" t="n">
        <f aca="false">20*LOG(BA607*J607*F607*C607)</f>
        <v>-40.1242823923321</v>
      </c>
      <c r="BG607" s="0" t="n">
        <f aca="false">(180/Pi)*(D607+H607+BC607)</f>
        <v>-270.446703182266</v>
      </c>
      <c r="BH607" s="0" t="n">
        <f aca="false">IF(BG607&gt;180,BG607-180,BG607+180)</f>
        <v>-90.4467031822658</v>
      </c>
      <c r="BI607" s="0" t="n">
        <f aca="false">IF(BH607&gt;180,BH607-360,BH607)</f>
        <v>-90.4467031822658</v>
      </c>
      <c r="BJ607" s="0" t="n">
        <f aca="false">SUM((BF608&lt;0)*(BF607&gt;0))*A607</f>
        <v>0</v>
      </c>
      <c r="BK607" s="0" t="n">
        <f aca="false">IF(BJ607&gt;0,BI607,0)</f>
        <v>0</v>
      </c>
      <c r="BM607" s="0" t="n">
        <f aca="false">20*LOG(J607*F607*C607)</f>
        <v>-47.2450136501973</v>
      </c>
      <c r="BN607" s="0" t="n">
        <f aca="false">(H607+D607)*180/Pi</f>
        <v>-178.50284493722</v>
      </c>
      <c r="BQ607" s="347" t="n">
        <f aca="false">20*LOG(BA607*7)</f>
        <v>24.0226920581504</v>
      </c>
    </row>
    <row r="608" customFormat="false" ht="12.75" hidden="false" customHeight="false" outlineLevel="0" collapsed="false">
      <c r="A608" s="0" t="n">
        <f aca="false">A607+5000</f>
        <v>1970000</v>
      </c>
      <c r="B608" s="0" t="n">
        <f aca="false">A608/1000</f>
        <v>1970</v>
      </c>
      <c r="C608" s="0" t="n">
        <f aca="false">SQRT((A608/Fesr)^2+1)</f>
        <v>1.00007660296126</v>
      </c>
      <c r="D608" s="0" t="n">
        <f aca="false">ATAN(A608/Fesr)</f>
        <v>0.0123772429536389</v>
      </c>
      <c r="F608" s="0" t="n">
        <f aca="false">(Ro/(Ro+Rdcr))/SQRT((A608/(Q*Fo))^2+(1-(A608^2/Fo^2))^2)</f>
        <v>0.000480026823048852</v>
      </c>
      <c r="G608" s="0" t="n">
        <f aca="false">-ATAN(A608*Fo/(Q*(Fo^2-A608^2)))</f>
        <v>0.0137494380056004</v>
      </c>
      <c r="H608" s="0" t="n">
        <f aca="false">IF(G608&gt;0,G608-Pi,G608)</f>
        <v>-3.1278432119944</v>
      </c>
      <c r="J608" s="0" t="n">
        <f aca="false">Vin/Vramp</f>
        <v>9</v>
      </c>
      <c r="M608" s="0" t="n">
        <f aca="false">1/(2*Pi*_Rfb1*(Cc1ea_u+Cc2ea_u)*A608)</f>
        <v>0.00299219671505464</v>
      </c>
      <c r="N608" s="0" t="n">
        <f aca="false">-Pi/2</f>
        <v>-1.570796325</v>
      </c>
      <c r="O608" s="0" t="n">
        <f aca="false">SQRT(1+(A608/Fz1_u)^2)</f>
        <v>48.1355666100936</v>
      </c>
      <c r="P608" s="0" t="n">
        <f aca="false">ATAN2(Fz1_u,A608)</f>
        <v>1.550020172789</v>
      </c>
      <c r="Q608" s="0" t="n">
        <f aca="false">SQRT(1+(A608/Fz2_u)^2)</f>
        <v>54608.6100920395</v>
      </c>
      <c r="R608" s="0" t="n">
        <f aca="false">ATAN2(Fz2_u,A608)</f>
        <v>1.57077801466429</v>
      </c>
      <c r="S608" s="0" t="n">
        <f aca="false">1/SQRT(1+(A608/Fp1_u)^2)</f>
        <v>0.00685103589659782</v>
      </c>
      <c r="T608" s="0" t="n">
        <f aca="false">-ATAN2(Fp1_u,A608)</f>
        <v>-1.56394523730301</v>
      </c>
      <c r="U608" s="0" t="n">
        <f aca="false">1/SQRT(1+(A608/Fp2_u)^2)</f>
        <v>0.1838254016283</v>
      </c>
      <c r="V608" s="0" t="n">
        <f aca="false">-ATAN2(Fp2_u,A608)</f>
        <v>-1.38591956012078</v>
      </c>
      <c r="X608" s="0" t="n">
        <f aca="false">20*LOG(C608*J608*O608*Q608*F608*M608*S608*U608)</f>
        <v>-27.3715919660471</v>
      </c>
      <c r="Y608" s="0" t="n">
        <f aca="false">(180/Pi)*(D608+H608+N608+P608+R608+T608+V608)</f>
        <v>-258.709289608895</v>
      </c>
      <c r="Z608" s="0" t="n">
        <f aca="false">Y608+180</f>
        <v>-78.7092896088949</v>
      </c>
      <c r="AC608" s="0" t="n">
        <v>1</v>
      </c>
      <c r="AD608" s="0" t="n">
        <f aca="false">Rcea1_u*Cc1ea_u*A608*2*Pi</f>
        <v>48.125178159408</v>
      </c>
      <c r="AE608" s="0" t="n">
        <f aca="false">-Rcea1_u*Cc1ea_u*Cc2ea_u*(A608*2*Pi)^2</f>
        <v>-0.0893531162374522</v>
      </c>
      <c r="AF608" s="0" t="n">
        <f aca="false">(Cc2ea_u+Cc1ea_u)*A608*2*Pi</f>
        <v>0.01671013130535</v>
      </c>
      <c r="AG608" s="0" t="n">
        <f aca="false">AC608*AE608/(AE608^2+AF608^2)+AD608*AF608/(AE608^2+AF608^2)</f>
        <v>86.5069524065427</v>
      </c>
      <c r="AH608" s="0" t="n">
        <f aca="false">AD608*AE608/(AE608^2+AF608^2)-AC608*AF608/(AE608^2+AF608^2)</f>
        <v>-522.41754503357</v>
      </c>
      <c r="AJ608" s="0" t="n">
        <f aca="false">_Rfb1</f>
        <v>20000</v>
      </c>
      <c r="AK608" s="0" t="n">
        <f aca="false">_Rfb1*Rcea2_u*Cc3ea_u*A608*2*Pi</f>
        <v>2919198.04966944</v>
      </c>
      <c r="AL608" s="0" t="n">
        <v>1</v>
      </c>
      <c r="AM608" s="0" t="n">
        <f aca="false">(_Rfb1+Rcea2_u)*Cc3ea_u*A608*2*Pi</f>
        <v>54608.6100828835</v>
      </c>
      <c r="AN608" s="0" t="n">
        <f aca="false">AJ608*AL608/(AL608^2+AM608^2)+AK608*AM608/(AL608^2+AM608^2)</f>
        <v>53.456742636417</v>
      </c>
      <c r="AO608" s="0" t="n">
        <f aca="false">AK608*AL608/(AL608^2+AM608^2)-AJ608*AM608/(AL608^2+AM608^2)</f>
        <v>-0.365263705248847</v>
      </c>
      <c r="AQ608" s="0" t="n">
        <f aca="false">Eadcg/(1+(Eadcg*A608/GBP)^2)</f>
        <v>0.00293364649385567</v>
      </c>
      <c r="AR608" s="0" t="n">
        <f aca="false">-(A608*Eadcg*Eadcg/GBP)/(1+(Eadcg*A608/GBP)^2)</f>
        <v>-3.04568245345602</v>
      </c>
      <c r="AT608" s="0" t="n">
        <f aca="false">-AR608*AH608+AG608*AQ608</f>
        <v>-1590.86416946869</v>
      </c>
      <c r="AU608" s="0" t="n">
        <f aca="false">AQ608*AH608+AG608*AR608</f>
        <v>-265.005295445878</v>
      </c>
      <c r="AV608" s="0" t="n">
        <f aca="false">ATAN2(AT608,AU608)</f>
        <v>-2.97652882639366</v>
      </c>
      <c r="AW608" s="0" t="n">
        <f aca="false">AG608-AH608*AO608/_Rfb2+AG608*AN608/_Rfb2+AN608-AO608*AR608+AQ608*AN608</f>
        <v>141.003142845899</v>
      </c>
      <c r="AX608" s="0" t="n">
        <f aca="false">AH608+AH608*AN608/_Rfb2+AG608*AO608/_Rfb2+AO608+AO608*AQ608+AN608*AR608</f>
        <v>-698.177395506665</v>
      </c>
      <c r="AY608" s="0" t="n">
        <f aca="false">ATAN2(AW608,AX608)</f>
        <v>-1.37151791520246</v>
      </c>
      <c r="BA608" s="0" t="n">
        <f aca="false">SQRT(AT608^2+AU608^2)/SQRT(AW608^2+AX608^2)</f>
        <v>2.26427814837719</v>
      </c>
      <c r="BB608" s="0" t="n">
        <f aca="false">20*LOG(BA608)</f>
        <v>7.09859550761717</v>
      </c>
      <c r="BC608" s="0" t="n">
        <f aca="false">AV608-AY608</f>
        <v>-1.60501091119119</v>
      </c>
      <c r="BD608" s="0" t="n">
        <f aca="false">BC608*180/Pi-180</f>
        <v>-271.960351388782</v>
      </c>
      <c r="BF608" s="0" t="n">
        <f aca="false">20*LOG(BA608*J608*F608*C608)</f>
        <v>-40.1905788510073</v>
      </c>
      <c r="BG608" s="0" t="n">
        <f aca="false">(180/Pi)*(D608+H608+BC608)</f>
        <v>-270.463402835422</v>
      </c>
      <c r="BH608" s="0" t="n">
        <f aca="false">IF(BG608&gt;180,BG608-180,BG608+180)</f>
        <v>-90.4634028354223</v>
      </c>
      <c r="BI608" s="0" t="n">
        <f aca="false">IF(BH608&gt;180,BH608-360,BH608)</f>
        <v>-90.4634028354223</v>
      </c>
      <c r="BJ608" s="0" t="n">
        <f aca="false">SUM((BF609&lt;0)*(BF608&gt;0))*A608</f>
        <v>0</v>
      </c>
      <c r="BK608" s="0" t="n">
        <f aca="false">IF(BJ608&gt;0,BI608,0)</f>
        <v>0</v>
      </c>
      <c r="BM608" s="0" t="n">
        <f aca="false">20*LOG(J608*F608*C608)</f>
        <v>-47.2891743586245</v>
      </c>
      <c r="BN608" s="0" t="n">
        <f aca="false">(H608+D608)*180/Pi</f>
        <v>-178.50305144664</v>
      </c>
      <c r="BQ608" s="347" t="n">
        <f aca="false">20*LOG(BA608*7)</f>
        <v>24.0005563079023</v>
      </c>
    </row>
    <row r="609" customFormat="false" ht="12.75" hidden="false" customHeight="false" outlineLevel="0" collapsed="false">
      <c r="A609" s="0" t="n">
        <f aca="false">A608+5000</f>
        <v>1975000</v>
      </c>
      <c r="B609" s="0" t="n">
        <f aca="false">A609/1000</f>
        <v>1975</v>
      </c>
      <c r="C609" s="0" t="n">
        <f aca="false">SQRT((A609/Fesr)^2+1)</f>
        <v>1.00007699228725</v>
      </c>
      <c r="D609" s="0" t="n">
        <f aca="false">ATAN(A609/Fesr)</f>
        <v>0.0124086540553629</v>
      </c>
      <c r="F609" s="0" t="n">
        <f aca="false">(Ro/(Ro+Rdcr))/SQRT((A609/(Q*Fo))^2+(1-(A609^2/Fo^2))^2)</f>
        <v>0.000477598444245398</v>
      </c>
      <c r="G609" s="0" t="n">
        <f aca="false">-ATAN(A609*Fo/(Q*(Fo^2-A609^2)))</f>
        <v>0.0137146001263818</v>
      </c>
      <c r="H609" s="0" t="n">
        <f aca="false">IF(G609&gt;0,G609-Pi,G609)</f>
        <v>-3.12787804987362</v>
      </c>
      <c r="J609" s="0" t="n">
        <f aca="false">Vin/Vramp</f>
        <v>9</v>
      </c>
      <c r="M609" s="0" t="n">
        <f aca="false">1/(2*Pi*_Rfb1*(Cc1ea_u+Cc2ea_u)*A609)</f>
        <v>0.00298462153349754</v>
      </c>
      <c r="N609" s="0" t="n">
        <f aca="false">-Pi/2</f>
        <v>-1.570796325</v>
      </c>
      <c r="O609" s="0" t="n">
        <f aca="false">SQRT(1+(A609/Fz1_u)^2)</f>
        <v>48.2576854381049</v>
      </c>
      <c r="P609" s="0" t="n">
        <f aca="false">ATAN2(Fz1_u,A609)</f>
        <v>1.5500727555701</v>
      </c>
      <c r="Q609" s="0" t="n">
        <f aca="false">SQRT(1+(A609/Fz2_u)^2)</f>
        <v>54747.2106252216</v>
      </c>
      <c r="R609" s="0" t="n">
        <f aca="false">ATAN2(Fz2_u,A609)</f>
        <v>1.57077806102412</v>
      </c>
      <c r="S609" s="0" t="n">
        <f aca="false">1/SQRT(1+(A609/Fp1_u)^2)</f>
        <v>0.00683369231292269</v>
      </c>
      <c r="T609" s="0" t="n">
        <f aca="false">-ATAN2(Fp1_u,A609)</f>
        <v>-1.56396258129269</v>
      </c>
      <c r="U609" s="0" t="n">
        <f aca="false">1/SQRT(1+(A609/Fp2_u)^2)</f>
        <v>0.183375689247609</v>
      </c>
      <c r="V609" s="0" t="n">
        <f aca="false">-ATAN2(Fp2_u,A609)</f>
        <v>-1.38637704939537</v>
      </c>
      <c r="X609" s="0" t="n">
        <f aca="false">20*LOG(C609*J609*O609*Q609*F609*M609*S609*U609)</f>
        <v>-27.4369243625882</v>
      </c>
      <c r="Y609" s="0" t="n">
        <f aca="false">(180/Pi)*(D609+H609+N609+P609+R609+T609+V609)</f>
        <v>-258.733676463172</v>
      </c>
      <c r="Z609" s="0" t="n">
        <f aca="false">Y609+180</f>
        <v>-78.7336764631718</v>
      </c>
      <c r="AC609" s="0" t="n">
        <v>1</v>
      </c>
      <c r="AD609" s="0" t="n">
        <f aca="false">Rcea1_u*Cc1ea_u*A609*2*Pi</f>
        <v>48.24732328164</v>
      </c>
      <c r="AE609" s="0" t="n">
        <f aca="false">-Rcea1_u*Cc1ea_u*Cc2ea_u*(A609*2*Pi)^2</f>
        <v>-0.0898072609507362</v>
      </c>
      <c r="AF609" s="0" t="n">
        <f aca="false">(Cc2ea_u+Cc1ea_u)*A609*2*Pi</f>
        <v>0.016752542806125</v>
      </c>
      <c r="AG609" s="0" t="n">
        <f aca="false">AC609*AE609/(AE609^2+AF609^2)+AD609*AF609/(AE609^2+AF609^2)</f>
        <v>86.0842071220116</v>
      </c>
      <c r="AH609" s="0" t="n">
        <f aca="false">AD609*AE609/(AE609^2+AF609^2)-AC609*AF609/(AE609^2+AF609^2)</f>
        <v>-521.173827387656</v>
      </c>
      <c r="AJ609" s="0" t="n">
        <f aca="false">_Rfb1</f>
        <v>20000</v>
      </c>
      <c r="AK609" s="0" t="n">
        <f aca="false">_Rfb1*Rcea2_u*Cc3ea_u*A609*2*Pi</f>
        <v>2926607.1817752</v>
      </c>
      <c r="AL609" s="0" t="n">
        <v>1</v>
      </c>
      <c r="AM609" s="0" t="n">
        <f aca="false">(_Rfb1+Rcea2_u)*Cc3ea_u*A609*2*Pi</f>
        <v>54747.2106160888</v>
      </c>
      <c r="AN609" s="0" t="n">
        <f aca="false">AJ609*AL609/(AL609^2+AM609^2)+AK609*AM609/(AL609^2+AM609^2)</f>
        <v>53.4567426025927</v>
      </c>
      <c r="AO609" s="0" t="n">
        <f aca="false">AK609*AL609/(AL609^2+AM609^2)-AJ609*AM609/(AL609^2+AM609^2)</f>
        <v>-0.364338987008329</v>
      </c>
      <c r="AQ609" s="0" t="n">
        <f aca="false">Eadcg/(1+(Eadcg*A609/GBP)^2)</f>
        <v>0.00291881140366484</v>
      </c>
      <c r="AR609" s="0" t="n">
        <f aca="false">-(A609*Eadcg*Eadcg/GBP)/(1+(Eadcg*A609/GBP)^2)</f>
        <v>-3.03797187921946</v>
      </c>
      <c r="AT609" s="0" t="n">
        <f aca="false">-AR609*AH609+AG609*AQ609</f>
        <v>-1583.06016822345</v>
      </c>
      <c r="AU609" s="0" t="n">
        <f aca="false">AQ609*AH609+AG609*AR609</f>
        <v>-263.042608592245</v>
      </c>
      <c r="AV609" s="0" t="n">
        <f aca="false">ATAN2(AT609,AU609)</f>
        <v>-2.97693617140344</v>
      </c>
      <c r="AW609" s="0" t="n">
        <f aca="false">AG609-AH609*AO609/_Rfb2+AG609*AN609/_Rfb2+AN609-AO609*AR609+AQ609*AN609</f>
        <v>140.575482088556</v>
      </c>
      <c r="AX609" s="0" t="n">
        <f aca="false">AH609+AH609*AN609/_Rfb2+AG609*AO609/_Rfb2+AO609+AO609*AQ609+AN609*AR609</f>
        <v>-696.490539131415</v>
      </c>
      <c r="AY609" s="0" t="n">
        <f aca="false">ATAN2(AW609,AX609)</f>
        <v>-1.37163791433058</v>
      </c>
      <c r="BA609" s="0" t="n">
        <f aca="false">SQRT(AT609^2+AU609^2)/SQRT(AW609^2+AX609^2)</f>
        <v>2.25852940118956</v>
      </c>
      <c r="BB609" s="0" t="n">
        <f aca="false">20*LOG(BA609)</f>
        <v>7.07651497026417</v>
      </c>
      <c r="BC609" s="0" t="n">
        <f aca="false">AV609-AY609</f>
        <v>-1.60529825707286</v>
      </c>
      <c r="BD609" s="0" t="n">
        <f aca="false">BC609*180/Pi-180</f>
        <v>-271.976815095081</v>
      </c>
      <c r="BF609" s="0" t="n">
        <f aca="false">20*LOG(BA609*J609*F609*C609)</f>
        <v>-40.2567080515892</v>
      </c>
      <c r="BG609" s="0" t="n">
        <f aca="false">(180/Pi)*(D609+H609+BC609)</f>
        <v>-270.480062881609</v>
      </c>
      <c r="BH609" s="0" t="n">
        <f aca="false">IF(BG609&gt;180,BG609-180,BG609+180)</f>
        <v>-90.480062881609</v>
      </c>
      <c r="BI609" s="0" t="n">
        <f aca="false">IF(BH609&gt;180,BH609-360,BH609)</f>
        <v>-90.480062881609</v>
      </c>
      <c r="BJ609" s="0" t="n">
        <f aca="false">SUM((BF610&lt;0)*(BF609&gt;0))*A609</f>
        <v>0</v>
      </c>
      <c r="BK609" s="0" t="n">
        <f aca="false">IF(BJ609&gt;0,BI609,0)</f>
        <v>0</v>
      </c>
      <c r="BM609" s="0" t="n">
        <f aca="false">20*LOG(J609*F609*C609)</f>
        <v>-47.3332230218533</v>
      </c>
      <c r="BN609" s="0" t="n">
        <f aca="false">(H609+D609)*180/Pi</f>
        <v>-178.503247786528</v>
      </c>
      <c r="BQ609" s="347" t="n">
        <f aca="false">20*LOG(BA609*7)</f>
        <v>23.9784757705493</v>
      </c>
    </row>
    <row r="610" customFormat="false" ht="12.75" hidden="false" customHeight="false" outlineLevel="0" collapsed="false">
      <c r="A610" s="0" t="n">
        <f aca="false">A609+5000</f>
        <v>1980000</v>
      </c>
      <c r="B610" s="0" t="n">
        <f aca="false">A610/1000</f>
        <v>1980</v>
      </c>
      <c r="C610" s="0" t="n">
        <f aca="false">SQRT((A610/Fesr)^2+1)</f>
        <v>1.00007738259998</v>
      </c>
      <c r="D610" s="0" t="n">
        <f aca="false">ATAN(A610/Fesr)</f>
        <v>0.0124400651325994</v>
      </c>
      <c r="F610" s="0" t="n">
        <f aca="false">(Ro/(Ro+Rdcr))/SQRT((A610/(Q*Fo))^2+(1-(A610^2/Fo^2))^2)</f>
        <v>0.000475188448461136</v>
      </c>
      <c r="G610" s="0" t="n">
        <f aca="false">-ATAN(A610*Fo/(Q*(Fo^2-A610^2)))</f>
        <v>0.0136799384163409</v>
      </c>
      <c r="H610" s="0" t="n">
        <f aca="false">IF(G610&gt;0,G610-Pi,G610)</f>
        <v>-3.12791271158366</v>
      </c>
      <c r="J610" s="0" t="n">
        <f aca="false">Vin/Vramp</f>
        <v>9</v>
      </c>
      <c r="M610" s="0" t="n">
        <f aca="false">1/(2*Pi*_Rfb1*(Cc1ea_u+Cc2ea_u)*A610)</f>
        <v>0.00297708461043315</v>
      </c>
      <c r="N610" s="0" t="n">
        <f aca="false">-Pi/2</f>
        <v>-1.570796325</v>
      </c>
      <c r="O610" s="0" t="n">
        <f aca="false">SQRT(1+(A610/Fz1_u)^2)</f>
        <v>48.3798043988726</v>
      </c>
      <c r="P610" s="0" t="n">
        <f aca="false">ATAN2(Fz1_u,A610)</f>
        <v>1.55012507289534</v>
      </c>
      <c r="Q610" s="0" t="n">
        <f aca="false">SQRT(1+(A610/Fz2_u)^2)</f>
        <v>54885.8111584039</v>
      </c>
      <c r="R610" s="0" t="n">
        <f aca="false">ATAN2(Fz2_u,A610)</f>
        <v>1.5707781071498</v>
      </c>
      <c r="S610" s="0" t="n">
        <f aca="false">1/SQRT(1+(A610/Fp1_u)^2)</f>
        <v>0.00681643631698411</v>
      </c>
      <c r="T610" s="0" t="n">
        <f aca="false">-ATAN2(Fp1_u,A610)</f>
        <v>-1.56397983769055</v>
      </c>
      <c r="U610" s="0" t="n">
        <f aca="false">1/SQRT(1+(A610/Fp2_u)^2)</f>
        <v>0.182928133852836</v>
      </c>
      <c r="V610" s="0" t="n">
        <f aca="false">-ATAN2(Fp2_u,A610)</f>
        <v>-1.38683230562486</v>
      </c>
      <c r="X610" s="0" t="n">
        <f aca="false">20*LOG(C610*J610*O610*Q610*F610*M610*S610*U610)</f>
        <v>-27.5020950373429</v>
      </c>
      <c r="Y610" s="0" t="n">
        <f aca="false">(180/Pi)*(D610+H610+N610+P610+R610+T610+V610)</f>
        <v>-258.757935485315</v>
      </c>
      <c r="Z610" s="0" t="n">
        <f aca="false">Y610+180</f>
        <v>-78.7579354853149</v>
      </c>
      <c r="AC610" s="0" t="n">
        <v>1</v>
      </c>
      <c r="AD610" s="0" t="n">
        <f aca="false">Rcea1_u*Cc1ea_u*A610*2*Pi</f>
        <v>48.369468403872</v>
      </c>
      <c r="AE610" s="0" t="n">
        <f aca="false">-Rcea1_u*Cc1ea_u*Cc2ea_u*(A610*2*Pi)^2</f>
        <v>-0.0902625568546748</v>
      </c>
      <c r="AF610" s="0" t="n">
        <f aca="false">(Cc2ea_u+Cc1ea_u)*A610*2*Pi</f>
        <v>0.0167949543069</v>
      </c>
      <c r="AG610" s="0" t="n">
        <f aca="false">AC610*AE610/(AE610^2+AF610^2)+AD610*AF610/(AE610^2+AF610^2)</f>
        <v>85.6645175164953</v>
      </c>
      <c r="AH610" s="0" t="n">
        <f aca="false">AD610*AE610/(AE610^2+AF610^2)-AC610*AF610/(AE610^2+AF610^2)</f>
        <v>-519.935822580559</v>
      </c>
      <c r="AJ610" s="0" t="n">
        <f aca="false">_Rfb1</f>
        <v>20000</v>
      </c>
      <c r="AK610" s="0" t="n">
        <f aca="false">_Rfb1*Rcea2_u*Cc3ea_u*A610*2*Pi</f>
        <v>2934016.31388096</v>
      </c>
      <c r="AL610" s="0" t="n">
        <v>1</v>
      </c>
      <c r="AM610" s="0" t="n">
        <f aca="false">(_Rfb1+Rcea2_u)*Cc3ea_u*A610*2*Pi</f>
        <v>54885.8111492941</v>
      </c>
      <c r="AN610" s="0" t="n">
        <f aca="false">AJ610*AL610/(AL610^2+AM610^2)+AK610*AM610/(AL610^2+AM610^2)</f>
        <v>53.4567425690244</v>
      </c>
      <c r="AO610" s="0" t="n">
        <f aca="false">AK610*AL610/(AL610^2+AM610^2)-AJ610*AM610/(AL610^2+AM610^2)</f>
        <v>-0.36341893906195</v>
      </c>
      <c r="AQ610" s="0" t="n">
        <f aca="false">Eadcg/(1+(Eadcg*A610/GBP)^2)</f>
        <v>0.0029040885584205</v>
      </c>
      <c r="AR610" s="0" t="n">
        <f aca="false">-(A610*Eadcg*Eadcg/GBP)/(1+(Eadcg*A610/GBP)^2)</f>
        <v>-3.03030024716946</v>
      </c>
      <c r="AT610" s="0" t="n">
        <f aca="false">-AR610*AH610+AG610*AQ610</f>
        <v>-1575.31287433294</v>
      </c>
      <c r="AU610" s="0" t="n">
        <f aca="false">AQ610*AH610+AG610*AR610</f>
        <v>-261.099148277357</v>
      </c>
      <c r="AV610" s="0" t="n">
        <f aca="false">ATAN2(AT610,AU610)</f>
        <v>-2.97734153650825</v>
      </c>
      <c r="AW610" s="0" t="n">
        <f aca="false">AG610-AH610*AO610/_Rfb2+AG610*AN610/_Rfb2+AN610-AO610*AR610+AQ610*AN610</f>
        <v>140.15091088994</v>
      </c>
      <c r="AX610" s="0" t="n">
        <f aca="false">AH610+AH610*AN610/_Rfb2+AG610*AO610/_Rfb2+AO610+AO610*AQ610+AN610*AR610</f>
        <v>-694.811620527871</v>
      </c>
      <c r="AY610" s="0" t="n">
        <f aca="false">ATAN2(AW610,AX610)</f>
        <v>-1.37175644351397</v>
      </c>
      <c r="BA610" s="0" t="n">
        <f aca="false">SQRT(AT610^2+AU610^2)/SQRT(AW610^2+AX610^2)</f>
        <v>2.25280949739374</v>
      </c>
      <c r="BB610" s="0" t="n">
        <f aca="false">20*LOG(BA610)</f>
        <v>7.054489367289</v>
      </c>
      <c r="BC610" s="0" t="n">
        <f aca="false">AV610-AY610</f>
        <v>-1.60558509299429</v>
      </c>
      <c r="BD610" s="0" t="n">
        <f aca="false">BC610*180/Pi-180</f>
        <v>-271.99324958281</v>
      </c>
      <c r="BF610" s="0" t="n">
        <f aca="false">20*LOG(BA610*J610*F610*C610)</f>
        <v>-40.3226708398104</v>
      </c>
      <c r="BG610" s="0" t="n">
        <f aca="false">(180/Pi)*(D610+H610+BC610)</f>
        <v>-270.496683616879</v>
      </c>
      <c r="BH610" s="0" t="n">
        <f aca="false">IF(BG610&gt;180,BG610-180,BG610+180)</f>
        <v>-90.4966836168788</v>
      </c>
      <c r="BI610" s="0" t="n">
        <f aca="false">IF(BH610&gt;180,BH610-360,BH610)</f>
        <v>-90.4966836168788</v>
      </c>
      <c r="BJ610" s="0" t="n">
        <f aca="false">SUM((BF611&lt;0)*(BF610&gt;0))*A610</f>
        <v>0</v>
      </c>
      <c r="BK610" s="0" t="n">
        <f aca="false">IF(BJ610&gt;0,BI610,0)</f>
        <v>0</v>
      </c>
      <c r="BM610" s="0" t="n">
        <f aca="false">20*LOG(J610*F610*C610)</f>
        <v>-47.3771602070994</v>
      </c>
      <c r="BN610" s="0" t="n">
        <f aca="false">(H610+D610)*180/Pi</f>
        <v>-178.503434034069</v>
      </c>
      <c r="BQ610" s="347" t="n">
        <f aca="false">20*LOG(BA610*7)</f>
        <v>23.9564501675741</v>
      </c>
    </row>
    <row r="611" customFormat="false" ht="12.75" hidden="false" customHeight="false" outlineLevel="0" collapsed="false">
      <c r="A611" s="0" t="n">
        <f aca="false">A610+5000</f>
        <v>1985000</v>
      </c>
      <c r="B611" s="0" t="n">
        <f aca="false">A611/1000</f>
        <v>1985</v>
      </c>
      <c r="C611" s="0" t="n">
        <f aca="false">SQRT((A611/Fesr)^2+1)</f>
        <v>1.00007777389944</v>
      </c>
      <c r="D611" s="0" t="n">
        <f aca="false">ATAN(A611/Fesr)</f>
        <v>0.0124714761852865</v>
      </c>
      <c r="F611" s="0" t="n">
        <f aca="false">(Ro/(Ro+Rdcr))/SQRT((A611/(Q*Fo))^2+(1-(A611^2/Fo^2))^2)</f>
        <v>0.000472796650591763</v>
      </c>
      <c r="G611" s="0" t="n">
        <f aca="false">-ATAN(A611*Fo/(Q*(Fo^2-A611^2)))</f>
        <v>0.0136454515420118</v>
      </c>
      <c r="H611" s="0" t="n">
        <f aca="false">IF(G611&gt;0,G611-Pi,G611)</f>
        <v>-3.12794719845799</v>
      </c>
      <c r="J611" s="0" t="n">
        <f aca="false">Vin/Vramp</f>
        <v>9</v>
      </c>
      <c r="M611" s="0" t="n">
        <f aca="false">1/(2*Pi*_Rfb1*(Cc1ea_u+Cc2ea_u)*A611)</f>
        <v>0.00296958565675448</v>
      </c>
      <c r="N611" s="0" t="n">
        <f aca="false">-Pi/2</f>
        <v>-1.570796325</v>
      </c>
      <c r="O611" s="0" t="n">
        <f aca="false">SQRT(1+(A611/Fz1_u)^2)</f>
        <v>48.501923491394</v>
      </c>
      <c r="P611" s="0" t="n">
        <f aca="false">ATAN2(Fz1_u,A611)</f>
        <v>1.55017712676955</v>
      </c>
      <c r="Q611" s="0" t="n">
        <f aca="false">SQRT(1+(A611/Fz2_u)^2)</f>
        <v>55024.4116915862</v>
      </c>
      <c r="R611" s="0" t="n">
        <f aca="false">ATAN2(Fz2_u,A611)</f>
        <v>1.57077815304311</v>
      </c>
      <c r="S611" s="0" t="n">
        <f aca="false">1/SQRT(1+(A611/Fp1_u)^2)</f>
        <v>0.00679926724697144</v>
      </c>
      <c r="T611" s="0" t="n">
        <f aca="false">-ATAN2(Fp1_u,A611)</f>
        <v>-1.56399700715844</v>
      </c>
      <c r="U611" s="0" t="n">
        <f aca="false">1/SQRT(1+(A611/Fp2_u)^2)</f>
        <v>0.182482720243643</v>
      </c>
      <c r="V611" s="0" t="n">
        <f aca="false">-ATAN2(Fp2_u,A611)</f>
        <v>-1.38728534493164</v>
      </c>
      <c r="X611" s="0" t="n">
        <f aca="false">20*LOG(C611*J611*O611*Q611*F611*M611*S611*U611)</f>
        <v>-27.567104780962</v>
      </c>
      <c r="Y611" s="0" t="n">
        <f aca="false">(180/Pi)*(D611+H611+N611+P611+R611+T611+V611)</f>
        <v>-258.782067598427</v>
      </c>
      <c r="Z611" s="0" t="n">
        <f aca="false">Y611+180</f>
        <v>-78.7820675984271</v>
      </c>
      <c r="AC611" s="0" t="n">
        <v>1</v>
      </c>
      <c r="AD611" s="0" t="n">
        <f aca="false">Rcea1_u*Cc1ea_u*A611*2*Pi</f>
        <v>48.491613526104</v>
      </c>
      <c r="AE611" s="0" t="n">
        <f aca="false">-Rcea1_u*Cc1ea_u*Cc2ea_u*(A611*2*Pi)^2</f>
        <v>-0.0907190039492682</v>
      </c>
      <c r="AF611" s="0" t="n">
        <f aca="false">(Cc2ea_u+Cc1ea_u)*A611*2*Pi</f>
        <v>0.016837365807675</v>
      </c>
      <c r="AG611" s="0" t="n">
        <f aca="false">AC611*AE611/(AE611^2+AF611^2)+AD611*AF611/(AE611^2+AF611^2)</f>
        <v>85.2478545600503</v>
      </c>
      <c r="AH611" s="0" t="n">
        <f aca="false">AD611*AE611/(AE611^2+AF611^2)-AC611*AF611/(AE611^2+AF611^2)</f>
        <v>-518.703492830143</v>
      </c>
      <c r="AJ611" s="0" t="n">
        <f aca="false">_Rfb1</f>
        <v>20000</v>
      </c>
      <c r="AK611" s="0" t="n">
        <f aca="false">_Rfb1*Rcea2_u*Cc3ea_u*A611*2*Pi</f>
        <v>2941425.44598672</v>
      </c>
      <c r="AL611" s="0" t="n">
        <v>1</v>
      </c>
      <c r="AM611" s="0" t="n">
        <f aca="false">(_Rfb1+Rcea2_u)*Cc3ea_u*A611*2*Pi</f>
        <v>55024.4116824993</v>
      </c>
      <c r="AN611" s="0" t="n">
        <f aca="false">AJ611*AL611/(AL611^2+AM611^2)+AK611*AM611/(AL611^2+AM611^2)</f>
        <v>53.4567425357094</v>
      </c>
      <c r="AO611" s="0" t="n">
        <f aca="false">AK611*AL611/(AL611^2+AM611^2)-AJ611*AM611/(AL611^2+AM611^2)</f>
        <v>-0.362503526117815</v>
      </c>
      <c r="AQ611" s="0" t="n">
        <f aca="false">Eadcg/(1+(Eadcg*A611/GBP)^2)</f>
        <v>0.00288947682861847</v>
      </c>
      <c r="AR611" s="0" t="n">
        <f aca="false">-(A611*Eadcg*Eadcg/GBP)/(1+(Eadcg*A611/GBP)^2)</f>
        <v>-3.02266726303364</v>
      </c>
      <c r="AT611" s="0" t="n">
        <f aca="false">-AR611*AH611+AG611*AQ611</f>
        <v>-1567.62174529843</v>
      </c>
      <c r="AU611" s="0" t="n">
        <f aca="false">AQ611*AH611+AG611*AR611</f>
        <v>-259.174680945973</v>
      </c>
      <c r="AV611" s="0" t="n">
        <f aca="false">ATAN2(AT611,AU611)</f>
        <v>-2.97774493591872</v>
      </c>
      <c r="AW611" s="0" t="n">
        <f aca="false">AG611-AH611*AO611/_Rfb2+AG611*AN611/_Rfb2+AN611-AO611*AR611+AQ611*AN611</f>
        <v>139.729399919019</v>
      </c>
      <c r="AX611" s="0" t="n">
        <f aca="false">AH611+AH611*AN611/_Rfb2+AG611*AO611/_Rfb2+AO611+AO611*AQ611+AN611*AR611</f>
        <v>-693.140585225316</v>
      </c>
      <c r="AY611" s="0" t="n">
        <f aca="false">ATAN2(AW611,AX611)</f>
        <v>-1.37187351318164</v>
      </c>
      <c r="BA611" s="0" t="n">
        <f aca="false">SQRT(AT611^2+AU611^2)/SQRT(AW611^2+AX611^2)</f>
        <v>2.24711822016592</v>
      </c>
      <c r="BB611" s="0" t="n">
        <f aca="false">20*LOG(BA611)</f>
        <v>7.03251842226005</v>
      </c>
      <c r="BC611" s="0" t="n">
        <f aca="false">AV611-AY611</f>
        <v>-1.60587142273708</v>
      </c>
      <c r="BD611" s="0" t="n">
        <f aca="false">BC611*180/Pi-180</f>
        <v>-272.00965506864</v>
      </c>
      <c r="BF611" s="0" t="n">
        <f aca="false">20*LOG(BA611*J611*F611*C611)</f>
        <v>-40.3884680550198</v>
      </c>
      <c r="BG611" s="0" t="n">
        <f aca="false">(180/Pi)*(D611+H611+BC611)</f>
        <v>-270.513265334307</v>
      </c>
      <c r="BH611" s="0" t="n">
        <f aca="false">IF(BG611&gt;180,BG611-180,BG611+180)</f>
        <v>-90.5132653343074</v>
      </c>
      <c r="BI611" s="0" t="n">
        <f aca="false">IF(BH611&gt;180,BH611-360,BH611)</f>
        <v>-90.5132653343074</v>
      </c>
      <c r="BJ611" s="0" t="n">
        <f aca="false">SUM((BF612&lt;0)*(BF611&gt;0))*A611</f>
        <v>0</v>
      </c>
      <c r="BK611" s="0" t="n">
        <f aca="false">IF(BJ611&gt;0,BI611,0)</f>
        <v>0</v>
      </c>
      <c r="BM611" s="0" t="n">
        <f aca="false">20*LOG(J611*F611*C611)</f>
        <v>-47.4209864772798</v>
      </c>
      <c r="BN611" s="0" t="n">
        <f aca="false">(H611+D611)*180/Pi</f>
        <v>-178.503610265668</v>
      </c>
      <c r="BQ611" s="347" t="n">
        <f aca="false">20*LOG(BA611*7)</f>
        <v>23.9344792225452</v>
      </c>
    </row>
    <row r="612" customFormat="false" ht="12.75" hidden="false" customHeight="false" outlineLevel="0" collapsed="false">
      <c r="A612" s="0" t="n">
        <f aca="false">A611+5000</f>
        <v>1990000</v>
      </c>
      <c r="B612" s="0" t="n">
        <f aca="false">A612/1000</f>
        <v>1990</v>
      </c>
      <c r="C612" s="0" t="n">
        <f aca="false">SQRT((A612/Fesr)^2+1)</f>
        <v>1.00007816618562</v>
      </c>
      <c r="D612" s="0" t="n">
        <f aca="false">ATAN(A612/Fesr)</f>
        <v>0.0125028872133623</v>
      </c>
      <c r="F612" s="0" t="n">
        <f aca="false">(Ro/(Ro+Rdcr))/SQRT((A612/(Q*Fo))^2+(1-(A612^2/Fo^2))^2)</f>
        <v>0.000470422867857261</v>
      </c>
      <c r="G612" s="0" t="n">
        <f aca="false">-ATAN(A612*Fo/(Q*(Fo^2-A612^2)))</f>
        <v>0.0136111381833584</v>
      </c>
      <c r="H612" s="0" t="n">
        <f aca="false">IF(G612&gt;0,G612-Pi,G612)</f>
        <v>-3.12798151181664</v>
      </c>
      <c r="J612" s="0" t="n">
        <f aca="false">Vin/Vramp</f>
        <v>9</v>
      </c>
      <c r="M612" s="0" t="n">
        <f aca="false">1/(2*Pi*_Rfb1*(Cc1ea_u+Cc2ea_u)*A612)</f>
        <v>0.00296212438626012</v>
      </c>
      <c r="N612" s="0" t="n">
        <f aca="false">-Pi/2</f>
        <v>-1.570796325</v>
      </c>
      <c r="O612" s="0" t="n">
        <f aca="false">SQRT(1+(A612/Fz1_u)^2)</f>
        <v>48.6240427146763</v>
      </c>
      <c r="P612" s="0" t="n">
        <f aca="false">ATAN2(Fz1_u,A612)</f>
        <v>1.55022891917742</v>
      </c>
      <c r="Q612" s="0" t="n">
        <f aca="false">SQRT(1+(A612/Fz2_u)^2)</f>
        <v>55163.0122247687</v>
      </c>
      <c r="R612" s="0" t="n">
        <f aca="false">ATAN2(Fz2_u,A612)</f>
        <v>1.57077819870581</v>
      </c>
      <c r="S612" s="0" t="n">
        <f aca="false">1/SQRT(1+(A612/Fp1_u)^2)</f>
        <v>0.00678218444772465</v>
      </c>
      <c r="T612" s="0" t="n">
        <f aca="false">-ATAN2(Fp1_u,A612)</f>
        <v>-1.56401409035158</v>
      </c>
      <c r="U612" s="0" t="n">
        <f aca="false">1/SQRT(1+(A612/Fp2_u)^2)</f>
        <v>0.182039433359391</v>
      </c>
      <c r="V612" s="0" t="n">
        <f aca="false">-ATAN2(Fp2_u,A612)</f>
        <v>-1.38773618328511</v>
      </c>
      <c r="X612" s="0" t="n">
        <f aca="false">20*LOG(C612*J612*O612*Q612*F612*M612*S612*U612)</f>
        <v>-27.6319543783659</v>
      </c>
      <c r="Y612" s="0" t="n">
        <f aca="false">(180/Pi)*(D612+H612+N612+P612+R612+T612+V612)</f>
        <v>-258.80607371685</v>
      </c>
      <c r="Z612" s="0" t="n">
        <f aca="false">Y612+180</f>
        <v>-78.8060737168497</v>
      </c>
      <c r="AC612" s="0" t="n">
        <v>1</v>
      </c>
      <c r="AD612" s="0" t="n">
        <f aca="false">Rcea1_u*Cc1ea_u*A612*2*Pi</f>
        <v>48.613758648336</v>
      </c>
      <c r="AE612" s="0" t="n">
        <f aca="false">-Rcea1_u*Cc1ea_u*Cc2ea_u*(A612*2*Pi)^2</f>
        <v>-0.0911766022345164</v>
      </c>
      <c r="AF612" s="0" t="n">
        <f aca="false">(Cc2ea_u+Cc1ea_u)*A612*2*Pi</f>
        <v>0.01687977730845</v>
      </c>
      <c r="AG612" s="0" t="n">
        <f aca="false">AC612*AE612/(AE612^2+AF612^2)+AD612*AF612/(AE612^2+AF612^2)</f>
        <v>84.8341895623893</v>
      </c>
      <c r="AH612" s="0" t="n">
        <f aca="false">AD612*AE612/(AE612^2+AF612^2)-AC612*AF612/(AE612^2+AF612^2)</f>
        <v>-517.476800671112</v>
      </c>
      <c r="AJ612" s="0" t="n">
        <f aca="false">_Rfb1</f>
        <v>20000</v>
      </c>
      <c r="AK612" s="0" t="n">
        <f aca="false">_Rfb1*Rcea2_u*Cc3ea_u*A612*2*Pi</f>
        <v>2948834.57809248</v>
      </c>
      <c r="AL612" s="0" t="n">
        <v>1</v>
      </c>
      <c r="AM612" s="0" t="n">
        <f aca="false">(_Rfb1+Rcea2_u)*Cc3ea_u*A612*2*Pi</f>
        <v>55163.0122157046</v>
      </c>
      <c r="AN612" s="0" t="n">
        <f aca="false">AJ612*AL612/(AL612^2+AM612^2)+AK612*AM612/(AL612^2+AM612^2)</f>
        <v>53.4567425026452</v>
      </c>
      <c r="AO612" s="0" t="n">
        <f aca="false">AK612*AL612/(AL612^2+AM612^2)-AJ612*AM612/(AL612^2+AM612^2)</f>
        <v>-0.361592713238721</v>
      </c>
      <c r="AQ612" s="0" t="n">
        <f aca="false">Eadcg/(1+(Eadcg*A612/GBP)^2)</f>
        <v>0.00287497509892644</v>
      </c>
      <c r="AR612" s="0" t="n">
        <f aca="false">-(A612*Eadcg*Eadcg/GBP)/(1+(Eadcg*A612/GBP)^2)</f>
        <v>-3.01507263549713</v>
      </c>
      <c r="AT612" s="0" t="n">
        <f aca="false">-AR612*AH612+AG612*AQ612</f>
        <v>-1559.98624502554</v>
      </c>
      <c r="AU612" s="0" t="n">
        <f aca="false">AQ612*AH612+AG612*AR612</f>
        <v>-257.268976420338</v>
      </c>
      <c r="AV612" s="0" t="n">
        <f aca="false">ATAN2(AT612,AU612)</f>
        <v>-2.97814638371168</v>
      </c>
      <c r="AW612" s="0" t="n">
        <f aca="false">AG612-AH612*AO612/_Rfb2+AG612*AN612/_Rfb2+AN612-AO612*AR612+AQ612*AN612</f>
        <v>139.310920187627</v>
      </c>
      <c r="AX612" s="0" t="n">
        <f aca="false">AH612+AH612*AN612/_Rfb2+AG612*AO612/_Rfb2+AO612+AO612*AQ612+AN612*AR612</f>
        <v>-691.477379236145</v>
      </c>
      <c r="AY612" s="0" t="n">
        <f aca="false">ATAN2(AW612,AX612)</f>
        <v>-1.37198913366673</v>
      </c>
      <c r="BA612" s="0" t="n">
        <f aca="false">SQRT(AT612^2+AU612^2)/SQRT(AW612^2+AX612^2)</f>
        <v>2.24145535484743</v>
      </c>
      <c r="BB612" s="0" t="n">
        <f aca="false">20*LOG(BA612)</f>
        <v>7.01060186081069</v>
      </c>
      <c r="BC612" s="0" t="n">
        <f aca="false">AV612-AY612</f>
        <v>-1.60615725004495</v>
      </c>
      <c r="BD612" s="0" t="n">
        <f aca="false">BC612*180/Pi-180</f>
        <v>-272.026031767069</v>
      </c>
      <c r="BF612" s="0" t="n">
        <f aca="false">20*LOG(BA612*J612*F612*C612)</f>
        <v>-40.454100530246</v>
      </c>
      <c r="BG612" s="0" t="n">
        <f aca="false">(180/Pi)*(D612+H612+BC612)</f>
        <v>-270.52980832403</v>
      </c>
      <c r="BH612" s="0" t="n">
        <f aca="false">IF(BG612&gt;180,BG612-180,BG612+180)</f>
        <v>-90.52980832403</v>
      </c>
      <c r="BI612" s="0" t="n">
        <f aca="false">IF(BH612&gt;180,BH612-360,BH612)</f>
        <v>-90.52980832403</v>
      </c>
      <c r="BJ612" s="0" t="n">
        <f aca="false">SUM((BF613&lt;0)*(BF612&gt;0))*A612</f>
        <v>0</v>
      </c>
      <c r="BK612" s="0" t="n">
        <f aca="false">IF(BJ612&gt;0,BI612,0)</f>
        <v>0</v>
      </c>
      <c r="BM612" s="0" t="n">
        <f aca="false">20*LOG(J612*F612*C612)</f>
        <v>-47.4647023910567</v>
      </c>
      <c r="BN612" s="0" t="n">
        <f aca="false">(H612+D612)*180/Pi</f>
        <v>-178.503776556961</v>
      </c>
      <c r="BQ612" s="347" t="n">
        <f aca="false">20*LOG(BA612*7)</f>
        <v>23.9125626610958</v>
      </c>
    </row>
    <row r="613" customFormat="false" ht="12.75" hidden="false" customHeight="false" outlineLevel="0" collapsed="false">
      <c r="A613" s="0" t="n">
        <f aca="false">A612+5000</f>
        <v>1995000</v>
      </c>
      <c r="B613" s="0" t="n">
        <f aca="false">A613/1000</f>
        <v>1995</v>
      </c>
      <c r="C613" s="0" t="n">
        <f aca="false">SQRT((A613/Fesr)^2+1)</f>
        <v>1.00007855945854</v>
      </c>
      <c r="D613" s="0" t="n">
        <f aca="false">ATAN(A613/Fesr)</f>
        <v>0.0125342982167649</v>
      </c>
      <c r="F613" s="0" t="n">
        <f aca="false">(Ro/(Ro+Rdcr))/SQRT((A613/(Q*Fo))^2+(1-(A613^2/Fo^2))^2)</f>
        <v>0.000468066919766953</v>
      </c>
      <c r="G613" s="0" t="n">
        <f aca="false">-ATAN(A613*Fo/(Q*(Fo^2-A613^2)))</f>
        <v>0.0135769970336049</v>
      </c>
      <c r="H613" s="0" t="n">
        <f aca="false">IF(G613&gt;0,G613-Pi,G613)</f>
        <v>-3.1280156529664</v>
      </c>
      <c r="J613" s="0" t="n">
        <f aca="false">Vin/Vramp</f>
        <v>9</v>
      </c>
      <c r="M613" s="0" t="n">
        <f aca="false">1/(2*Pi*_Rfb1*(Cc1ea_u+Cc2ea_u)*A613)</f>
        <v>0.00295470051561787</v>
      </c>
      <c r="N613" s="0" t="n">
        <f aca="false">-Pi/2</f>
        <v>-1.570796325</v>
      </c>
      <c r="O613" s="0" t="n">
        <f aca="false">SQRT(1+(A613/Fz1_u)^2)</f>
        <v>48.7461620677368</v>
      </c>
      <c r="P613" s="0" t="n">
        <f aca="false">ATAN2(Fz1_u,A613)</f>
        <v>1.55028045208375</v>
      </c>
      <c r="Q613" s="0" t="n">
        <f aca="false">SQRT(1+(A613/Fz2_u)^2)</f>
        <v>55301.6127579512</v>
      </c>
      <c r="R613" s="0" t="n">
        <f aca="false">ATAN2(Fz2_u,A613)</f>
        <v>1.57077824413961</v>
      </c>
      <c r="S613" s="0" t="n">
        <f aca="false">1/SQRT(1+(A613/Fp1_u)^2)</f>
        <v>0.00676518727065096</v>
      </c>
      <c r="T613" s="0" t="n">
        <f aca="false">-ATAN2(Fp1_u,A613)</f>
        <v>-1.56403108791861</v>
      </c>
      <c r="U613" s="0" t="n">
        <f aca="false">1/SQRT(1+(A613/Fp2_u)^2)</f>
        <v>0.181598258277574</v>
      </c>
      <c r="V613" s="0" t="n">
        <f aca="false">-ATAN2(Fp2_u,A613)</f>
        <v>-1.38818483650344</v>
      </c>
      <c r="X613" s="0" t="n">
        <f aca="false">20*LOG(C613*J613*O613*Q613*F613*M613*S613*U613)</f>
        <v>-27.6966446087991</v>
      </c>
      <c r="Y613" s="0" t="n">
        <f aca="false">(180/Pi)*(D613+H613+N613+P613+R613+T613+V613)</f>
        <v>-258.829954746264</v>
      </c>
      <c r="Z613" s="0" t="n">
        <f aca="false">Y613+180</f>
        <v>-78.8299547462639</v>
      </c>
      <c r="AC613" s="0" t="n">
        <v>1</v>
      </c>
      <c r="AD613" s="0" t="n">
        <f aca="false">Rcea1_u*Cc1ea_u*A613*2*Pi</f>
        <v>48.735903770568</v>
      </c>
      <c r="AE613" s="0" t="n">
        <f aca="false">-Rcea1_u*Cc1ea_u*Cc2ea_u*(A613*2*Pi)^2</f>
        <v>-0.0916353517104192</v>
      </c>
      <c r="AF613" s="0" t="n">
        <f aca="false">(Cc2ea_u+Cc1ea_u)*A613*2*Pi</f>
        <v>0.016922188809225</v>
      </c>
      <c r="AG613" s="0" t="n">
        <f aca="false">AC613*AE613/(AE613^2+AF613^2)+AD613*AF613/(AE613^2+AF613^2)</f>
        <v>84.4234941681878</v>
      </c>
      <c r="AH613" s="0" t="n">
        <f aca="false">AD613*AE613/(AE613^2+AF613^2)-AC613*AF613/(AE613^2+AF613^2)</f>
        <v>-516.255708951903</v>
      </c>
      <c r="AJ613" s="0" t="n">
        <f aca="false">_Rfb1</f>
        <v>20000</v>
      </c>
      <c r="AK613" s="0" t="n">
        <f aca="false">_Rfb1*Rcea2_u*Cc3ea_u*A613*2*Pi</f>
        <v>2956243.71019824</v>
      </c>
      <c r="AL613" s="0" t="n">
        <v>1</v>
      </c>
      <c r="AM613" s="0" t="n">
        <f aca="false">(_Rfb1+Rcea2_u)*Cc3ea_u*A613*2*Pi</f>
        <v>55301.6127489099</v>
      </c>
      <c r="AN613" s="0" t="n">
        <f aca="false">AJ613*AL613/(AL613^2+AM613^2)+AK613*AM613/(AL613^2+AM613^2)</f>
        <v>53.4567424698293</v>
      </c>
      <c r="AO613" s="0" t="n">
        <f aca="false">AK613*AL613/(AL613^2+AM613^2)-AJ613*AM613/(AL613^2+AM613^2)</f>
        <v>-0.360686465837714</v>
      </c>
      <c r="AQ613" s="0" t="n">
        <f aca="false">Eadcg/(1+(Eadcg*A613/GBP)^2)</f>
        <v>0.00286058226797115</v>
      </c>
      <c r="AR613" s="0" t="n">
        <f aca="false">-(A613*Eadcg*Eadcg/GBP)/(1+(Eadcg*A613/GBP)^2)</f>
        <v>-3.00751607616549</v>
      </c>
      <c r="AT613" s="0" t="n">
        <f aca="false">-AR613*AH613+AG613*AQ613</f>
        <v>-1552.40584373464</v>
      </c>
      <c r="AU613" s="0" t="n">
        <f aca="false">AQ613*AH613+AG613*AR613</f>
        <v>-255.381807843655</v>
      </c>
      <c r="AV613" s="0" t="n">
        <f aca="false">ATAN2(AT613,AU613)</f>
        <v>-2.97854589383173</v>
      </c>
      <c r="AW613" s="0" t="n">
        <f aca="false">AG613-AH613*AO613/_Rfb2+AG613*AN613/_Rfb2+AN613-AO613*AR613+AQ613*AN613</f>
        <v>138.895443045727</v>
      </c>
      <c r="AX613" s="0" t="n">
        <f aca="false">AH613+AH613*AN613/_Rfb2+AG613*AO613/_Rfb2+AO613+AO613*AQ613+AN613*AR613</f>
        <v>-689.821949050694</v>
      </c>
      <c r="AY613" s="0" t="n">
        <f aca="false">ATAN2(AW613,AX613)</f>
        <v>-1.37210331520751</v>
      </c>
      <c r="BA613" s="0" t="n">
        <f aca="false">SQRT(AT613^2+AU613^2)/SQRT(AW613^2+AX613^2)</f>
        <v>2.23582068891776</v>
      </c>
      <c r="BB613" s="0" t="n">
        <f aca="false">20*LOG(BA613)</f>
        <v>6.98873941061878</v>
      </c>
      <c r="BC613" s="0" t="n">
        <f aca="false">AV613-AY613</f>
        <v>-1.60644257862422</v>
      </c>
      <c r="BD613" s="0" t="n">
        <f aca="false">BC613*180/Pi-180</f>
        <v>-272.042379890454</v>
      </c>
      <c r="BF613" s="0" t="n">
        <f aca="false">20*LOG(BA613*J613*F613*C613)</f>
        <v>-40.5195690922614</v>
      </c>
      <c r="BG613" s="0" t="n">
        <f aca="false">(180/Pi)*(D613+H613+BC613)</f>
        <v>-270.546312873279</v>
      </c>
      <c r="BH613" s="0" t="n">
        <f aca="false">IF(BG613&gt;180,BG613-180,BG613+180)</f>
        <v>-90.5463128732787</v>
      </c>
      <c r="BI613" s="0" t="n">
        <f aca="false">IF(BH613&gt;180,BH613-360,BH613)</f>
        <v>-90.5463128732787</v>
      </c>
      <c r="BJ613" s="0" t="n">
        <f aca="false">SUM((BF614&lt;0)*(BF613&gt;0))*A613</f>
        <v>0</v>
      </c>
      <c r="BK613" s="0" t="n">
        <f aca="false">IF(BJ613&gt;0,BI613,0)</f>
        <v>0</v>
      </c>
      <c r="BM613" s="0" t="n">
        <f aca="false">20*LOG(J613*F613*C613)</f>
        <v>-47.5083085028802</v>
      </c>
      <c r="BN613" s="0" t="n">
        <f aca="false">(H613+D613)*180/Pi</f>
        <v>-178.503932982824</v>
      </c>
      <c r="BQ613" s="347" t="n">
        <f aca="false">20*LOG(BA613*7)</f>
        <v>23.8907002109039</v>
      </c>
    </row>
    <row r="614" customFormat="false" ht="12.75" hidden="false" customHeight="false" outlineLevel="0" collapsed="false">
      <c r="A614" s="0" t="n">
        <f aca="false">A613+5000</f>
        <v>2000000</v>
      </c>
      <c r="B614" s="0" t="n">
        <f aca="false">A614/1000</f>
        <v>2000</v>
      </c>
      <c r="C614" s="0" t="n">
        <f aca="false">SQRT((A614/Fesr)^2+1)</f>
        <v>1.00007895371818</v>
      </c>
      <c r="D614" s="0" t="n">
        <f aca="false">ATAN(A614/Fesr)</f>
        <v>0.0125657091954322</v>
      </c>
      <c r="F614" s="0" t="n">
        <f aca="false">(Ro/(Ro+Rdcr))/SQRT((A614/(Q*Fo))^2+(1-(A614^2/Fo^2))^2)</f>
        <v>0.000465728628085181</v>
      </c>
      <c r="G614" s="0" t="n">
        <f aca="false">-ATAN(A614*Fo/(Q*(Fo^2-A614^2)))</f>
        <v>0.0135430267990701</v>
      </c>
      <c r="H614" s="0" t="n">
        <f aca="false">IF(G614&gt;0,G614-Pi,G614)</f>
        <v>-3.12804962320093</v>
      </c>
      <c r="J614" s="0" t="n">
        <f aca="false">Vin/Vramp</f>
        <v>9</v>
      </c>
      <c r="M614" s="0" t="n">
        <f aca="false">1/(2*Pi*_Rfb1*(Cc1ea_u+Cc2ea_u)*A614)</f>
        <v>0.00294731376432882</v>
      </c>
      <c r="N614" s="0" t="n">
        <f aca="false">-Pi/2</f>
        <v>-1.570796325</v>
      </c>
      <c r="O614" s="0" t="n">
        <f aca="false">SQRT(1+(A614/Fz1_u)^2)</f>
        <v>48.8682815496027</v>
      </c>
      <c r="P614" s="0" t="n">
        <f aca="false">ATAN2(Fz1_u,A614)</f>
        <v>1.55033172743372</v>
      </c>
      <c r="Q614" s="0" t="n">
        <f aca="false">SQRT(1+(A614/Fz2_u)^2)</f>
        <v>55440.2132911339</v>
      </c>
      <c r="R614" s="0" t="n">
        <f aca="false">ATAN2(Fz2_u,A614)</f>
        <v>1.57077828934625</v>
      </c>
      <c r="S614" s="0" t="n">
        <f aca="false">1/SQRT(1+(A614/Fp1_u)^2)</f>
        <v>0.00674827507364277</v>
      </c>
      <c r="T614" s="0" t="n">
        <f aca="false">-ATAN2(Fp1_u,A614)</f>
        <v>-1.56404800050168</v>
      </c>
      <c r="U614" s="0" t="n">
        <f aca="false">1/SQRT(1+(A614/Fp2_u)^2)</f>
        <v>0.181159180212267</v>
      </c>
      <c r="V614" s="0" t="n">
        <f aca="false">-ATAN2(Fp2_u,A614)</f>
        <v>-1.38863132025537</v>
      </c>
      <c r="X614" s="0" t="n">
        <f aca="false">20*LOG(C614*J614*O614*Q614*F614*M614*S614*U614)</f>
        <v>-27.7611762458845</v>
      </c>
      <c r="Y614" s="0" t="n">
        <f aca="false">(180/Pi)*(D614+H614+N614+P614+R614+T614+V614)</f>
        <v>-258.853711583793</v>
      </c>
      <c r="Z614" s="0" t="n">
        <f aca="false">Y614+180</f>
        <v>-78.8537115837928</v>
      </c>
      <c r="AC614" s="0" t="n">
        <v>1</v>
      </c>
      <c r="AD614" s="0" t="n">
        <f aca="false">Rcea1_u*Cc1ea_u*A614*2*Pi</f>
        <v>48.8580488928</v>
      </c>
      <c r="AE614" s="0" t="n">
        <f aca="false">-Rcea1_u*Cc1ea_u*Cc2ea_u*(A614*2*Pi)^2</f>
        <v>-0.0920952523769767</v>
      </c>
      <c r="AF614" s="0" t="n">
        <f aca="false">(Cc2ea_u+Cc1ea_u)*A614*2*Pi</f>
        <v>0.01696460031</v>
      </c>
      <c r="AG614" s="0" t="n">
        <f aca="false">AC614*AE614/(AE614^2+AF614^2)+AD614*AF614/(AE614^2+AF614^2)</f>
        <v>84.0157403524622</v>
      </c>
      <c r="AH614" s="0" t="n">
        <f aca="false">AD614*AE614/(AE614^2+AF614^2)-AC614*AF614/(AE614^2+AF614^2)</f>
        <v>-515.04018083162</v>
      </c>
      <c r="AJ614" s="0" t="n">
        <f aca="false">_Rfb1</f>
        <v>20000</v>
      </c>
      <c r="AK614" s="0" t="n">
        <f aca="false">_Rfb1*Rcea2_u*Cc3ea_u*A614*2*Pi</f>
        <v>2963652.842304</v>
      </c>
      <c r="AL614" s="0" t="n">
        <v>1</v>
      </c>
      <c r="AM614" s="0" t="n">
        <f aca="false">(_Rfb1+Rcea2_u)*Cc3ea_u*A614*2*Pi</f>
        <v>55440.2132821152</v>
      </c>
      <c r="AN614" s="0" t="n">
        <f aca="false">AJ614*AL614/(AL614^2+AM614^2)+AK614*AM614/(AL614^2+AM614^2)</f>
        <v>53.4567424372592</v>
      </c>
      <c r="AO614" s="0" t="n">
        <f aca="false">AK614*AL614/(AL614^2+AM614^2)-AJ614*AM614/(AL614^2+AM614^2)</f>
        <v>-0.359784749673707</v>
      </c>
      <c r="AQ614" s="0" t="n">
        <f aca="false">Eadcg/(1+(Eadcg*A614/GBP)^2)</f>
        <v>0.00284629724812925</v>
      </c>
      <c r="AR614" s="0" t="n">
        <f aca="false">-(A614*Eadcg*Eadcg/GBP)/(1+(Eadcg*A614/GBP)^2)</f>
        <v>-2.99999729952823</v>
      </c>
      <c r="AT614" s="0" t="n">
        <f aca="false">-AR614*AH614+AG614*AQ614</f>
        <v>-1544.88001787282</v>
      </c>
      <c r="AU614" s="0" t="n">
        <f aca="false">AQ614*AH614+AG614*AR614</f>
        <v>-253.512951624628</v>
      </c>
      <c r="AV614" s="0" t="n">
        <f aca="false">ATAN2(AT614,AU614)</f>
        <v>-2.97894348009271</v>
      </c>
      <c r="AW614" s="0" t="n">
        <f aca="false">AG614-AH614*AO614/_Rfb2+AG614*AN614/_Rfb2+AN614-AO614*AR614+AQ614*AN614</f>
        <v>138.482940176756</v>
      </c>
      <c r="AX614" s="0" t="n">
        <f aca="false">AH614+AH614*AN614/_Rfb2+AG614*AO614/_Rfb2+AO614+AO614*AQ614+AN614*AR614</f>
        <v>-688.17424163214</v>
      </c>
      <c r="AY614" s="0" t="n">
        <f aca="false">ATAN2(AW614,AX614)</f>
        <v>-1.37221606794848</v>
      </c>
      <c r="BA614" s="0" t="n">
        <f aca="false">SQRT(AT614^2+AU614^2)/SQRT(AW614^2+AX614^2)</f>
        <v>2.23021401196812</v>
      </c>
      <c r="BB614" s="0" t="n">
        <f aca="false">20*LOG(BA614)</f>
        <v>6.9669308013865</v>
      </c>
      <c r="BC614" s="0" t="n">
        <f aca="false">AV614-AY614</f>
        <v>-1.60672741214423</v>
      </c>
      <c r="BD614" s="0" t="n">
        <f aca="false">BC614*180/Pi-180</f>
        <v>-272.058699649034</v>
      </c>
      <c r="BF614" s="0" t="n">
        <f aca="false">20*LOG(BA614*J614*F614*C614)</f>
        <v>-40.5848745616438</v>
      </c>
      <c r="BG614" s="0" t="n">
        <f aca="false">(180/Pi)*(D614+H614+BC614)</f>
        <v>-270.562779266418</v>
      </c>
      <c r="BH614" s="0" t="n">
        <f aca="false">IF(BG614&gt;180,BG614-180,BG614+180)</f>
        <v>-90.5627792664181</v>
      </c>
      <c r="BI614" s="0" t="n">
        <f aca="false">IF(BH614&gt;180,BH614-360,BH614)</f>
        <v>-90.5627792664181</v>
      </c>
      <c r="BJ614" s="0" t="n">
        <f aca="false">SUM((BF615&lt;0)*(BF614&gt;0))*A614</f>
        <v>0</v>
      </c>
      <c r="BK614" s="0" t="n">
        <f aca="false">IF(BJ614&gt;0,BI614,0)</f>
        <v>0</v>
      </c>
      <c r="BM614" s="0" t="n">
        <f aca="false">20*LOG(J614*F614*C614)</f>
        <v>-47.5518053630303</v>
      </c>
      <c r="BN614" s="0" t="n">
        <f aca="false">(H614+D614)*180/Pi</f>
        <v>-178.504079617384</v>
      </c>
      <c r="BQ614" s="347" t="n">
        <f aca="false">20*LOG(BA614*7)</f>
        <v>23.8688916016716</v>
      </c>
    </row>
    <row r="615" customFormat="false" ht="12.75" hidden="false" customHeight="false" outlineLevel="0" collapsed="false">
      <c r="A615" s="0" t="n">
        <f aca="false">A614+250000</f>
        <v>2250000</v>
      </c>
      <c r="B615" s="0" t="n">
        <f aca="false">A615/1000</f>
        <v>2250</v>
      </c>
      <c r="C615" s="0" t="n">
        <f aca="false">SQRT((A615/Fesr)^2+1)</f>
        <v>1.00009992475185</v>
      </c>
      <c r="D615" s="0" t="n">
        <f aca="false">ATAN(A615/Fesr)</f>
        <v>0.0141362252222714</v>
      </c>
      <c r="F615" s="0" t="n">
        <f aca="false">(Ro/(Ro+Rdcr))/SQRT((A615/(Q*Fo))^2+(1-(A615^2/Fo^2))^2)</f>
        <v>0.000367953956233512</v>
      </c>
      <c r="G615" s="0" t="n">
        <f aca="false">-ATAN(A615*Fo/(Q*(Fo^2-A615^2)))</f>
        <v>0.0120372149094525</v>
      </c>
      <c r="H615" s="0" t="n">
        <f aca="false">IF(G615&gt;0,G615-Pi,G615)</f>
        <v>-3.12955543509055</v>
      </c>
      <c r="J615" s="0" t="n">
        <f aca="false">Vin/Vramp</f>
        <v>9</v>
      </c>
      <c r="M615" s="0" t="n">
        <f aca="false">1/(2*Pi*_Rfb1*(Cc1ea_u+Cc2ea_u)*A615)</f>
        <v>0.00261983445718118</v>
      </c>
      <c r="N615" s="0" t="n">
        <f aca="false">-Pi/2</f>
        <v>-1.570796325</v>
      </c>
      <c r="O615" s="0" t="n">
        <f aca="false">SQRT(1+(A615/Fz1_u)^2)</f>
        <v>54.9744008992069</v>
      </c>
      <c r="P615" s="0" t="n">
        <f aca="false">ATAN2(Fz1_u,A615)</f>
        <v>1.55260503885728</v>
      </c>
      <c r="Q615" s="0" t="n">
        <f aca="false">SQRT(1+(A615/Fz2_u)^2)</f>
        <v>62370.2399503962</v>
      </c>
      <c r="R615" s="0" t="n">
        <f aca="false">ATAN2(Fz2_u,A615)</f>
        <v>1.57078029350721</v>
      </c>
      <c r="S615" s="0" t="n">
        <f aca="false">1/SQRT(1+(A615/Fp1_u)^2)</f>
        <v>0.0059984953978452</v>
      </c>
      <c r="T615" s="0" t="n">
        <f aca="false">-ATAN2(Fp1_u,A615)</f>
        <v>-1.56479779542355</v>
      </c>
      <c r="U615" s="0" t="n">
        <f aca="false">1/SQRT(1+(A615/Fp2_u)^2)</f>
        <v>0.161587841575465</v>
      </c>
      <c r="V615" s="0" t="n">
        <f aca="false">-ATAN2(Fp2_u,A615)</f>
        <v>-1.40849689870289</v>
      </c>
      <c r="X615" s="0" t="n">
        <f aca="false">20*LOG(C615*J615*O615*Q615*F615*M615*S615*U615)</f>
        <v>-30.801156787264</v>
      </c>
      <c r="Y615" s="0" t="n">
        <f aca="false">(180/Pi)*(D615+H615+N615+P615+R615+T615+V615)</f>
        <v>-259.900812218108</v>
      </c>
      <c r="Z615" s="0" t="n">
        <f aca="false">Y615+180</f>
        <v>-79.9008122181085</v>
      </c>
      <c r="AC615" s="0" t="n">
        <v>1</v>
      </c>
      <c r="AD615" s="0" t="n">
        <f aca="false">Rcea1_u*Cc1ea_u*A615*2*Pi</f>
        <v>54.9653050044</v>
      </c>
      <c r="AE615" s="0" t="n">
        <f aca="false">-Rcea1_u*Cc1ea_u*Cc2ea_u*(A615*2*Pi)^2</f>
        <v>-0.116558053789611</v>
      </c>
      <c r="AF615" s="0" t="n">
        <f aca="false">(Cc2ea_u+Cc1ea_u)*A615*2*Pi</f>
        <v>0.01908517534875</v>
      </c>
      <c r="AG615" s="0" t="n">
        <f aca="false">AC615*AE615/(AE615^2+AF615^2)+AD615*AF615/(AE615^2+AF615^2)</f>
        <v>66.843214195245</v>
      </c>
      <c r="AH615" s="0" t="n">
        <f aca="false">AD615*AE615/(AE615^2+AF615^2)-AC615*AF615/(AE615^2+AF615^2)</f>
        <v>-460.625317556521</v>
      </c>
      <c r="AJ615" s="0" t="n">
        <f aca="false">_Rfb1</f>
        <v>20000</v>
      </c>
      <c r="AK615" s="0" t="n">
        <f aca="false">_Rfb1*Rcea2_u*Cc3ea_u*A615*2*Pi</f>
        <v>3334109.447592</v>
      </c>
      <c r="AL615" s="0" t="n">
        <v>1</v>
      </c>
      <c r="AM615" s="0" t="n">
        <f aca="false">(_Rfb1+Rcea2_u)*Cc3ea_u*A615*2*Pi</f>
        <v>62370.2399423796</v>
      </c>
      <c r="AN615" s="0" t="n">
        <f aca="false">AJ615*AL615/(AL615^2+AM615^2)+AK615*AM615/(AL615^2+AM615^2)</f>
        <v>53.4567410752446</v>
      </c>
      <c r="AO615" s="0" t="n">
        <f aca="false">AK615*AL615/(AL615^2+AM615^2)-AJ615*AM615/(AL615^2+AM615^2)</f>
        <v>-0.319808666398466</v>
      </c>
      <c r="AQ615" s="0" t="n">
        <f aca="false">Eadcg/(1+(Eadcg*A615/GBP)^2)</f>
        <v>0.00224892664561558</v>
      </c>
      <c r="AR615" s="0" t="n">
        <f aca="false">-(A615*Eadcg*Eadcg/GBP)/(1+(Eadcg*A615/GBP)^2)</f>
        <v>-2.66666477003867</v>
      </c>
      <c r="AT615" s="0" t="n">
        <f aca="false">-AR615*AH615+AG615*AQ615</f>
        <v>-1228.18298103037</v>
      </c>
      <c r="AU615" s="0" t="n">
        <f aca="false">AQ615*AH615+AG615*AR615</f>
        <v>-179.284356960907</v>
      </c>
      <c r="AV615" s="0" t="n">
        <f aca="false">ATAN2(AT615,AU615)</f>
        <v>-2.99664116554342</v>
      </c>
      <c r="AW615" s="0" t="n">
        <f aca="false">AG615-AH615*AO615/_Rfb2+AG615*AN615/_Rfb2+AN615-AO615*AR615+AQ615*AN615</f>
        <v>121.109011847453</v>
      </c>
      <c r="AX615" s="0" t="n">
        <f aca="false">AH615+AH615*AN615/_Rfb2+AG615*AO615/_Rfb2+AO615+AO615*AQ615+AN615*AR615</f>
        <v>-614.587261013215</v>
      </c>
      <c r="AY615" s="0" t="n">
        <f aca="false">ATAN2(AW615,AX615)</f>
        <v>-1.37623171538914</v>
      </c>
      <c r="BA615" s="0" t="n">
        <f aca="false">SQRT(AT615^2+AU615^2)/SQRT(AW615^2+AX615^2)</f>
        <v>1.98146072515225</v>
      </c>
      <c r="BB615" s="0" t="n">
        <f aca="false">20*LOG(BA615)</f>
        <v>5.93970937071231</v>
      </c>
      <c r="BC615" s="0" t="n">
        <f aca="false">AV615-AY615</f>
        <v>-1.62040945015428</v>
      </c>
      <c r="BD615" s="0" t="n">
        <f aca="false">BC615*180/Pi-180</f>
        <v>-272.842622683043</v>
      </c>
      <c r="BF615" s="0" t="n">
        <f aca="false">20*LOG(BA615*J615*F615*C615)</f>
        <v>-43.6587030122422</v>
      </c>
      <c r="BG615" s="0" t="n">
        <f aca="false">(180/Pi)*(D615+H615+BC615)</f>
        <v>-271.342995026443</v>
      </c>
      <c r="BH615" s="0" t="n">
        <f aca="false">IF(BG615&gt;180,BG615-180,BG615+180)</f>
        <v>-91.3429950264429</v>
      </c>
      <c r="BI615" s="0" t="n">
        <f aca="false">IF(BH615&gt;180,BH615-360,BH615)</f>
        <v>-91.3429950264429</v>
      </c>
      <c r="BJ615" s="0" t="n">
        <f aca="false">SUM((BF616&lt;0)*(BF615&gt;0))*A615</f>
        <v>0</v>
      </c>
      <c r="BK615" s="0" t="n">
        <f aca="false">IF(BJ615&gt;0,BI615,0)</f>
        <v>0</v>
      </c>
      <c r="BM615" s="0" t="n">
        <f aca="false">20*LOG(J615*F615*C615)</f>
        <v>-49.5984123829545</v>
      </c>
      <c r="BN615" s="0" t="n">
        <f aca="false">(H615+D615)*180/Pi</f>
        <v>-178.5003723434</v>
      </c>
      <c r="BQ615" s="347" t="n">
        <f aca="false">20*LOG(BA615*7)</f>
        <v>22.8416701709974</v>
      </c>
    </row>
    <row r="616" customFormat="false" ht="12.75" hidden="false" customHeight="false" outlineLevel="0" collapsed="false">
      <c r="A616" s="0" t="n">
        <f aca="false">A615+250000</f>
        <v>2500000</v>
      </c>
      <c r="B616" s="0" t="n">
        <f aca="false">A616/1000</f>
        <v>2500</v>
      </c>
      <c r="C616" s="0" t="n">
        <f aca="false">SQRT((A616/Fesr)^2+1)</f>
        <v>1.00012336244559</v>
      </c>
      <c r="D616" s="0" t="n">
        <f aca="false">ATAN(A616/Fesr)</f>
        <v>0.015706671513038</v>
      </c>
      <c r="F616" s="0" t="n">
        <f aca="false">(Ro/(Ro+Rdcr))/SQRT((A616/(Q*Fo))^2+(1-(A616^2/Fo^2))^2)</f>
        <v>0.000298025812814115</v>
      </c>
      <c r="G616" s="0" t="n">
        <f aca="false">-ATAN(A616*Fo/(Q*(Fo^2-A616^2)))</f>
        <v>0.0108328296931999</v>
      </c>
      <c r="H616" s="0" t="n">
        <f aca="false">IF(G616&gt;0,G616-Pi,G616)</f>
        <v>-3.1307598203068</v>
      </c>
      <c r="J616" s="0" t="n">
        <f aca="false">Vin/Vramp</f>
        <v>9</v>
      </c>
      <c r="M616" s="0" t="n">
        <f aca="false">1/(2*Pi*_Rfb1*(Cc1ea_u+Cc2ea_u)*A616)</f>
        <v>0.00235785101146306</v>
      </c>
      <c r="N616" s="0" t="n">
        <f aca="false">-Pi/2</f>
        <v>-1.570796325</v>
      </c>
      <c r="O616" s="0" t="n">
        <f aca="false">SQRT(1+(A616/Fz1_u)^2)</f>
        <v>61.0807475500059</v>
      </c>
      <c r="P616" s="0" t="n">
        <f aca="false">ATAN2(Fz1_u,A616)</f>
        <v>1.55442382452566</v>
      </c>
      <c r="Q616" s="0" t="n">
        <f aca="false">SQRT(1+(A616/Fz2_u)^2)</f>
        <v>69300.266609859</v>
      </c>
      <c r="R616" s="0" t="n">
        <f aca="false">ATAN2(Fz2_u,A616)</f>
        <v>1.57078189683598</v>
      </c>
      <c r="S616" s="0" t="n">
        <f aca="false">1/SQRT(1+(A616/Fp1_u)^2)</f>
        <v>0.00539866431226529</v>
      </c>
      <c r="T616" s="0" t="n">
        <f aca="false">-ATAN2(Fp1_u,A616)</f>
        <v>-1.56539763625776</v>
      </c>
      <c r="U616" s="0" t="n">
        <f aca="false">1/SQRT(1+(A616/Fp2_u)^2)</f>
        <v>0.145791143430116</v>
      </c>
      <c r="V616" s="0" t="n">
        <f aca="false">-ATAN2(Fp2_u,A616)</f>
        <v>-1.42448371353841</v>
      </c>
      <c r="X616" s="0" t="n">
        <f aca="false">20*LOG(C616*J616*O616*Q616*F616*M616*S616*U616)</f>
        <v>-33.5255392535752</v>
      </c>
      <c r="Y616" s="0" t="n">
        <f aca="false">(180/Pi)*(D616+H616+N616+P616+R616+T616+V616)</f>
        <v>-260.725883223941</v>
      </c>
      <c r="Z616" s="0" t="n">
        <f aca="false">Y616+180</f>
        <v>-80.7258832239411</v>
      </c>
      <c r="AC616" s="0" t="n">
        <v>1</v>
      </c>
      <c r="AD616" s="0" t="n">
        <f aca="false">Rcea1_u*Cc1ea_u*A616*2*Pi</f>
        <v>61.072561116</v>
      </c>
      <c r="AE616" s="0" t="n">
        <f aca="false">-Rcea1_u*Cc1ea_u*Cc2ea_u*(A616*2*Pi)^2</f>
        <v>-0.143898831839026</v>
      </c>
      <c r="AF616" s="0" t="n">
        <f aca="false">(Cc2ea_u+Cc1ea_u)*A616*2*Pi</f>
        <v>0.0212057503875</v>
      </c>
      <c r="AG616" s="0" t="n">
        <f aca="false">AC616*AE616/(AE616^2+AF616^2)+AD616*AF616/(AE616^2+AF616^2)</f>
        <v>54.4129472068111</v>
      </c>
      <c r="AH616" s="0" t="n">
        <f aca="false">AD616*AE616/(AE616^2+AF616^2)-AC616*AF616/(AE616^2+AF616^2)</f>
        <v>-416.394580650334</v>
      </c>
      <c r="AJ616" s="0" t="n">
        <f aca="false">_Rfb1</f>
        <v>20000</v>
      </c>
      <c r="AK616" s="0" t="n">
        <f aca="false">_Rfb1*Rcea2_u*Cc3ea_u*A616*2*Pi</f>
        <v>3704566.05288</v>
      </c>
      <c r="AL616" s="0" t="n">
        <v>1</v>
      </c>
      <c r="AM616" s="0" t="n">
        <f aca="false">(_Rfb1+Rcea2_u)*Cc3ea_u*A616*2*Pi</f>
        <v>69300.266602644</v>
      </c>
      <c r="AN616" s="0" t="n">
        <f aca="false">AJ616*AL616/(AL616^2+AM616^2)+AK616*AM616/(AL616^2+AM616^2)</f>
        <v>53.4567401010036</v>
      </c>
      <c r="AO616" s="0" t="n">
        <f aca="false">AK616*AL616/(AL616^2+AM616^2)-AJ616*AM616/(AL616^2+AM616^2)</f>
        <v>-0.287827799772678</v>
      </c>
      <c r="AQ616" s="0" t="n">
        <f aca="false">Eadcg/(1+(Eadcg*A616/GBP)^2)</f>
        <v>0.00182163082911423</v>
      </c>
      <c r="AR616" s="0" t="n">
        <f aca="false">-(A616*Eadcg*Eadcg/GBP)/(1+(Eadcg*A616/GBP)^2)</f>
        <v>-2.399998617358</v>
      </c>
      <c r="AT616" s="0" t="n">
        <f aca="false">-AR616*AH616+AG616*AQ616</f>
        <v>-999.247297534032</v>
      </c>
      <c r="AU616" s="0" t="n">
        <f aca="false">AQ616*AH616+AG616*AR616</f>
        <v>-131.349515267909</v>
      </c>
      <c r="AV616" s="0" t="n">
        <f aca="false">ATAN2(AT616,AU616)</f>
        <v>-3.01089352946557</v>
      </c>
      <c r="AW616" s="0" t="n">
        <f aca="false">AG616-AH616*AO616/_Rfb2+AG616*AN616/_Rfb2+AN616-AO616*AR616+AQ616*AN616</f>
        <v>108.531279410555</v>
      </c>
      <c r="AX616" s="0" t="n">
        <f aca="false">AH616+AH616*AN616/_Rfb2+AG616*AO616/_Rfb2+AO616+AO616*AQ616+AN616*AR616</f>
        <v>-555.002676393249</v>
      </c>
      <c r="AY616" s="0" t="n">
        <f aca="false">ATAN2(AW616,AX616)</f>
        <v>-1.37768237355965</v>
      </c>
      <c r="BA616" s="0" t="n">
        <f aca="false">SQRT(AT616^2+AU616^2)/SQRT(AW616^2+AX616^2)</f>
        <v>1.78216934127069</v>
      </c>
      <c r="BB616" s="0" t="n">
        <f aca="false">20*LOG(BA616)</f>
        <v>5.01897936422189</v>
      </c>
      <c r="BC616" s="0" t="n">
        <f aca="false">AV616-AY616</f>
        <v>-1.63321115590592</v>
      </c>
      <c r="BD616" s="0" t="n">
        <f aca="false">BC616*180/Pi-180</f>
        <v>-273.576106394018</v>
      </c>
      <c r="BF616" s="0" t="n">
        <f aca="false">20*LOG(BA616*J616*F616*C616)</f>
        <v>-46.4100213782112</v>
      </c>
      <c r="BG616" s="0" t="n">
        <f aca="false">(180/Pi)*(D616+H616+BC616)</f>
        <v>-272.055504982781</v>
      </c>
      <c r="BH616" s="0" t="n">
        <f aca="false">IF(BG616&gt;180,BG616-180,BG616+180)</f>
        <v>-92.0555049827806</v>
      </c>
      <c r="BI616" s="0" t="n">
        <f aca="false">IF(BH616&gt;180,BH616-360,BH616)</f>
        <v>-92.0555049827806</v>
      </c>
      <c r="BJ616" s="0" t="n">
        <f aca="false">SUM((BF617&lt;0)*(BF616&gt;0))*A616</f>
        <v>0</v>
      </c>
      <c r="BK616" s="0" t="n">
        <f aca="false">IF(BJ616&gt;0,BI616,0)</f>
        <v>0</v>
      </c>
      <c r="BM616" s="0" t="n">
        <f aca="false">20*LOG(J616*F616*C616)</f>
        <v>-51.429000742433</v>
      </c>
      <c r="BN616" s="0" t="n">
        <f aca="false">(H616+D616)*180/Pi</f>
        <v>-178.479398588763</v>
      </c>
      <c r="BQ616" s="347" t="n">
        <f aca="false">20*LOG(BA616*7)</f>
        <v>21.920940164507</v>
      </c>
    </row>
    <row r="617" customFormat="false" ht="12.75" hidden="false" customHeight="false" outlineLevel="0" collapsed="false">
      <c r="A617" s="0" t="n">
        <f aca="false">A616+250000</f>
        <v>2750000</v>
      </c>
      <c r="B617" s="0" t="n">
        <f aca="false">A617/1000</f>
        <v>2750</v>
      </c>
      <c r="C617" s="0" t="n">
        <f aca="false">SQRT((A617/Fesr)^2+1)</f>
        <v>1.00014926662596</v>
      </c>
      <c r="D617" s="0" t="n">
        <f aca="false">ATAN(A617/Fesr)</f>
        <v>0.0172770403265425</v>
      </c>
      <c r="F617" s="0" t="n">
        <f aca="false">(Ro/(Ro+Rdcr))/SQRT((A617/(Q*Fo))^2+(1-(A617^2/Fo^2))^2)</f>
        <v>0.000246291996477028</v>
      </c>
      <c r="G617" s="0" t="n">
        <f aca="false">-ATAN(A617*Fo/(Q*(Fo^2-A617^2)))</f>
        <v>0.00984758059618559</v>
      </c>
      <c r="H617" s="0" t="n">
        <f aca="false">IF(G617&gt;0,G617-Pi,G617)</f>
        <v>-3.13174506940381</v>
      </c>
      <c r="J617" s="0" t="n">
        <f aca="false">Vin/Vramp</f>
        <v>9</v>
      </c>
      <c r="M617" s="0" t="n">
        <f aca="false">1/(2*Pi*_Rfb1*(Cc1ea_u+Cc2ea_u)*A617)</f>
        <v>0.00214350091951187</v>
      </c>
      <c r="N617" s="0" t="n">
        <f aca="false">-Pi/2</f>
        <v>-1.570796325</v>
      </c>
      <c r="O617" s="0" t="n">
        <f aca="false">SQRT(1+(A617/Fz1_u)^2)</f>
        <v>67.1872595268905</v>
      </c>
      <c r="P617" s="0" t="n">
        <f aca="false">ATAN2(Fz1_u,A617)</f>
        <v>1.5559120030132</v>
      </c>
      <c r="Q617" s="0" t="n">
        <f aca="false">SQRT(1+(A617/Fz2_u)^2)</f>
        <v>76230.2932694675</v>
      </c>
      <c r="R617" s="0" t="n">
        <f aca="false">ATAN2(Fz2_u,A617)</f>
        <v>1.57078320865043</v>
      </c>
      <c r="S617" s="0" t="n">
        <f aca="false">1/SQRT(1+(A617/Fp1_u)^2)</f>
        <v>0.00490788906037407</v>
      </c>
      <c r="T617" s="0" t="n">
        <f aca="false">-ATAN2(Fp1_u,A617)</f>
        <v>-1.56588841803128</v>
      </c>
      <c r="U617" s="0" t="n">
        <f aca="false">1/SQRT(1+(A617/Fp2_u)^2)</f>
        <v>0.132782539773511</v>
      </c>
      <c r="V617" s="0" t="n">
        <f aca="false">-ATAN2(Fp2_u,A617)</f>
        <v>-1.43762047240284</v>
      </c>
      <c r="X617" s="0" t="n">
        <f aca="false">20*LOG(C617*J617*O617*Q617*F617*M617*S617*U617)</f>
        <v>-35.9933694021944</v>
      </c>
      <c r="Y617" s="0" t="n">
        <f aca="false">(180/Pi)*(D617+H617+N617+P617+R617+T617+V617)</f>
        <v>-261.387817390201</v>
      </c>
      <c r="Z617" s="0" t="n">
        <f aca="false">Y617+180</f>
        <v>-81.3878173902014</v>
      </c>
      <c r="AC617" s="0" t="n">
        <v>1</v>
      </c>
      <c r="AD617" s="0" t="n">
        <f aca="false">Rcea1_u*Cc1ea_u*A617*2*Pi</f>
        <v>67.1798172276</v>
      </c>
      <c r="AE617" s="0" t="n">
        <f aca="false">-Rcea1_u*Cc1ea_u*Cc2ea_u*(A617*2*Pi)^2</f>
        <v>-0.174117586525222</v>
      </c>
      <c r="AF617" s="0" t="n">
        <f aca="false">(Cc2ea_u+Cc1ea_u)*A617*2*Pi</f>
        <v>0.02332632542625</v>
      </c>
      <c r="AG617" s="0" t="n">
        <f aca="false">AC617*AE617/(AE617^2+AF617^2)+AD617*AF617/(AE617^2+AF617^2)</f>
        <v>45.1358793438822</v>
      </c>
      <c r="AH617" s="0" t="n">
        <f aca="false">AD617*AE617/(AE617^2+AF617^2)-AC617*AF617/(AE617^2+AF617^2)</f>
        <v>-379.78336558235</v>
      </c>
      <c r="AJ617" s="0" t="n">
        <f aca="false">_Rfb1</f>
        <v>20000</v>
      </c>
      <c r="AK617" s="0" t="n">
        <f aca="false">_Rfb1*Rcea2_u*Cc3ea_u*A617*2*Pi</f>
        <v>4075022.658168</v>
      </c>
      <c r="AL617" s="0" t="n">
        <v>1</v>
      </c>
      <c r="AM617" s="0" t="n">
        <f aca="false">(_Rfb1+Rcea2_u)*Cc3ea_u*A617*2*Pi</f>
        <v>76230.2932629084</v>
      </c>
      <c r="AN617" s="0" t="n">
        <f aca="false">AJ617*AL617/(AL617^2+AM617^2)+AK617*AM617/(AL617^2+AM617^2)</f>
        <v>53.4567393801754</v>
      </c>
      <c r="AO617" s="0" t="n">
        <f aca="false">AK617*AL617/(AL617^2+AM617^2)-AJ617*AM617/(AL617^2+AM617^2)</f>
        <v>-0.261661636166436</v>
      </c>
      <c r="AQ617" s="0" t="n">
        <f aca="false">Eadcg/(1+(Eadcg*A617/GBP)^2)</f>
        <v>0.00150548017458595</v>
      </c>
      <c r="AR617" s="0" t="n">
        <f aca="false">-(A617*Eadcg*Eadcg/GBP)/(1+(Eadcg*A617/GBP)^2)</f>
        <v>-2.18181714301868</v>
      </c>
      <c r="AT617" s="0" t="n">
        <f aca="false">-AR617*AH617+AG617*AQ617</f>
        <v>-828.549906489388</v>
      </c>
      <c r="AU617" s="0" t="n">
        <f aca="false">AQ617*AH617+AG617*AR617</f>
        <v>-99.0499916452267</v>
      </c>
      <c r="AV617" s="0" t="n">
        <f aca="false">ATAN2(AT617,AU617)</f>
        <v>-3.02261111101374</v>
      </c>
      <c r="AW617" s="0" t="n">
        <f aca="false">AG617-AH617*AO617/_Rfb2+AG617*AN617/_Rfb2+AN617-AO617*AR617+AQ617*AN617</f>
        <v>99.1432479328135</v>
      </c>
      <c r="AX617" s="0" t="n">
        <f aca="false">AH617+AH617*AN617/_Rfb2+AG617*AO617/_Rfb2+AO617+AO617*AQ617+AN617*AR617</f>
        <v>-505.819457359776</v>
      </c>
      <c r="AY617" s="0" t="n">
        <f aca="false">ATAN2(AW617,AX617)</f>
        <v>-1.3772448473468</v>
      </c>
      <c r="BA617" s="0" t="n">
        <f aca="false">SQRT(AT617^2+AU617^2)/SQRT(AW617^2+AX617^2)</f>
        <v>1.61889386636278</v>
      </c>
      <c r="BB617" s="0" t="n">
        <f aca="false">20*LOG(BA617)</f>
        <v>4.18436755241304</v>
      </c>
      <c r="BC617" s="0" t="n">
        <f aca="false">AV617-AY617</f>
        <v>-1.64536626366694</v>
      </c>
      <c r="BD617" s="0" t="n">
        <f aca="false">BC617*180/Pi-180</f>
        <v>-274.272542769047</v>
      </c>
      <c r="BF617" s="0" t="n">
        <f aca="false">20*LOG(BA617*J617*F617*C617)</f>
        <v>-48.9004798580595</v>
      </c>
      <c r="BG617" s="0" t="n">
        <f aca="false">(180/Pi)*(D617+H617+BC617)</f>
        <v>-272.718416467507</v>
      </c>
      <c r="BH617" s="0" t="n">
        <f aca="false">IF(BG617&gt;180,BG617-180,BG617+180)</f>
        <v>-92.7184164675066</v>
      </c>
      <c r="BI617" s="0" t="n">
        <f aca="false">IF(BH617&gt;180,BH617-360,BH617)</f>
        <v>-92.7184164675066</v>
      </c>
      <c r="BJ617" s="0" t="n">
        <f aca="false">SUM((BF618&lt;0)*(BF617&gt;0))*A617</f>
        <v>0</v>
      </c>
      <c r="BK617" s="0" t="n">
        <f aca="false">IF(BJ617&gt;0,BI617,0)</f>
        <v>0</v>
      </c>
      <c r="BM617" s="0" t="n">
        <f aca="false">20*LOG(J617*F617*C617)</f>
        <v>-53.0848474104726</v>
      </c>
      <c r="BN617" s="0" t="n">
        <f aca="false">(H617+D617)*180/Pi</f>
        <v>-178.44587369846</v>
      </c>
      <c r="BQ617" s="347" t="n">
        <f aca="false">20*LOG(BA617*7)</f>
        <v>21.0863283526982</v>
      </c>
    </row>
    <row r="618" customFormat="false" ht="12.75" hidden="false" customHeight="false" outlineLevel="0" collapsed="false">
      <c r="A618" s="0" t="n">
        <f aca="false">A617+250000</f>
        <v>3000000</v>
      </c>
      <c r="B618" s="0" t="n">
        <f aca="false">A618/1000</f>
        <v>3000</v>
      </c>
      <c r="C618" s="0" t="n">
        <f aca="false">SQRT((A618/Fesr)^2+1)</f>
        <v>1.00017763710134</v>
      </c>
      <c r="D618" s="0" t="n">
        <f aca="false">ATAN(A618/Fesr)</f>
        <v>0.0188473239238877</v>
      </c>
      <c r="F618" s="0" t="n">
        <f aca="false">(Ro/(Ro+Rdcr))/SQRT((A618/(Q*Fo))^2+(1-(A618^2/Fo^2))^2)</f>
        <v>0.000206947091108268</v>
      </c>
      <c r="G618" s="0" t="n">
        <f aca="false">-ATAN(A618*Fo/(Q*(Fo^2-A618^2)))</f>
        <v>0.00902663767233393</v>
      </c>
      <c r="H618" s="0" t="n">
        <f aca="false">IF(G618&gt;0,G618-Pi,G618)</f>
        <v>-3.13256601232767</v>
      </c>
      <c r="J618" s="0" t="n">
        <f aca="false">Vin/Vramp</f>
        <v>9</v>
      </c>
      <c r="M618" s="0" t="n">
        <f aca="false">1/(2*Pi*_Rfb1*(Cc1ea_u+Cc2ea_u)*A618)</f>
        <v>0.00196487584288588</v>
      </c>
      <c r="N618" s="0" t="n">
        <f aca="false">-Pi/2</f>
        <v>-1.570796325</v>
      </c>
      <c r="O618" s="0" t="n">
        <f aca="false">SQRT(1+(A618/Fz1_u)^2)</f>
        <v>73.2938955072336</v>
      </c>
      <c r="P618" s="0" t="n">
        <f aca="false">ATAN2(Fz1_u,A618)</f>
        <v>1.55715220239989</v>
      </c>
      <c r="Q618" s="0" t="n">
        <f aca="false">SQRT(1+(A618/Fz2_u)^2)</f>
        <v>83160.3199291853</v>
      </c>
      <c r="R618" s="0" t="n">
        <f aca="false">ATAN2(Fz2_u,A618)</f>
        <v>1.57078430182913</v>
      </c>
      <c r="S618" s="0" t="n">
        <f aca="false">1/SQRT(1+(A618/Fp1_u)^2)</f>
        <v>0.004498906959649</v>
      </c>
      <c r="T618" s="0" t="n">
        <f aca="false">-ATAN2(Fp1_u,A618)</f>
        <v>-1.56629740465867</v>
      </c>
      <c r="U618" s="0" t="n">
        <f aca="false">1/SQRT(1+(A618/Fp2_u)^2)</f>
        <v>0.121889074725657</v>
      </c>
      <c r="V618" s="0" t="n">
        <f aca="false">-ATAN2(Fp2_u,A618)</f>
        <v>-1.44860339963175</v>
      </c>
      <c r="X618" s="0" t="n">
        <f aca="false">20*LOG(C618*J618*O618*Q618*F618*M618*S618*U618)</f>
        <v>-38.2486032583333</v>
      </c>
      <c r="Y618" s="0" t="n">
        <f aca="false">(180/Pi)*(D618+H618+N618+P618+R618+T618+V618)</f>
        <v>-261.926471092213</v>
      </c>
      <c r="Z618" s="0" t="n">
        <f aca="false">Y618+180</f>
        <v>-81.9264710922126</v>
      </c>
      <c r="AC618" s="0" t="n">
        <v>1</v>
      </c>
      <c r="AD618" s="0" t="n">
        <f aca="false">Rcea1_u*Cc1ea_u*A618*2*Pi</f>
        <v>73.2870733392</v>
      </c>
      <c r="AE618" s="0" t="n">
        <f aca="false">-Rcea1_u*Cc1ea_u*Cc2ea_u*(A618*2*Pi)^2</f>
        <v>-0.207214317848198</v>
      </c>
      <c r="AF618" s="0" t="n">
        <f aca="false">(Cc2ea_u+Cc1ea_u)*A618*2*Pi</f>
        <v>0.025446900465</v>
      </c>
      <c r="AG618" s="0" t="n">
        <f aca="false">AC618*AE618/(AE618^2+AF618^2)+AD618*AF618/(AE618^2+AF618^2)</f>
        <v>38.0337831359405</v>
      </c>
      <c r="AH618" s="0" t="n">
        <f aca="false">AD618*AE618/(AE618^2+AF618^2)-AC618*AF618/(AE618^2+AF618^2)</f>
        <v>-349.006922863373</v>
      </c>
      <c r="AJ618" s="0" t="n">
        <f aca="false">_Rfb1</f>
        <v>20000</v>
      </c>
      <c r="AK618" s="0" t="n">
        <f aca="false">_Rfb1*Rcea2_u*Cc3ea_u*A618*2*Pi</f>
        <v>4445479.263456</v>
      </c>
      <c r="AL618" s="0" t="n">
        <v>1</v>
      </c>
      <c r="AM618" s="0" t="n">
        <f aca="false">(_Rfb1+Rcea2_u)*Cc3ea_u*A618*2*Pi</f>
        <v>83160.3199231728</v>
      </c>
      <c r="AN618" s="0" t="n">
        <f aca="false">AJ618*AL618/(AL618^2+AM618^2)+AK618*AM618/(AL618^2+AM618^2)</f>
        <v>53.4567388319265</v>
      </c>
      <c r="AO618" s="0" t="n">
        <f aca="false">AK618*AL618/(AL618^2+AM618^2)-AJ618*AM618/(AL618^2+AM618^2)</f>
        <v>-0.239856499825825</v>
      </c>
      <c r="AQ618" s="0" t="n">
        <f aca="false">Eadcg/(1+(Eadcg*A618/GBP)^2)</f>
        <v>0.00126502163178989</v>
      </c>
      <c r="AR618" s="0" t="n">
        <f aca="false">-(A618*Eadcg*Eadcg/GBP)/(1+(Eadcg*A618/GBP)^2)</f>
        <v>-1.99999919985982</v>
      </c>
      <c r="AT618" s="0" t="n">
        <f aca="false">-AR618*AH618+AG618*AQ618</f>
        <v>-697.965452913877</v>
      </c>
      <c r="AU618" s="0" t="n">
        <f aca="false">AQ618*AH618+AG618*AR618</f>
        <v>-76.5090371465893</v>
      </c>
      <c r="AV618" s="0" t="n">
        <f aca="false">ATAN2(AT618,AU618)</f>
        <v>-3.03241133983706</v>
      </c>
      <c r="AW618" s="0" t="n">
        <f aca="false">AG618-AH618*AO618/_Rfb2+AG618*AN618/_Rfb2+AN618-AO618*AR618+AQ618*AN618</f>
        <v>91.9556857859513</v>
      </c>
      <c r="AX618" s="0" t="n">
        <f aca="false">AH618+AH618*AN618/_Rfb2+AG618*AO618/_Rfb2+AO618+AO618*AQ618+AN618*AR618</f>
        <v>-464.560170237091</v>
      </c>
      <c r="AY618" s="0" t="n">
        <f aca="false">ATAN2(AW618,AX618)</f>
        <v>-1.37538098109248</v>
      </c>
      <c r="BA618" s="0" t="n">
        <f aca="false">SQRT(AT618^2+AU618^2)/SQRT(AW618^2+AX618^2)</f>
        <v>1.48265489160244</v>
      </c>
      <c r="BB618" s="0" t="n">
        <f aca="false">20*LOG(BA618)</f>
        <v>3.42080149508509</v>
      </c>
      <c r="BC618" s="0" t="n">
        <f aca="false">AV618-AY618</f>
        <v>-1.65703035874458</v>
      </c>
      <c r="BD618" s="0" t="n">
        <f aca="false">BC618*180/Pi-180</f>
        <v>-274.940846189599</v>
      </c>
      <c r="BF618" s="0" t="n">
        <f aca="false">20*LOG(BA618*J618*F618*C618)</f>
        <v>-51.1756189919891</v>
      </c>
      <c r="BG618" s="0" t="n">
        <f aca="false">(180/Pi)*(D618+H618+BC618)</f>
        <v>-273.343785830001</v>
      </c>
      <c r="BH618" s="0" t="n">
        <f aca="false">IF(BG618&gt;180,BG618-180,BG618+180)</f>
        <v>-93.3437858300006</v>
      </c>
      <c r="BI618" s="0" t="n">
        <f aca="false">IF(BH618&gt;180,BH618-360,BH618)</f>
        <v>-93.3437858300006</v>
      </c>
      <c r="BJ618" s="0" t="n">
        <f aca="false">SUM((BF619&lt;0)*(BF618&gt;0))*A618</f>
        <v>0</v>
      </c>
      <c r="BK618" s="0" t="n">
        <f aca="false">IF(BJ618&gt;0,BI618,0)</f>
        <v>0</v>
      </c>
      <c r="BM618" s="0" t="n">
        <f aca="false">20*LOG(J618*F618*C618)</f>
        <v>-54.5964204870742</v>
      </c>
      <c r="BN618" s="0" t="n">
        <f aca="false">(H618+D618)*180/Pi</f>
        <v>-178.402939640402</v>
      </c>
      <c r="BQ618" s="347" t="n">
        <f aca="false">20*LOG(BA618*7)</f>
        <v>20.3227622953702</v>
      </c>
    </row>
    <row r="619" customFormat="false" ht="12.75" hidden="false" customHeight="false" outlineLevel="0" collapsed="false">
      <c r="A619" s="0" t="n">
        <f aca="false">A618+250000</f>
        <v>3250000</v>
      </c>
      <c r="B619" s="0" t="n">
        <f aca="false">A619/1000</f>
        <v>3250</v>
      </c>
      <c r="C619" s="0" t="n">
        <f aca="false">SQRT((A619/Fesr)^2+1)</f>
        <v>1.00020847366186</v>
      </c>
      <c r="D619" s="0" t="n">
        <f aca="false">ATAN(A619/Fesr)</f>
        <v>0.0204175145686974</v>
      </c>
      <c r="F619" s="0" t="n">
        <f aca="false">(Ro/(Ro+Rdcr))/SQRT((A619/(Q*Fo))^2+(1-(A619^2/Fo^2))^2)</f>
        <v>0.00017632923948704</v>
      </c>
      <c r="G619" s="0" t="n">
        <f aca="false">-ATAN(A619*Fo/(Q*(Fo^2-A619^2)))</f>
        <v>0.00833205737748511</v>
      </c>
      <c r="H619" s="0" t="n">
        <f aca="false">IF(G619&gt;0,G619-Pi,G619)</f>
        <v>-3.13326059262251</v>
      </c>
      <c r="J619" s="0" t="n">
        <f aca="false">Vin/Vramp</f>
        <v>9</v>
      </c>
      <c r="M619" s="0" t="n">
        <f aca="false">1/(2*Pi*_Rfb1*(Cc1ea_u+Cc2ea_u)*A619)</f>
        <v>0.00181373154727927</v>
      </c>
      <c r="N619" s="0" t="n">
        <f aca="false">-Pi/2</f>
        <v>-1.570796325</v>
      </c>
      <c r="O619" s="0" t="n">
        <f aca="false">SQRT(1+(A619/Fz1_u)^2)</f>
        <v>79.4006268800327</v>
      </c>
      <c r="P619" s="0" t="n">
        <f aca="false">ATAN2(Fz1_u,A619)</f>
        <v>1.55820163481959</v>
      </c>
      <c r="Q619" s="0" t="n">
        <f aca="false">SQRT(1+(A619/Fz2_u)^2)</f>
        <v>90090.3465889872</v>
      </c>
      <c r="R619" s="0" t="n">
        <f aca="false">ATAN2(Fz2_u,A619)</f>
        <v>1.5707852268265</v>
      </c>
      <c r="S619" s="0" t="n">
        <f aca="false">1/SQRT(1+(A619/Fp1_u)^2)</f>
        <v>0.00415284341055573</v>
      </c>
      <c r="T619" s="0" t="n">
        <f aca="false">-ATAN2(Fp1_u,A619)</f>
        <v>-1.56664347144752</v>
      </c>
      <c r="U619" s="0" t="n">
        <f aca="false">1/SQRT(1+(A619/Fp2_u)^2)</f>
        <v>0.112636835243151</v>
      </c>
      <c r="V619" s="0" t="n">
        <f aca="false">-ATAN2(Fp2_u,A619)</f>
        <v>-1.45791994977813</v>
      </c>
      <c r="X619" s="0" t="n">
        <f aca="false">20*LOG(C619*J619*O619*Q619*F619*M619*S619*U619)</f>
        <v>-40.324828708166</v>
      </c>
      <c r="Y619" s="0" t="n">
        <f aca="false">(180/Pi)*(D619+H619+N619+P619+R619+T619+V619)</f>
        <v>-262.36974843763</v>
      </c>
      <c r="Z619" s="0" t="n">
        <f aca="false">Y619+180</f>
        <v>-82.36974843763</v>
      </c>
      <c r="AC619" s="0" t="n">
        <v>1</v>
      </c>
      <c r="AD619" s="0" t="n">
        <f aca="false">Rcea1_u*Cc1ea_u*A619*2*Pi</f>
        <v>79.3943294508</v>
      </c>
      <c r="AE619" s="0" t="n">
        <f aca="false">-Rcea1_u*Cc1ea_u*Cc2ea_u*(A619*2*Pi)^2</f>
        <v>-0.243189025807954</v>
      </c>
      <c r="AF619" s="0" t="n">
        <f aca="false">(Cc2ea_u+Cc1ea_u)*A619*2*Pi</f>
        <v>0.02756747550375</v>
      </c>
      <c r="AG619" s="0" t="n">
        <f aca="false">AC619*AE619/(AE619^2+AF619^2)+AD619*AF619/(AE619^2+AF619^2)</f>
        <v>32.4788650331972</v>
      </c>
      <c r="AH619" s="0" t="n">
        <f aca="false">AD619*AE619/(AE619^2+AF619^2)-AC619*AF619/(AE619^2+AF619^2)</f>
        <v>-322.789932127111</v>
      </c>
      <c r="AJ619" s="0" t="n">
        <f aca="false">_Rfb1</f>
        <v>20000</v>
      </c>
      <c r="AK619" s="0" t="n">
        <f aca="false">_Rfb1*Rcea2_u*Cc3ea_u*A619*2*Pi</f>
        <v>4815935.868744</v>
      </c>
      <c r="AL619" s="0" t="n">
        <v>1</v>
      </c>
      <c r="AM619" s="0" t="n">
        <f aca="false">(_Rfb1+Rcea2_u)*Cc3ea_u*A619*2*Pi</f>
        <v>90090.3465834372</v>
      </c>
      <c r="AN619" s="0" t="n">
        <f aca="false">AJ619*AL619/(AL619^2+AM619^2)+AK619*AM619/(AL619^2+AM619^2)</f>
        <v>53.4567384052599</v>
      </c>
      <c r="AO619" s="0" t="n">
        <f aca="false">AK619*AL619/(AL619^2+AM619^2)-AJ619*AM619/(AL619^2+AM619^2)</f>
        <v>-0.221405999843959</v>
      </c>
      <c r="AQ619" s="0" t="n">
        <f aca="false">Eadcg/(1+(Eadcg*A619/GBP)^2)</f>
        <v>0.00107788831809773</v>
      </c>
      <c r="AR619" s="0" t="n">
        <f aca="false">-(A619*Eadcg*Eadcg/GBP)/(1+(Eadcg*A619/GBP)^2)</f>
        <v>-1.84615321682188</v>
      </c>
      <c r="AT619" s="0" t="n">
        <f aca="false">-AR619*AH619+AG619*AQ619</f>
        <v>-595.884662964979</v>
      </c>
      <c r="AU619" s="0" t="n">
        <f aca="false">AQ619*AH619+AG619*AR619</f>
        <v>-60.3088926568003</v>
      </c>
      <c r="AV619" s="0" t="n">
        <f aca="false">ATAN2(AT619,AU619)</f>
        <v>-3.04072711224334</v>
      </c>
      <c r="AW619" s="0" t="n">
        <f aca="false">AG619-AH619*AO619/_Rfb2+AG619*AN619/_Rfb2+AN619-AO619*AR619+AQ619*AN619</f>
        <v>86.3336103873249</v>
      </c>
      <c r="AX619" s="0" t="n">
        <f aca="false">AH619+AH619*AN619/_Rfb2+AG619*AO619/_Rfb2+AO619+AO619*AQ619+AN619*AR619</f>
        <v>-429.469025935293</v>
      </c>
      <c r="AY619" s="0" t="n">
        <f aca="false">ATAN2(AW619,AX619)</f>
        <v>-1.37241628101539</v>
      </c>
      <c r="BA619" s="0" t="n">
        <f aca="false">SQRT(AT619^2+AU619^2)/SQRT(AW619^2+AX619^2)</f>
        <v>1.36722799333745</v>
      </c>
      <c r="BB619" s="0" t="n">
        <f aca="false">20*LOG(BA619)</f>
        <v>2.71681883549887</v>
      </c>
      <c r="BC619" s="0" t="n">
        <f aca="false">AV619-AY619</f>
        <v>-1.66831083122795</v>
      </c>
      <c r="BD619" s="0" t="n">
        <f aca="false">BC619*180/Pi-180</f>
        <v>-275.587169654548</v>
      </c>
      <c r="BF619" s="0" t="n">
        <f aca="false">20*LOG(BA619*J619*F619*C619)</f>
        <v>-53.2700336973766</v>
      </c>
      <c r="BG619" s="0" t="n">
        <f aca="false">(180/Pi)*(D619+H619+BC619)</f>
        <v>-273.939940517342</v>
      </c>
      <c r="BH619" s="0" t="n">
        <f aca="false">IF(BG619&gt;180,BG619-180,BG619+180)</f>
        <v>-93.9399405173419</v>
      </c>
      <c r="BI619" s="0" t="n">
        <f aca="false">IF(BH619&gt;180,BH619-360,BH619)</f>
        <v>-93.9399405173419</v>
      </c>
      <c r="BJ619" s="0" t="n">
        <f aca="false">SUM((BF620&lt;0)*(BF619&gt;0))*A619</f>
        <v>0</v>
      </c>
      <c r="BK619" s="0" t="n">
        <f aca="false">IF(BJ619&gt;0,BI619,0)</f>
        <v>0</v>
      </c>
      <c r="BM619" s="0" t="n">
        <f aca="false">20*LOG(J619*F619*C619)</f>
        <v>-55.9868525328754</v>
      </c>
      <c r="BN619" s="0" t="n">
        <f aca="false">(H619+D619)*180/Pi</f>
        <v>-178.352770862794</v>
      </c>
      <c r="BQ619" s="347" t="n">
        <f aca="false">20*LOG(BA619*7)</f>
        <v>19.618779635784</v>
      </c>
    </row>
    <row r="620" customFormat="false" ht="12.75" hidden="false" customHeight="false" outlineLevel="0" collapsed="false">
      <c r="A620" s="0" t="n">
        <f aca="false">A619+250000</f>
        <v>3500000</v>
      </c>
      <c r="B620" s="0" t="n">
        <f aca="false">A620/1000</f>
        <v>3500</v>
      </c>
      <c r="C620" s="0" t="n">
        <f aca="false">SQRT((A620/Fesr)^2+1)</f>
        <v>1.00024177607944</v>
      </c>
      <c r="D620" s="0" t="n">
        <f aca="false">ATAN(A620/Fesr)</f>
        <v>0.0219876045273444</v>
      </c>
      <c r="F620" s="0" t="n">
        <f aca="false">(Ro/(Ro+Rdcr))/SQRT((A620/(Q*Fo))^2+(1-(A620^2/Fo^2))^2)</f>
        <v>0.00015203599288591</v>
      </c>
      <c r="G620" s="0" t="n">
        <f aca="false">-ATAN(A620*Fo/(Q*(Fo^2-A620^2)))</f>
        <v>0.00773674571797109</v>
      </c>
      <c r="H620" s="0" t="n">
        <f aca="false">IF(G620&gt;0,G620-Pi,G620)</f>
        <v>-3.13385590428203</v>
      </c>
      <c r="J620" s="0" t="n">
        <f aca="false">Vin/Vramp</f>
        <v>9</v>
      </c>
      <c r="M620" s="0" t="n">
        <f aca="false">1/(2*Pi*_Rfb1*(Cc1ea_u+Cc2ea_u)*A620)</f>
        <v>0.00168417929390218</v>
      </c>
      <c r="N620" s="0" t="n">
        <f aca="false">-Pi/2</f>
        <v>-1.570796325</v>
      </c>
      <c r="O620" s="0" t="n">
        <f aca="false">SQRT(1+(A620/Fz1_u)^2)</f>
        <v>85.5074332072038</v>
      </c>
      <c r="P620" s="0" t="n">
        <f aca="false">ATAN2(Fz1_u,A620)</f>
        <v>1.5591011704913</v>
      </c>
      <c r="Q620" s="0" t="n">
        <f aca="false">SQRT(1+(A620/Fz2_u)^2)</f>
        <v>97020.3732488552</v>
      </c>
      <c r="R620" s="0" t="n">
        <f aca="false">ATAN2(Fz2_u,A620)</f>
        <v>1.57078601968139</v>
      </c>
      <c r="S620" s="0" t="n">
        <f aca="false">1/SQRT(1+(A620/Fp1_u)^2)</f>
        <v>0.00385621631905846</v>
      </c>
      <c r="T620" s="0" t="n">
        <f aca="false">-ATAN2(Fp1_u,A620)</f>
        <v>-1.56694010091853</v>
      </c>
      <c r="U620" s="0" t="n">
        <f aca="false">1/SQRT(1+(A620/Fp2_u)^2)</f>
        <v>0.104682864491629</v>
      </c>
      <c r="V620" s="0" t="n">
        <f aca="false">-ATAN2(Fp2_u,A620)</f>
        <v>-1.46592131869884</v>
      </c>
      <c r="X620" s="0" t="n">
        <f aca="false">20*LOG(C620*J620*O620*Q620*F620*M620*S620*U620)</f>
        <v>-42.2482793181341</v>
      </c>
      <c r="Y620" s="0" t="n">
        <f aca="false">(180/Pi)*(D620+H620+N620+P620+R620+T620+V620)</f>
        <v>-262.737753017052</v>
      </c>
      <c r="Z620" s="0" t="n">
        <f aca="false">Y620+180</f>
        <v>-82.7377530170518</v>
      </c>
      <c r="AC620" s="0" t="n">
        <v>1</v>
      </c>
      <c r="AD620" s="0" t="n">
        <f aca="false">Rcea1_u*Cc1ea_u*A620*2*Pi</f>
        <v>85.5015855624</v>
      </c>
      <c r="AE620" s="0" t="n">
        <f aca="false">-Rcea1_u*Cc1ea_u*Cc2ea_u*(A620*2*Pi)^2</f>
        <v>-0.282041710404491</v>
      </c>
      <c r="AF620" s="0" t="n">
        <f aca="false">(Cc2ea_u+Cc1ea_u)*A620*2*Pi</f>
        <v>0.0296880505425</v>
      </c>
      <c r="AG620" s="0" t="n">
        <f aca="false">AC620*AE620/(AE620^2+AF620^2)+AD620*AF620/(AE620^2+AF620^2)</f>
        <v>28.0537654225225</v>
      </c>
      <c r="AH620" s="0" t="n">
        <f aca="false">AD620*AE620/(AE620^2+AF620^2)-AC620*AF620/(AE620^2+AF620^2)</f>
        <v>-300.199299724856</v>
      </c>
      <c r="AJ620" s="0" t="n">
        <f aca="false">_Rfb1</f>
        <v>20000</v>
      </c>
      <c r="AK620" s="0" t="n">
        <f aca="false">_Rfb1*Rcea2_u*Cc3ea_u*A620*2*Pi</f>
        <v>5186392.474032</v>
      </c>
      <c r="AL620" s="0" t="n">
        <v>1</v>
      </c>
      <c r="AM620" s="0" t="n">
        <f aca="false">(_Rfb1+Rcea2_u)*Cc3ea_u*A620*2*Pi</f>
        <v>97020.3732437016</v>
      </c>
      <c r="AN620" s="0" t="n">
        <f aca="false">AJ620*AL620/(AL620^2+AM620^2)+AK620*AM620/(AL620^2+AM620^2)</f>
        <v>53.456738066713</v>
      </c>
      <c r="AO620" s="0" t="n">
        <f aca="false">AK620*AL620/(AL620^2+AM620^2)-AJ620*AM620/(AL620^2+AM620^2)</f>
        <v>-0.20559128557288</v>
      </c>
      <c r="AQ620" s="0" t="n">
        <f aca="false">Eadcg/(1+(Eadcg*A620/GBP)^2)</f>
        <v>0.000929403746493518</v>
      </c>
      <c r="AR620" s="0" t="n">
        <f aca="false">-(A620*Eadcg*Eadcg/GBP)/(1+(Eadcg*A620/GBP)^2)</f>
        <v>-1.71428521040729</v>
      </c>
      <c r="AT620" s="0" t="n">
        <f aca="false">-AR620*AH620+AG620*AQ620</f>
        <v>-514.601146418259</v>
      </c>
      <c r="AU620" s="0" t="n">
        <f aca="false">AQ620*AH620+AG620*AR620</f>
        <v>-48.3711615139249</v>
      </c>
      <c r="AV620" s="0" t="n">
        <f aca="false">ATAN2(AT620,AU620)</f>
        <v>-3.04787064950564</v>
      </c>
      <c r="AW620" s="0" t="n">
        <f aca="false">AG620-AH620*AO620/_Rfb2+AG620*AN620/_Rfb2+AN620-AO620*AR620+AQ620*AN620</f>
        <v>81.8548192751321</v>
      </c>
      <c r="AX620" s="0" t="n">
        <f aca="false">AH620+AH620*AN620/_Rfb2+AG620*AO620/_Rfb2+AO620+AO620*AQ620+AN620*AR620</f>
        <v>-399.269226876427</v>
      </c>
      <c r="AY620" s="0" t="n">
        <f aca="false">ATAN2(AW620,AX620)</f>
        <v>-1.36858660679843</v>
      </c>
      <c r="BA620" s="0" t="n">
        <f aca="false">SQRT(AT620^2+AU620^2)/SQRT(AW620^2+AX620^2)</f>
        <v>1.26816286216939</v>
      </c>
      <c r="BB620" s="0" t="n">
        <f aca="false">20*LOG(BA620)</f>
        <v>2.06350061664884</v>
      </c>
      <c r="BC620" s="0" t="n">
        <f aca="false">AV620-AY620</f>
        <v>-1.67928404270721</v>
      </c>
      <c r="BD620" s="0" t="n">
        <f aca="false">BC620*180/Pi-180</f>
        <v>-276.215888360733</v>
      </c>
      <c r="BF620" s="0" t="n">
        <f aca="false">20*LOG(BA620*J620*F620*C620)</f>
        <v>-55.2106211147739</v>
      </c>
      <c r="BG620" s="0" t="n">
        <f aca="false">(180/Pi)*(D620+H620+BC620)</f>
        <v>-274.512808540961</v>
      </c>
      <c r="BH620" s="0" t="n">
        <f aca="false">IF(BG620&gt;180,BG620-180,BG620+180)</f>
        <v>-94.5128085409614</v>
      </c>
      <c r="BI620" s="0" t="n">
        <f aca="false">IF(BH620&gt;180,BH620-360,BH620)</f>
        <v>-94.5128085409614</v>
      </c>
      <c r="BJ620" s="0" t="n">
        <f aca="false">SUM((BF621&lt;0)*(BF620&gt;0))*A620</f>
        <v>0</v>
      </c>
      <c r="BK620" s="0" t="n">
        <f aca="false">IF(BJ620&gt;0,BI620,0)</f>
        <v>0</v>
      </c>
      <c r="BM620" s="0" t="n">
        <f aca="false">20*LOG(J620*F620*C620)</f>
        <v>-57.2741217314227</v>
      </c>
      <c r="BN620" s="0" t="n">
        <f aca="false">(H620+D620)*180/Pi</f>
        <v>-178.296920180229</v>
      </c>
      <c r="BQ620" s="347" t="n">
        <f aca="false">20*LOG(BA620*7)</f>
        <v>18.965461416934</v>
      </c>
    </row>
    <row r="621" customFormat="false" ht="12.75" hidden="false" customHeight="false" outlineLevel="0" collapsed="false">
      <c r="A621" s="0" t="n">
        <f aca="false">A620+250000</f>
        <v>3750000</v>
      </c>
      <c r="B621" s="0" t="n">
        <f aca="false">A621/1000</f>
        <v>3750</v>
      </c>
      <c r="C621" s="0" t="n">
        <f aca="false">SQRT((A621/Fesr)^2+1)</f>
        <v>1.00027754410778</v>
      </c>
      <c r="D621" s="0" t="n">
        <f aca="false">ATAN(A621/Fesr)</f>
        <v>0.0235575860691792</v>
      </c>
      <c r="F621" s="0" t="n">
        <f aca="false">(Ro/(Ro+Rdcr))/SQRT((A621/(Q*Fo))^2+(1-(A621^2/Fo^2))^2)</f>
        <v>0.000132438138502253</v>
      </c>
      <c r="G621" s="0" t="n">
        <f aca="false">-ATAN(A621*Fo/(Q*(Fo^2-A621^2)))</f>
        <v>0.00722083865769233</v>
      </c>
      <c r="H621" s="0" t="n">
        <f aca="false">IF(G621&gt;0,G621-Pi,G621)</f>
        <v>-3.13437181134231</v>
      </c>
      <c r="J621" s="0" t="n">
        <f aca="false">Vin/Vramp</f>
        <v>9</v>
      </c>
      <c r="M621" s="0" t="n">
        <f aca="false">1/(2*Pi*_Rfb1*(Cc1ea_u+Cc2ea_u)*A621)</f>
        <v>0.0015719006743087</v>
      </c>
      <c r="N621" s="0" t="n">
        <f aca="false">-Pi/2</f>
        <v>-1.570796325</v>
      </c>
      <c r="O621" s="0" t="n">
        <f aca="false">SQRT(1+(A621/Fz1_u)^2)</f>
        <v>91.6142994998707</v>
      </c>
      <c r="P621" s="0" t="n">
        <f aca="false">ATAN2(Fz1_u,A621)</f>
        <v>1.55988078343631</v>
      </c>
      <c r="Q621" s="0" t="n">
        <f aca="false">SQRT(1+(A621/Fz2_u)^2)</f>
        <v>103950.399908776</v>
      </c>
      <c r="R621" s="0" t="n">
        <f aca="false">ATAN2(Fz2_u,A621)</f>
        <v>1.57078670682229</v>
      </c>
      <c r="S621" s="0" t="n">
        <f aca="false">1/SQRT(1+(A621/Fp1_u)^2)</f>
        <v>0.00359913868023126</v>
      </c>
      <c r="T621" s="0" t="n">
        <f aca="false">-ATAN2(Fp1_u,A621)</f>
        <v>-1.5671971803442</v>
      </c>
      <c r="U621" s="0" t="n">
        <f aca="false">1/SQRT(1+(A621/Fp2_u)^2)</f>
        <v>0.097773080032457</v>
      </c>
      <c r="V621" s="0" t="n">
        <f aca="false">-ATAN2(Fp2_u,A621)</f>
        <v>-1.47286679461146</v>
      </c>
      <c r="X621" s="0" t="n">
        <f aca="false">20*LOG(C621*J621*O621*Q621*F621*M621*S621*U621)</f>
        <v>-44.0398299225917</v>
      </c>
      <c r="Y621" s="0" t="n">
        <f aca="false">(180/Pi)*(D621+H621+N621+P621+R621+T621+V621)</f>
        <v>-263.045327119235</v>
      </c>
      <c r="Z621" s="0" t="n">
        <f aca="false">Y621+180</f>
        <v>-83.0453271192352</v>
      </c>
      <c r="AC621" s="0" t="n">
        <v>1</v>
      </c>
      <c r="AD621" s="0" t="n">
        <f aca="false">Rcea1_u*Cc1ea_u*A621*2*Pi</f>
        <v>91.608841674</v>
      </c>
      <c r="AE621" s="0" t="n">
        <f aca="false">-Rcea1_u*Cc1ea_u*Cc2ea_u*(A621*2*Pi)^2</f>
        <v>-0.323772371637809</v>
      </c>
      <c r="AF621" s="0" t="n">
        <f aca="false">(Cc2ea_u+Cc1ea_u)*A621*2*Pi</f>
        <v>0.03180862558125</v>
      </c>
      <c r="AG621" s="0" t="n">
        <f aca="false">AC621*AE621/(AE621^2+AF621^2)+AD621*AF621/(AE621^2+AF621^2)</f>
        <v>24.4725124583251</v>
      </c>
      <c r="AH621" s="0" t="n">
        <f aca="false">AD621*AE621/(AE621^2+AF621^2)-AC621*AF621/(AE621^2+AF621^2)</f>
        <v>-280.537848948363</v>
      </c>
      <c r="AJ621" s="0" t="n">
        <f aca="false">_Rfb1</f>
        <v>20000</v>
      </c>
      <c r="AK621" s="0" t="n">
        <f aca="false">_Rfb1*Rcea2_u*Cc3ea_u*A621*2*Pi</f>
        <v>5556849.07932</v>
      </c>
      <c r="AL621" s="0" t="n">
        <v>1</v>
      </c>
      <c r="AM621" s="0" t="n">
        <f aca="false">(_Rfb1+Rcea2_u)*Cc3ea_u*A621*2*Pi</f>
        <v>103950.399903966</v>
      </c>
      <c r="AN621" s="0" t="n">
        <f aca="false">AJ621*AL621/(AL621^2+AM621^2)+AK621*AM621/(AL621^2+AM621^2)</f>
        <v>53.4567377935906</v>
      </c>
      <c r="AO621" s="0" t="n">
        <f aca="false">AK621*AL621/(AL621^2+AM621^2)-AJ621*AM621/(AL621^2+AM621^2)</f>
        <v>-0.191885199870649</v>
      </c>
      <c r="AQ621" s="0" t="n">
        <f aca="false">Eadcg/(1+(Eadcg*A621/GBP)^2)</f>
        <v>0.000809613960950369</v>
      </c>
      <c r="AR621" s="0" t="n">
        <f aca="false">-(A621*Eadcg*Eadcg/GBP)/(1+(Eadcg*A621/GBP)^2)</f>
        <v>-1.59999959032817</v>
      </c>
      <c r="AT621" s="0" t="n">
        <f aca="false">-AR621*AH621+AG621*AQ621</f>
        <v>-448.840630101179</v>
      </c>
      <c r="AU621" s="0" t="n">
        <f aca="false">AQ621*AH621+AG621*AR621</f>
        <v>-39.3831372667047</v>
      </c>
      <c r="AV621" s="0" t="n">
        <f aca="false">ATAN2(AT621,AU621)</f>
        <v>-3.05407265595298</v>
      </c>
      <c r="AW621" s="0" t="n">
        <f aca="false">AG621-AH621*AO621/_Rfb2+AG621*AN621/_Rfb2+AN621-AO621*AR621+AQ621*AN621</f>
        <v>78.2299886611455</v>
      </c>
      <c r="AX621" s="0" t="n">
        <f aca="false">AH621+AH621*AN621/_Rfb2+AG621*AO621/_Rfb2+AO621+AO621*AQ621+AN621*AR621</f>
        <v>-373.011248436605</v>
      </c>
      <c r="AY621" s="0" t="n">
        <f aca="false">ATAN2(AW621,AX621)</f>
        <v>-1.3640670065159</v>
      </c>
      <c r="BA621" s="0" t="n">
        <f aca="false">SQRT(AT621^2+AU621^2)/SQRT(AW621^2+AX621^2)</f>
        <v>1.1821935002704</v>
      </c>
      <c r="BB621" s="0" t="n">
        <f aca="false">20*LOG(BA621)</f>
        <v>1.45377134514896</v>
      </c>
      <c r="BC621" s="0" t="n">
        <f aca="false">AV621-AY621</f>
        <v>-1.69000564943708</v>
      </c>
      <c r="BD621" s="0" t="n">
        <f aca="false">BC621*180/Pi-180</f>
        <v>-276.830191176655</v>
      </c>
      <c r="BF621" s="0" t="n">
        <f aca="false">20*LOG(BA621*J621*F621*C621)</f>
        <v>-57.018706726001</v>
      </c>
      <c r="BG621" s="0" t="n">
        <f aca="false">(180/Pi)*(D621+H621+BC621)</f>
        <v>-275.066717337729</v>
      </c>
      <c r="BH621" s="0" t="n">
        <f aca="false">IF(BG621&gt;180,BG621-180,BG621+180)</f>
        <v>-95.0667173377291</v>
      </c>
      <c r="BI621" s="0" t="n">
        <f aca="false">IF(BH621&gt;180,BH621-360,BH621)</f>
        <v>-95.0667173377291</v>
      </c>
      <c r="BJ621" s="0" t="n">
        <f aca="false">SUM((BF622&lt;0)*(BF621&gt;0))*A621</f>
        <v>0</v>
      </c>
      <c r="BK621" s="0" t="n">
        <f aca="false">IF(BJ621&gt;0,BI621,0)</f>
        <v>0</v>
      </c>
      <c r="BM621" s="0" t="n">
        <f aca="false">20*LOG(J621*F621*C621)</f>
        <v>-58.47247807115</v>
      </c>
      <c r="BN621" s="0" t="n">
        <f aca="false">(H621+D621)*180/Pi</f>
        <v>-178.236526161074</v>
      </c>
      <c r="BQ621" s="347" t="n">
        <f aca="false">20*LOG(BA621*7)</f>
        <v>18.3557321454341</v>
      </c>
    </row>
    <row r="622" customFormat="false" ht="12.75" hidden="false" customHeight="false" outlineLevel="0" collapsed="false">
      <c r="A622" s="0" t="n">
        <f aca="false">A621+250000</f>
        <v>4000000</v>
      </c>
      <c r="B622" s="0" t="n">
        <f aca="false">A622/1000</f>
        <v>4000</v>
      </c>
      <c r="C622" s="0" t="n">
        <f aca="false">SQRT((A622/Fesr)^2+1)</f>
        <v>1.0003157774824</v>
      </c>
      <c r="D622" s="0" t="n">
        <f aca="false">ATAN(A622/Fesr)</f>
        <v>0.0251274514667575</v>
      </c>
      <c r="F622" s="0" t="n">
        <f aca="false">(Ro/(Ro+Rdcr))/SQRT((A622/(Q*Fo))^2+(1-(A622^2/Fo^2))^2)</f>
        <v>0.000116399194113483</v>
      </c>
      <c r="G622" s="0" t="n">
        <f aca="false">-ATAN(A622*Fo/(Q*(Fo^2-A622^2)))</f>
        <v>0.00676944109246811</v>
      </c>
      <c r="H622" s="0" t="n">
        <f aca="false">IF(G622&gt;0,G622-Pi,G622)</f>
        <v>-3.13482320890753</v>
      </c>
      <c r="J622" s="0" t="n">
        <f aca="false">Vin/Vramp</f>
        <v>9</v>
      </c>
      <c r="M622" s="0" t="n">
        <f aca="false">1/(2*Pi*_Rfb1*(Cc1ea_u+Cc2ea_u)*A622)</f>
        <v>0.00147365688216441</v>
      </c>
      <c r="N622" s="0" t="n">
        <f aca="false">-Pi/2</f>
        <v>-1.570796325</v>
      </c>
      <c r="O622" s="0" t="n">
        <f aca="false">SQRT(1+(A622/Fz1_u)^2)</f>
        <v>97.72121451581</v>
      </c>
      <c r="P622" s="0" t="n">
        <f aca="false">ATAN2(Fz1_u,A622)</f>
        <v>1.5605629556808</v>
      </c>
      <c r="Q622" s="0" t="n">
        <f aca="false">SQRT(1+(A622/Fz2_u)^2)</f>
        <v>110880.42656874</v>
      </c>
      <c r="R622" s="0" t="n">
        <f aca="false">ATAN2(Fz2_u,A622)</f>
        <v>1.57078730807057</v>
      </c>
      <c r="S622" s="0" t="n">
        <f aca="false">1/SQRT(1+(A622/Fp1_u)^2)</f>
        <v>0.00337419515913981</v>
      </c>
      <c r="T622" s="0" t="n">
        <f aca="false">-ATAN2(Fp1_u,A622)</f>
        <v>-1.56742212523308</v>
      </c>
      <c r="U622" s="0" t="n">
        <f aca="false">1/SQRT(1+(A622/Fp2_u)^2)</f>
        <v>0.0917153629747308</v>
      </c>
      <c r="V622" s="0" t="n">
        <f aca="false">-ATAN2(Fp2_u,A622)</f>
        <v>-1.47895189418513</v>
      </c>
      <c r="X622" s="0" t="n">
        <f aca="false">20*LOG(C622*J622*O622*Q622*F622*M622*S622*U622)</f>
        <v>-45.7163598098422</v>
      </c>
      <c r="Y622" s="0" t="n">
        <f aca="false">(180/Pi)*(D622+H622+N622+P622+R622+T622+V622)</f>
        <v>-263.30366250996</v>
      </c>
      <c r="Z622" s="0" t="n">
        <f aca="false">Y622+180</f>
        <v>-83.3036625099596</v>
      </c>
      <c r="AC622" s="0" t="n">
        <v>1</v>
      </c>
      <c r="AD622" s="0" t="n">
        <f aca="false">Rcea1_u*Cc1ea_u*A622*2*Pi</f>
        <v>97.7160977856</v>
      </c>
      <c r="AE622" s="0" t="n">
        <f aca="false">-Rcea1_u*Cc1ea_u*Cc2ea_u*(A622*2*Pi)^2</f>
        <v>-0.368381009507907</v>
      </c>
      <c r="AF622" s="0" t="n">
        <f aca="false">(Cc2ea_u+Cc1ea_u)*A622*2*Pi</f>
        <v>0.03392920062</v>
      </c>
      <c r="AG622" s="0" t="n">
        <f aca="false">AC622*AE622/(AE622^2+AF622^2)+AD622*AF622/(AE622^2+AF622^2)</f>
        <v>21.5339719823018</v>
      </c>
      <c r="AH622" s="0" t="n">
        <f aca="false">AD622*AE622/(AE622^2+AF622^2)-AC622*AF622/(AE622^2+AF622^2)</f>
        <v>-263.274883413841</v>
      </c>
      <c r="AJ622" s="0" t="n">
        <f aca="false">_Rfb1</f>
        <v>20000</v>
      </c>
      <c r="AK622" s="0" t="n">
        <f aca="false">_Rfb1*Rcea2_u*Cc3ea_u*A622*2*Pi</f>
        <v>5927305.684608</v>
      </c>
      <c r="AL622" s="0" t="n">
        <v>1</v>
      </c>
      <c r="AM622" s="0" t="n">
        <f aca="false">(_Rfb1+Rcea2_u)*Cc3ea_u*A622*2*Pi</f>
        <v>110880.42656423</v>
      </c>
      <c r="AN622" s="0" t="n">
        <f aca="false">AJ622*AL622/(AL622^2+AM622^2)+AK622*AM622/(AL622^2+AM622^2)</f>
        <v>53.45673757006</v>
      </c>
      <c r="AO622" s="0" t="n">
        <f aca="false">AK622*AL622/(AL622^2+AM622^2)-AJ622*AM622/(AL622^2+AM622^2)</f>
        <v>-0.179892374880749</v>
      </c>
      <c r="AQ622" s="0" t="n">
        <f aca="false">Eadcg/(1+(Eadcg*A622/GBP)^2)</f>
        <v>0.000711574792429222</v>
      </c>
      <c r="AR622" s="0" t="n">
        <f aca="false">-(A622*Eadcg*Eadcg/GBP)/(1+(Eadcg*A622/GBP)^2)</f>
        <v>-1.4999996624408</v>
      </c>
      <c r="AT622" s="0" t="n">
        <f aca="false">-AR622*AH622+AG622*AQ622</f>
        <v>-394.896913218258</v>
      </c>
      <c r="AU622" s="0" t="n">
        <f aca="false">AQ622*AH622+AG622*AR622</f>
        <v>-32.4882904749793</v>
      </c>
      <c r="AV622" s="0" t="n">
        <f aca="false">ATAN2(AT622,AU622)</f>
        <v>-3.059507208828</v>
      </c>
      <c r="AW622" s="0" t="n">
        <f aca="false">AG622-AH622*AO622/_Rfb2+AG622*AN622/_Rfb2+AN622-AO622*AR622+AQ622*AN622</f>
        <v>75.2556081529892</v>
      </c>
      <c r="AX622" s="0" t="n">
        <f aca="false">AH622+AH622*AN622/_Rfb2+AG622*AO622/_Rfb2+AO622+AO622*AQ622+AN622*AR622</f>
        <v>-349.974952672838</v>
      </c>
      <c r="AY622" s="0" t="n">
        <f aca="false">ATAN2(AW622,AX622)</f>
        <v>-1.35899014306615</v>
      </c>
      <c r="BA622" s="0" t="n">
        <f aca="false">SQRT(AT622^2+AU622^2)/SQRT(AW622^2+AX622^2)</f>
        <v>1.10686897296809</v>
      </c>
      <c r="BB622" s="0" t="n">
        <f aca="false">20*LOG(BA622)</f>
        <v>0.881924275119771</v>
      </c>
      <c r="BC622" s="0" t="n">
        <f aca="false">AV622-AY622</f>
        <v>-1.70051706576185</v>
      </c>
      <c r="BD622" s="0" t="n">
        <f aca="false">BC622*180/Pi-180</f>
        <v>-277.432450969457</v>
      </c>
      <c r="BF622" s="0" t="n">
        <f aca="false">20*LOG(BA622*J622*F622*C622)</f>
        <v>-58.7114836907237</v>
      </c>
      <c r="BG622" s="0" t="n">
        <f aca="false">(180/Pi)*(D622+H622+BC622)</f>
        <v>-275.604893644143</v>
      </c>
      <c r="BH622" s="0" t="n">
        <f aca="false">IF(BG622&gt;180,BG622-180,BG622+180)</f>
        <v>-95.6048936441433</v>
      </c>
      <c r="BI622" s="0" t="n">
        <f aca="false">IF(BH622&gt;180,BH622-360,BH622)</f>
        <v>-95.6048936441433</v>
      </c>
      <c r="BJ622" s="0" t="n">
        <f aca="false">SUM((BF623&lt;0)*(BF622&gt;0))*A622</f>
        <v>0</v>
      </c>
      <c r="BK622" s="0" t="n">
        <f aca="false">IF(BJ622&gt;0,BI622,0)</f>
        <v>0</v>
      </c>
      <c r="BM622" s="0" t="n">
        <f aca="false">20*LOG(J622*F622*C622)</f>
        <v>-59.5934079658434</v>
      </c>
      <c r="BN622" s="0" t="n">
        <f aca="false">(H622+D622)*180/Pi</f>
        <v>-178.172442674686</v>
      </c>
      <c r="BQ622" s="347" t="n">
        <f aca="false">20*LOG(BA622*7)</f>
        <v>17.7838850754049</v>
      </c>
    </row>
    <row r="623" customFormat="false" ht="12.75" hidden="false" customHeight="false" outlineLevel="0" collapsed="false">
      <c r="A623" s="0" t="n">
        <f aca="false">A622+250000</f>
        <v>4250000</v>
      </c>
      <c r="B623" s="0" t="n">
        <f aca="false">A623/1000</f>
        <v>4250</v>
      </c>
      <c r="C623" s="0" t="n">
        <f aca="false">SQRT((A623/Fesr)^2+1)</f>
        <v>1.00035647592063</v>
      </c>
      <c r="D623" s="0" t="n">
        <f aca="false">ATAN(A623/Fesr)</f>
        <v>0.0266971929960684</v>
      </c>
      <c r="F623" s="0" t="n">
        <f aca="false">(Ro/(Ro+Rdcr))/SQRT((A623/(Q*Fo))^2+(1-(A623^2/Fo^2))^2)</f>
        <v>0.000103106825512075</v>
      </c>
      <c r="G623" s="0" t="n">
        <f aca="false">-ATAN(A623*Fo/(Q*(Fo^2-A623^2)))</f>
        <v>0.00637116445827867</v>
      </c>
      <c r="H623" s="0" t="n">
        <f aca="false">IF(G623&gt;0,G623-Pi,G623)</f>
        <v>-3.13522148554172</v>
      </c>
      <c r="J623" s="0" t="n">
        <f aca="false">Vin/Vramp</f>
        <v>9</v>
      </c>
      <c r="M623" s="0" t="n">
        <f aca="false">1/(2*Pi*_Rfb1*(Cc1ea_u+Cc2ea_u)*A623)</f>
        <v>0.00138697118321356</v>
      </c>
      <c r="N623" s="0" t="n">
        <f aca="false">-Pi/2</f>
        <v>-1.570796325</v>
      </c>
      <c r="O623" s="0" t="n">
        <f aca="false">SQRT(1+(A623/Fz1_u)^2)</f>
        <v>103.828169657676</v>
      </c>
      <c r="P623" s="0" t="n">
        <f aca="false">ATAN2(Fz1_u,A623)</f>
        <v>1.56116488029769</v>
      </c>
      <c r="Q623" s="0" t="n">
        <f aca="false">SQRT(1+(A623/Fz2_u)^2)</f>
        <v>117810.453228739</v>
      </c>
      <c r="R623" s="0" t="n">
        <f aca="false">ATAN2(Fz2_u,A623)</f>
        <v>1.57078783858377</v>
      </c>
      <c r="S623" s="0" t="n">
        <f aca="false">1/SQRT(1+(A623/Fp1_u)^2)</f>
        <v>0.0031757151552331</v>
      </c>
      <c r="T623" s="0" t="n">
        <f aca="false">-ATAN2(Fp1_u,A623)</f>
        <v>-1.5676206063017</v>
      </c>
      <c r="U623" s="0" t="n">
        <f aca="false">1/SQRT(1+(A623/Fp2_u)^2)</f>
        <v>0.0863618271324751</v>
      </c>
      <c r="V623" s="0" t="n">
        <f aca="false">-ATAN2(Fp2_u,A623)</f>
        <v>-1.48432678474214</v>
      </c>
      <c r="X623" s="0" t="n">
        <f aca="false">20*LOG(C623*J623*O623*Q623*F623*M623*S623*U623)</f>
        <v>-47.2917092075985</v>
      </c>
      <c r="Y623" s="0" t="n">
        <f aca="false">(180/Pi)*(D623+H623+N623+P623+R623+T623+V623)</f>
        <v>-263.521355051377</v>
      </c>
      <c r="Z623" s="0" t="n">
        <f aca="false">Y623+180</f>
        <v>-83.521355051377</v>
      </c>
      <c r="AC623" s="0" t="n">
        <v>1</v>
      </c>
      <c r="AD623" s="0" t="n">
        <f aca="false">Rcea1_u*Cc1ea_u*A623*2*Pi</f>
        <v>103.8233538972</v>
      </c>
      <c r="AE623" s="0" t="n">
        <f aca="false">-Rcea1_u*Cc1ea_u*Cc2ea_u*(A623*2*Pi)^2</f>
        <v>-0.415867624014785</v>
      </c>
      <c r="AF623" s="0" t="n">
        <f aca="false">(Cc2ea_u+Cc1ea_u)*A623*2*Pi</f>
        <v>0.03604977565875</v>
      </c>
      <c r="AG623" s="0" t="n">
        <f aca="false">AC623*AE623/(AE623^2+AF623^2)+AD623*AF623/(AE623^2+AF623^2)</f>
        <v>19.0934148752884</v>
      </c>
      <c r="AH623" s="0" t="n">
        <f aca="false">AD623*AE623/(AE623^2+AF623^2)-AC623*AF623/(AE623^2+AF623^2)</f>
        <v>-247.999686964618</v>
      </c>
      <c r="AJ623" s="0" t="n">
        <f aca="false">_Rfb1</f>
        <v>20000</v>
      </c>
      <c r="AK623" s="0" t="n">
        <f aca="false">_Rfb1*Rcea2_u*Cc3ea_u*A623*2*Pi</f>
        <v>6297762.289896</v>
      </c>
      <c r="AL623" s="0" t="n">
        <v>1</v>
      </c>
      <c r="AM623" s="0" t="n">
        <f aca="false">(_Rfb1+Rcea2_u)*Cc3ea_u*A623*2*Pi</f>
        <v>117810.453224495</v>
      </c>
      <c r="AN623" s="0" t="n">
        <f aca="false">AJ623*AL623/(AL623^2+AM623^2)+AK623*AM623/(AL623^2+AM623^2)</f>
        <v>53.4567373848033</v>
      </c>
      <c r="AO623" s="0" t="n">
        <f aca="false">AK623*AL623/(AL623^2+AM623^2)-AJ623*AM623/(AL623^2+AM623^2)</f>
        <v>-0.169310470477572</v>
      </c>
      <c r="AQ623" s="0" t="n">
        <f aca="false">Eadcg/(1+(Eadcg*A623/GBP)^2)</f>
        <v>0.000630322323677665</v>
      </c>
      <c r="AR623" s="0" t="n">
        <f aca="false">-(A623*Eadcg*Eadcg/GBP)/(1+(Eadcg*A623/GBP)^2)</f>
        <v>-1.41176442445705</v>
      </c>
      <c r="AT623" s="0" t="n">
        <f aca="false">-AR623*AH623+AG623*AQ623</f>
        <v>-350.105100327502</v>
      </c>
      <c r="AU623" s="0" t="n">
        <f aca="false">AQ623*AH623+AG623*AR623</f>
        <v>-27.11172360129</v>
      </c>
      <c r="AV623" s="0" t="n">
        <f aca="false">ATAN2(AT623,AU623)</f>
        <v>-3.0643080796623</v>
      </c>
      <c r="AW623" s="0" t="n">
        <f aca="false">AG623-AH623*AO623/_Rfb2+AG623*AN623/_Rfb2+AN623-AO623*AR623+AQ623*AN623</f>
        <v>72.7852279605981</v>
      </c>
      <c r="AX623" s="0" t="n">
        <f aca="false">AH623+AH623*AN623/_Rfb2+AG623*AO623/_Rfb2+AO623+AO623*AQ623+AN623*AR623</f>
        <v>-329.60464332636</v>
      </c>
      <c r="AY623" s="0" t="n">
        <f aca="false">ATAN2(AW623,AX623)</f>
        <v>-1.35345842727741</v>
      </c>
      <c r="BA623" s="0" t="n">
        <f aca="false">SQRT(AT623^2+AU623^2)/SQRT(AW623^2+AX623^2)</f>
        <v>1.04031416422139</v>
      </c>
      <c r="BB623" s="0" t="n">
        <f aca="false">20*LOG(BA623)</f>
        <v>0.343290231821323</v>
      </c>
      <c r="BC623" s="0" t="n">
        <f aca="false">AV623-AY623</f>
        <v>-1.71084965238489</v>
      </c>
      <c r="BD623" s="0" t="n">
        <f aca="false">BC623*180/Pi-180</f>
        <v>-278.024464575088</v>
      </c>
      <c r="BF623" s="0" t="n">
        <f aca="false">20*LOG(BA623*J623*F623*C623)</f>
        <v>-60.3030155034985</v>
      </c>
      <c r="BG623" s="0" t="n">
        <f aca="false">(180/Pi)*(D623+H623+BC623)</f>
        <v>-276.129787255358</v>
      </c>
      <c r="BH623" s="0" t="n">
        <f aca="false">IF(BG623&gt;180,BG623-180,BG623+180)</f>
        <v>-96.1297872553585</v>
      </c>
      <c r="BI623" s="0" t="n">
        <f aca="false">IF(BH623&gt;180,BH623-360,BH623)</f>
        <v>-96.1297872553585</v>
      </c>
      <c r="BJ623" s="0" t="n">
        <f aca="false">SUM((BF624&lt;0)*(BF623&gt;0))*A623</f>
        <v>0</v>
      </c>
      <c r="BK623" s="0" t="n">
        <f aca="false">IF(BJ623&gt;0,BI623,0)</f>
        <v>0</v>
      </c>
      <c r="BM623" s="0" t="n">
        <f aca="false">20*LOG(J623*F623*C623)</f>
        <v>-60.6463057353198</v>
      </c>
      <c r="BN623" s="0" t="n">
        <f aca="false">(H623+D623)*180/Pi</f>
        <v>-178.105322680271</v>
      </c>
      <c r="BQ623" s="347" t="n">
        <f aca="false">20*LOG(BA623*7)</f>
        <v>17.2452510321065</v>
      </c>
    </row>
    <row r="624" customFormat="false" ht="12.75" hidden="false" customHeight="false" outlineLevel="0" collapsed="false">
      <c r="A624" s="0" t="n">
        <f aca="false">A623+250000</f>
        <v>4500000</v>
      </c>
      <c r="B624" s="0" t="n">
        <f aca="false">A624/1000</f>
        <v>4500</v>
      </c>
      <c r="C624" s="0" t="n">
        <f aca="false">SQRT((A624/Fesr)^2+1)</f>
        <v>1.00039963912162</v>
      </c>
      <c r="D624" s="0" t="n">
        <f aca="false">ATAN(A624/Fesr)</f>
        <v>0.0282668029367613</v>
      </c>
      <c r="F624" s="0" t="n">
        <f aca="false">(Ro/(Ro+Rdcr))/SQRT((A624/(Q*Fo))^2+(1-(A624^2/Fo^2))^2)</f>
        <v>9.19679119602879E-005</v>
      </c>
      <c r="G624" s="0" t="n">
        <f aca="false">-ATAN(A624*Fo/(Q*(Fo^2-A624^2)))</f>
        <v>0.00601715213902426</v>
      </c>
      <c r="H624" s="0" t="n">
        <f aca="false">IF(G624&gt;0,G624-Pi,G624)</f>
        <v>-3.13557549786098</v>
      </c>
      <c r="J624" s="0" t="n">
        <f aca="false">Vin/Vramp</f>
        <v>9</v>
      </c>
      <c r="M624" s="0" t="n">
        <f aca="false">1/(2*Pi*_Rfb1*(Cc1ea_u+Cc2ea_u)*A624)</f>
        <v>0.00130991722859059</v>
      </c>
      <c r="N624" s="0" t="n">
        <f aca="false">-Pi/2</f>
        <v>-1.570796325</v>
      </c>
      <c r="O624" s="0" t="n">
        <f aca="false">SQRT(1+(A624/Fz1_u)^2)</f>
        <v>109.935158238422</v>
      </c>
      <c r="P624" s="0" t="n">
        <f aca="false">ATAN2(Fz1_u,A624)</f>
        <v>1.56169993027448</v>
      </c>
      <c r="Q624" s="0" t="n">
        <f aca="false">SQRT(1+(A624/Fz2_u)^2)</f>
        <v>124740.479888768</v>
      </c>
      <c r="R624" s="0" t="n">
        <f aca="false">ATAN2(Fz2_u,A624)</f>
        <v>1.57078831015105</v>
      </c>
      <c r="S624" s="0" t="n">
        <f aca="false">1/SQRT(1+(A624/Fp1_u)^2)</f>
        <v>0.00299928816928116</v>
      </c>
      <c r="T624" s="0" t="n">
        <f aca="false">-ATAN2(Fp1_u,A624)</f>
        <v>-1.5677970341288</v>
      </c>
      <c r="U624" s="0" t="n">
        <f aca="false">1/SQRT(1+(A624/Fp2_u)^2)</f>
        <v>0.0815968252459365</v>
      </c>
      <c r="V624" s="0" t="n">
        <f aca="false">-ATAN2(Fp2_u,A624)</f>
        <v>-1.48910868333604</v>
      </c>
      <c r="X624" s="0" t="n">
        <f aca="false">20*LOG(C624*J624*O624*Q624*F624*M624*S624*U624)</f>
        <v>-48.7773662231837</v>
      </c>
      <c r="Y624" s="0" t="n">
        <f aca="false">(180/Pi)*(D624+H624+N624+P624+R624+T624+V624)</f>
        <v>-263.70511449135</v>
      </c>
      <c r="Z624" s="0" t="n">
        <f aca="false">Y624+180</f>
        <v>-83.70511449135</v>
      </c>
      <c r="AC624" s="0" t="n">
        <v>1</v>
      </c>
      <c r="AD624" s="0" t="n">
        <f aca="false">Rcea1_u*Cc1ea_u*A624*2*Pi</f>
        <v>109.9306100088</v>
      </c>
      <c r="AE624" s="0" t="n">
        <f aca="false">-Rcea1_u*Cc1ea_u*Cc2ea_u*(A624*2*Pi)^2</f>
        <v>-0.466232215158444</v>
      </c>
      <c r="AF624" s="0" t="n">
        <f aca="false">(Cc2ea_u+Cc1ea_u)*A624*2*Pi</f>
        <v>0.0381703506975</v>
      </c>
      <c r="AG624" s="0" t="n">
        <f aca="false">AC624*AE624/(AE624^2+AF624^2)+AD624*AF624/(AE624^2+AF624^2)</f>
        <v>17.0445872389527</v>
      </c>
      <c r="AH624" s="0" t="n">
        <f aca="false">AD624*AE624/(AE624^2+AF624^2)-AC624*AF624/(AE624^2+AF624^2)</f>
        <v>-234.389663741398</v>
      </c>
      <c r="AJ624" s="0" t="n">
        <f aca="false">_Rfb1</f>
        <v>20000</v>
      </c>
      <c r="AK624" s="0" t="n">
        <f aca="false">_Rfb1*Rcea2_u*Cc3ea_u*A624*2*Pi</f>
        <v>6668218.895184</v>
      </c>
      <c r="AL624" s="0" t="n">
        <v>1</v>
      </c>
      <c r="AM624" s="0" t="n">
        <f aca="false">(_Rfb1+Rcea2_u)*Cc3ea_u*A624*2*Pi</f>
        <v>124740.479884759</v>
      </c>
      <c r="AN624" s="0" t="n">
        <f aca="false">AJ624*AL624/(AL624^2+AM624^2)+AK624*AM624/(AL624^2+AM624^2)</f>
        <v>53.4567372295564</v>
      </c>
      <c r="AO624" s="0" t="n">
        <f aca="false">AK624*AL624/(AL624^2+AM624^2)-AJ624*AM624/(AL624^2+AM624^2)</f>
        <v>-0.159904333230063</v>
      </c>
      <c r="AQ624" s="0" t="n">
        <f aca="false">Eadcg/(1+(Eadcg*A624/GBP)^2)</f>
        <v>0.000562231961313391</v>
      </c>
      <c r="AR624" s="0" t="n">
        <f aca="false">-(A624*Eadcg*Eadcg/GBP)/(1+(Eadcg*A624/GBP)^2)</f>
        <v>-1.33333309625471</v>
      </c>
      <c r="AT624" s="0" t="n">
        <f aca="false">-AR624*AH624+AG624*AQ624</f>
        <v>-312.509913074705</v>
      </c>
      <c r="AU624" s="0" t="n">
        <f aca="false">AQ624*AH624+AG624*AR624</f>
        <v>-22.8578936380532</v>
      </c>
      <c r="AV624" s="0" t="n">
        <f aca="false">ATAN2(AT624,AU624)</f>
        <v>-3.06857973263038</v>
      </c>
      <c r="AW624" s="0" t="n">
        <f aca="false">AG624-AH624*AO624/_Rfb2+AG624*AN624/_Rfb2+AN624-AO624*AR624+AQ624*AN624</f>
        <v>70.7113244592419</v>
      </c>
      <c r="AX624" s="0" t="n">
        <f aca="false">AH624+AH624*AN624/_Rfb2+AG624*AO624/_Rfb2+AO624+AO624*AQ624+AN624*AR624</f>
        <v>-311.464889419201</v>
      </c>
      <c r="AY624" s="0" t="n">
        <f aca="false">ATAN2(AW624,AX624)</f>
        <v>-1.34755222067749</v>
      </c>
      <c r="BA624" s="0" t="n">
        <f aca="false">SQRT(AT624^2+AU624^2)/SQRT(AW624^2+AX624^2)</f>
        <v>0.981070108610737</v>
      </c>
      <c r="BB624" s="0" t="n">
        <f aca="false">20*LOG(BA624)</f>
        <v>-0.165999124677671</v>
      </c>
      <c r="BC624" s="0" t="n">
        <f aca="false">AV624-AY624</f>
        <v>-1.72102751195289</v>
      </c>
      <c r="BD624" s="0" t="n">
        <f aca="false">BC624*180/Pi-180</f>
        <v>-278.607612973477</v>
      </c>
      <c r="BF624" s="0" t="n">
        <f aca="false">20*LOG(BA624*J624*F624*C624)</f>
        <v>-61.8049518805443</v>
      </c>
      <c r="BG624" s="0" t="n">
        <f aca="false">(180/Pi)*(D624+H624+BC624)</f>
        <v>-276.643287040374</v>
      </c>
      <c r="BH624" s="0" t="n">
        <f aca="false">IF(BG624&gt;180,BG624-180,BG624+180)</f>
        <v>-96.6432870403741</v>
      </c>
      <c r="BI624" s="0" t="n">
        <f aca="false">IF(BH624&gt;180,BH624-360,BH624)</f>
        <v>-96.6432870403741</v>
      </c>
      <c r="BJ624" s="0" t="n">
        <f aca="false">SUM((BF625&lt;0)*(BF624&gt;0))*A624</f>
        <v>0</v>
      </c>
      <c r="BK624" s="0" t="n">
        <f aca="false">IF(BJ624&gt;0,BI624,0)</f>
        <v>0</v>
      </c>
      <c r="BM624" s="0" t="n">
        <f aca="false">20*LOG(J624*F624*C624)</f>
        <v>-61.6389527558667</v>
      </c>
      <c r="BN624" s="0" t="n">
        <f aca="false">(H624+D624)*180/Pi</f>
        <v>-178.035674066897</v>
      </c>
      <c r="BQ624" s="347" t="n">
        <f aca="false">20*LOG(BA624*7)</f>
        <v>16.7359616756075</v>
      </c>
    </row>
    <row r="625" customFormat="false" ht="12.75" hidden="false" customHeight="false" outlineLevel="0" collapsed="false">
      <c r="A625" s="0" t="n">
        <f aca="false">A624+250000</f>
        <v>4750000</v>
      </c>
      <c r="B625" s="0" t="n">
        <f aca="false">A625/1000</f>
        <v>4750</v>
      </c>
      <c r="C625" s="0" t="n">
        <f aca="false">SQRT((A625/Fesr)^2+1)</f>
        <v>1.00044526676633</v>
      </c>
      <c r="D625" s="0" t="n">
        <f aca="false">ATAN(A625/Fesr)</f>
        <v>0.0298362735723737</v>
      </c>
      <c r="F625" s="0" t="n">
        <f aca="false">(Ro/(Ro+Rdcr))/SQRT((A625/(Q*Fo))^2+(1-(A625^2/Fo^2))^2)</f>
        <v>8.25412070370952E-005</v>
      </c>
      <c r="G625" s="0" t="n">
        <f aca="false">-ATAN(A625*Fo/(Q*(Fo^2-A625^2)))</f>
        <v>0.00570041282805416</v>
      </c>
      <c r="H625" s="0" t="n">
        <f aca="false">IF(G625&gt;0,G625-Pi,G625)</f>
        <v>-3.13589223717195</v>
      </c>
      <c r="J625" s="0" t="n">
        <f aca="false">Vin/Vramp</f>
        <v>9</v>
      </c>
      <c r="M625" s="0" t="n">
        <f aca="false">1/(2*Pi*_Rfb1*(Cc1ea_u+Cc2ea_u)*A625)</f>
        <v>0.0012409742165595</v>
      </c>
      <c r="N625" s="0" t="n">
        <f aca="false">-Pi/2</f>
        <v>-1.570796325</v>
      </c>
      <c r="O625" s="0" t="n">
        <f aca="false">SQRT(1+(A625/Fz1_u)^2)</f>
        <v>116.042174978651</v>
      </c>
      <c r="P625" s="0" t="n">
        <f aca="false">ATAN2(Fz1_u,A625)</f>
        <v>1.56217866362507</v>
      </c>
      <c r="Q625" s="0" t="n">
        <f aca="false">SQRT(1+(A625/Fz2_u)^2)</f>
        <v>131670.506548821</v>
      </c>
      <c r="R625" s="0" t="n">
        <f aca="false">ATAN2(Fz2_u,A625)</f>
        <v>1.57078873207968</v>
      </c>
      <c r="S625" s="0" t="n">
        <f aca="false">1/SQRT(1+(A625/Fp1_u)^2)</f>
        <v>0.00284143220711425</v>
      </c>
      <c r="T625" s="0" t="n">
        <f aca="false">-ATAN2(Fp1_u,A625)</f>
        <v>-1.56795489076427</v>
      </c>
      <c r="U625" s="0" t="n">
        <f aca="false">1/SQRT(1+(A625/Fp2_u)^2)</f>
        <v>0.077328644655649</v>
      </c>
      <c r="V625" s="0" t="n">
        <f aca="false">-ATAN2(Fp2_u,A625)</f>
        <v>-1.49339040675521</v>
      </c>
      <c r="X625" s="0" t="n">
        <f aca="false">20*LOG(C625*J625*O625*Q625*F625*M625*S625*U625)</f>
        <v>-50.1829703841812</v>
      </c>
      <c r="Y625" s="0" t="n">
        <f aca="false">(180/Pi)*(D625+H625+N625+P625+R625+T625+V625)</f>
        <v>-263.860253898473</v>
      </c>
      <c r="Z625" s="0" t="n">
        <f aca="false">Y625+180</f>
        <v>-83.8602538984728</v>
      </c>
      <c r="AC625" s="0" t="n">
        <v>1</v>
      </c>
      <c r="AD625" s="0" t="n">
        <f aca="false">Rcea1_u*Cc1ea_u*A625*2*Pi</f>
        <v>116.0378661204</v>
      </c>
      <c r="AE625" s="0" t="n">
        <f aca="false">-Rcea1_u*Cc1ea_u*Cc2ea_u*(A625*2*Pi)^2</f>
        <v>-0.519474782938884</v>
      </c>
      <c r="AF625" s="0" t="n">
        <f aca="false">(Cc2ea_u+Cc1ea_u)*A625*2*Pi</f>
        <v>0.04029092573625</v>
      </c>
      <c r="AG625" s="0" t="n">
        <f aca="false">AC625*AE625/(AE625^2+AF625^2)+AD625*AF625/(AE625^2+AF625^2)</f>
        <v>15.3080813677559</v>
      </c>
      <c r="AH625" s="0" t="n">
        <f aca="false">AD625*AE625/(AE625^2+AF625^2)-AC625*AF625/(AE625^2+AF625^2)</f>
        <v>-222.188050588062</v>
      </c>
      <c r="AJ625" s="0" t="n">
        <f aca="false">_Rfb1</f>
        <v>20000</v>
      </c>
      <c r="AK625" s="0" t="n">
        <f aca="false">_Rfb1*Rcea2_u*Cc3ea_u*A625*2*Pi</f>
        <v>7038675.500472</v>
      </c>
      <c r="AL625" s="0" t="n">
        <v>1</v>
      </c>
      <c r="AM625" s="0" t="n">
        <f aca="false">(_Rfb1+Rcea2_u)*Cc3ea_u*A625*2*Pi</f>
        <v>131670.506545024</v>
      </c>
      <c r="AN625" s="0" t="n">
        <f aca="false">AJ625*AL625/(AL625^2+AM625^2)+AK625*AM625/(AL625^2+AM625^2)</f>
        <v>53.4567370981709</v>
      </c>
      <c r="AO625" s="0" t="n">
        <f aca="false">AK625*AL625/(AL625^2+AM625^2)-AJ625*AM625/(AL625^2+AM625^2)</f>
        <v>-0.151488315692636</v>
      </c>
      <c r="AQ625" s="0" t="n">
        <f aca="false">Eadcg/(1+(Eadcg*A625/GBP)^2)</f>
        <v>0.000504607088047962</v>
      </c>
      <c r="AR625" s="0" t="n">
        <f aca="false">-(A625*Eadcg*Eadcg/GBP)/(1+(Eadcg*A625/GBP)^2)</f>
        <v>-1.26315769315606</v>
      </c>
      <c r="AT625" s="0" t="n">
        <f aca="false">-AR625*AH625+AG625*AQ625</f>
        <v>-280.650820861296</v>
      </c>
      <c r="AU625" s="0" t="n">
        <f aca="false">AQ625*AH625+AG625*AR625</f>
        <v>-19.4486384123461</v>
      </c>
      <c r="AV625" s="0" t="n">
        <f aca="false">ATAN2(AT625,AU625)</f>
        <v>-3.07240491606606</v>
      </c>
      <c r="AW625" s="0" t="n">
        <f aca="false">AG625-AH625*AO625/_Rfb2+AG625*AN625/_Rfb2+AN625-AO625*AR625+AQ625*AN625</f>
        <v>68.9535370174013</v>
      </c>
      <c r="AX625" s="0" t="n">
        <f aca="false">AH625+AH625*AN625/_Rfb2+AG625*AO625/_Rfb2+AO625+AO625*AQ625+AN625*AR625</f>
        <v>-295.209799303355</v>
      </c>
      <c r="AY625" s="0" t="n">
        <f aca="false">ATAN2(AW625,AX625)</f>
        <v>-1.34133551221193</v>
      </c>
      <c r="BA625" s="0" t="n">
        <f aca="false">SQRT(AT625^2+AU625^2)/SQRT(AW625^2+AX625^2)</f>
        <v>0.927984648603842</v>
      </c>
      <c r="BB625" s="0" t="n">
        <f aca="false">20*LOG(BA625)</f>
        <v>-0.649184162730214</v>
      </c>
      <c r="BC625" s="0" t="n">
        <f aca="false">AV625-AY625</f>
        <v>-1.73106940385413</v>
      </c>
      <c r="BD625" s="0" t="n">
        <f aca="false">BC625*180/Pi-180</f>
        <v>-279.182970998402</v>
      </c>
      <c r="BF625" s="0" t="n">
        <f aca="false">20*LOG(BA625*J625*F625*C625)</f>
        <v>-63.2270509873224</v>
      </c>
      <c r="BG625" s="0" t="n">
        <f aca="false">(180/Pi)*(D625+H625+BC625)</f>
        <v>-277.146868847451</v>
      </c>
      <c r="BH625" s="0" t="n">
        <f aca="false">IF(BG625&gt;180,BG625-180,BG625+180)</f>
        <v>-97.1468688474513</v>
      </c>
      <c r="BI625" s="0" t="n">
        <f aca="false">IF(BH625&gt;180,BH625-360,BH625)</f>
        <v>-97.1468688474513</v>
      </c>
      <c r="BJ625" s="0" t="n">
        <f aca="false">SUM((BF626&lt;0)*(BF625&gt;0))*A625</f>
        <v>0</v>
      </c>
      <c r="BK625" s="0" t="n">
        <f aca="false">IF(BJ625&gt;0,BI625,0)</f>
        <v>0</v>
      </c>
      <c r="BM625" s="0" t="n">
        <f aca="false">20*LOG(J625*F625*C625)</f>
        <v>-62.5778668245922</v>
      </c>
      <c r="BN625" s="0" t="n">
        <f aca="false">(H625+D625)*180/Pi</f>
        <v>-177.963897849049</v>
      </c>
      <c r="BQ625" s="347" t="n">
        <f aca="false">20*LOG(BA625*7)</f>
        <v>16.2527766375549</v>
      </c>
    </row>
    <row r="626" customFormat="false" ht="12.75" hidden="false" customHeight="false" outlineLevel="0" collapsed="false">
      <c r="A626" s="0" t="n">
        <f aca="false">A625+250000</f>
        <v>5000000</v>
      </c>
      <c r="B626" s="0" t="n">
        <f aca="false">A626/1000</f>
        <v>5000</v>
      </c>
      <c r="C626" s="0" t="n">
        <f aca="false">SQRT((A626/Fesr)^2+1)</f>
        <v>1.00049335851761</v>
      </c>
      <c r="D626" s="0" t="n">
        <f aca="false">ATAN(A626/Fesr)</f>
        <v>0.0314055971905576</v>
      </c>
      <c r="F626" s="0" t="n">
        <f aca="false">(Ro/(Ro+Rdcr))/SQRT((A626/(Q*Fo))^2+(1-(A626^2/Fo^2))^2)</f>
        <v>7.44929532654162E-005</v>
      </c>
      <c r="G626" s="0" t="n">
        <f aca="false">-ATAN(A626*Fo/(Q*(Fo^2-A626^2)))</f>
        <v>0.00541535399016568</v>
      </c>
      <c r="H626" s="0" t="n">
        <f aca="false">IF(G626&gt;0,G626-Pi,G626)</f>
        <v>-3.13617729600983</v>
      </c>
      <c r="J626" s="0" t="n">
        <f aca="false">Vin/Vramp</f>
        <v>9</v>
      </c>
      <c r="M626" s="0" t="n">
        <f aca="false">1/(2*Pi*_Rfb1*(Cc1ea_u+Cc2ea_u)*A626)</f>
        <v>0.00117892550573153</v>
      </c>
      <c r="N626" s="0" t="n">
        <f aca="false">-Pi/2</f>
        <v>-1.570796325</v>
      </c>
      <c r="O626" s="0" t="n">
        <f aca="false">SQRT(1+(A626/Fz1_u)^2)</f>
        <v>122.149215654748</v>
      </c>
      <c r="P626" s="0" t="n">
        <f aca="false">ATAN2(Fz1_u,A626)</f>
        <v>1.56260952702429</v>
      </c>
      <c r="Q626" s="0" t="n">
        <f aca="false">SQRT(1+(A626/Fz2_u)^2)</f>
        <v>138600.533208896</v>
      </c>
      <c r="R626" s="0" t="n">
        <f aca="false">ATAN2(Fz2_u,A626)</f>
        <v>1.57078911181544</v>
      </c>
      <c r="S626" s="0" t="n">
        <f aca="false">1/SQRT(1+(A626/Fp1_u)^2)</f>
        <v>0.00269936165921313</v>
      </c>
      <c r="T626" s="0" t="n">
        <f aca="false">-ATAN2(Fp1_u,A626)</f>
        <v>-1.5680969618575</v>
      </c>
      <c r="U626" s="0" t="n">
        <f aca="false">1/SQRT(1+(A626/Fp2_u)^2)</f>
        <v>0.0734836368576738</v>
      </c>
      <c r="V626" s="0" t="n">
        <f aca="false">-ATAN2(Fp2_u,A626)</f>
        <v>-1.49724639534587</v>
      </c>
      <c r="X626" s="0" t="n">
        <f aca="false">20*LOG(C626*J626*O626*Q626*F626*M626*S626*U626)</f>
        <v>-51.5166884739284</v>
      </c>
      <c r="Y626" s="0" t="n">
        <f aca="false">(180/Pi)*(D626+H626+N626+P626+R626+T626+V626)</f>
        <v>-263.991034481484</v>
      </c>
      <c r="Z626" s="0" t="n">
        <f aca="false">Y626+180</f>
        <v>-83.9910344814836</v>
      </c>
      <c r="AC626" s="0" t="n">
        <v>1</v>
      </c>
      <c r="AD626" s="0" t="n">
        <f aca="false">Rcea1_u*Cc1ea_u*A626*2*Pi</f>
        <v>122.145122232</v>
      </c>
      <c r="AE626" s="0" t="n">
        <f aca="false">-Rcea1_u*Cc1ea_u*Cc2ea_u*(A626*2*Pi)^2</f>
        <v>-0.575595327356104</v>
      </c>
      <c r="AF626" s="0" t="n">
        <f aca="false">(Cc2ea_u+Cc1ea_u)*A626*2*Pi</f>
        <v>0.042411500775</v>
      </c>
      <c r="AG626" s="0" t="n">
        <f aca="false">AC626*AE626/(AE626^2+AF626^2)+AD626*AF626/(AE626^2+AF626^2)</f>
        <v>13.823602907726</v>
      </c>
      <c r="AH626" s="0" t="n">
        <f aca="false">AD626*AE626/(AE626^2+AF626^2)-AC626*AF626/(AE626^2+AF626^2)</f>
        <v>-211.188028653611</v>
      </c>
      <c r="AJ626" s="0" t="n">
        <f aca="false">_Rfb1</f>
        <v>20000</v>
      </c>
      <c r="AK626" s="0" t="n">
        <f aca="false">_Rfb1*Rcea2_u*Cc3ea_u*A626*2*Pi</f>
        <v>7409132.10576</v>
      </c>
      <c r="AL626" s="0" t="n">
        <v>1</v>
      </c>
      <c r="AM626" s="0" t="n">
        <f aca="false">(_Rfb1+Rcea2_u)*Cc3ea_u*A626*2*Pi</f>
        <v>138600.533205288</v>
      </c>
      <c r="AN626" s="0" t="n">
        <f aca="false">AJ626*AL626/(AL626^2+AM626^2)+AK626*AM626/(AL626^2+AM626^2)</f>
        <v>53.4567369859961</v>
      </c>
      <c r="AO626" s="0" t="n">
        <f aca="false">AK626*AL626/(AL626^2+AM626^2)-AJ626*AM626/(AL626^2+AM626^2)</f>
        <v>-0.143913899908814</v>
      </c>
      <c r="AQ626" s="0" t="n">
        <f aca="false">Eadcg/(1+(Eadcg*A626/GBP)^2)</f>
        <v>0.000455407904049213</v>
      </c>
      <c r="AR626" s="0" t="n">
        <f aca="false">-(A626*Eadcg*Eadcg/GBP)/(1+(Eadcg*A626/GBP)^2)</f>
        <v>-1.19999982716968</v>
      </c>
      <c r="AT626" s="0" t="n">
        <f aca="false">-AR626*AH626+AG626*AQ626</f>
        <v>-253.419302506611</v>
      </c>
      <c r="AU626" s="0" t="n">
        <f aca="false">AQ626*AH626+AG626*AR626</f>
        <v>-16.6844977976229</v>
      </c>
      <c r="AV626" s="0" t="n">
        <f aca="false">ATAN2(AT626,AU626)</f>
        <v>-3.07585001528823</v>
      </c>
      <c r="AW626" s="0" t="n">
        <f aca="false">AG626-AH626*AO626/_Rfb2+AG626*AN626/_Rfb2+AN626-AO626*AR626+AQ626*AN626</f>
        <v>67.4508451746612</v>
      </c>
      <c r="AX626" s="0" t="n">
        <f aca="false">AH626+AH626*AN626/_Rfb2+AG626*AO626/_Rfb2+AO626+AO626*AQ626+AN626*AR626</f>
        <v>-280.561218777217</v>
      </c>
      <c r="AY626" s="0" t="n">
        <f aca="false">ATAN2(AW626,AX626)</f>
        <v>-1.33485992943179</v>
      </c>
      <c r="BA626" s="0" t="n">
        <f aca="false">SQRT(AT626^2+AU626^2)/SQRT(AW626^2+AX626^2)</f>
        <v>0.880135838767038</v>
      </c>
      <c r="BB626" s="0" t="n">
        <f aca="false">20*LOG(BA626)</f>
        <v>-1.10900588712852</v>
      </c>
      <c r="BC626" s="0" t="n">
        <f aca="false">AV626-AY626</f>
        <v>-1.74099008585644</v>
      </c>
      <c r="BD626" s="0" t="n">
        <f aca="false">BC626*180/Pi-180</f>
        <v>-279.751384207675</v>
      </c>
      <c r="BF626" s="0" t="n">
        <f aca="false">20*LOG(BA626*J626*F626*C626)</f>
        <v>-64.5775676539371</v>
      </c>
      <c r="BG626" s="0" t="n">
        <f aca="false">(180/Pi)*(D626+H626+BC626)</f>
        <v>-277.641699104952</v>
      </c>
      <c r="BH626" s="0" t="n">
        <f aca="false">IF(BG626&gt;180,BG626-180,BG626+180)</f>
        <v>-97.6416991049519</v>
      </c>
      <c r="BI626" s="0" t="n">
        <f aca="false">IF(BH626&gt;180,BH626-360,BH626)</f>
        <v>-97.6416991049519</v>
      </c>
      <c r="BJ626" s="0" t="n">
        <f aca="false">SUM((BF627&lt;0)*(BF626&gt;0))*A626</f>
        <v>0</v>
      </c>
      <c r="BK626" s="0" t="n">
        <f aca="false">IF(BJ626&gt;0,BI626,0)</f>
        <v>0</v>
      </c>
      <c r="BM626" s="0" t="n">
        <f aca="false">20*LOG(J626*F626*C626)</f>
        <v>-63.4685617668085</v>
      </c>
      <c r="BN626" s="0" t="n">
        <f aca="false">(H626+D626)*180/Pi</f>
        <v>-177.890314897277</v>
      </c>
      <c r="BQ626" s="347" t="n">
        <f aca="false">20*LOG(BA626*7)</f>
        <v>15.7929549131566</v>
      </c>
    </row>
    <row r="627" customFormat="false" ht="12.75" hidden="false" customHeight="false" outlineLevel="0" collapsed="false">
      <c r="A627" s="0" t="n">
        <f aca="false">A626+100000</f>
        <v>5100000</v>
      </c>
      <c r="B627" s="0" t="n">
        <f aca="false">A627/1000</f>
        <v>5100</v>
      </c>
      <c r="C627" s="0" t="n">
        <f aca="false">SQRT((A627/Fesr)^2+1)</f>
        <v>1.00051328508898</v>
      </c>
      <c r="D627" s="0" t="n">
        <f aca="false">ATAN(A627/Fesr)</f>
        <v>0.0320332837462067</v>
      </c>
      <c r="F627" s="0" t="n">
        <f aca="false">(Ro/(Ro+Rdcr))/SQRT((A627/(Q*Fo))^2+(1-(A627^2/Fo^2))^2)</f>
        <v>7.16001331690423E-005</v>
      </c>
      <c r="G627" s="0" t="n">
        <f aca="false">-ATAN(A627*Fo/(Q*(Fo^2-A627^2)))</f>
        <v>0.0053091571186474</v>
      </c>
      <c r="H627" s="0" t="n">
        <f aca="false">IF(G627&gt;0,G627-Pi,G627)</f>
        <v>-3.13628349288135</v>
      </c>
      <c r="J627" s="0" t="n">
        <f aca="false">Vin/Vramp</f>
        <v>9</v>
      </c>
      <c r="M627" s="0" t="n">
        <f aca="false">1/(2*Pi*_Rfb1*(Cc1ea_u+Cc2ea_u)*A627)</f>
        <v>0.00115580931934464</v>
      </c>
      <c r="N627" s="0" t="n">
        <f aca="false">-Pi/2</f>
        <v>-1.570796325</v>
      </c>
      <c r="O627" s="0" t="n">
        <f aca="false">SQRT(1+(A627/Fz1_u)^2)</f>
        <v>124.592037838808</v>
      </c>
      <c r="P627" s="0" t="n">
        <f aca="false">ATAN2(Fz1_u,A627)</f>
        <v>1.56277004554698</v>
      </c>
      <c r="Q627" s="0" t="n">
        <f aca="false">SQRT(1+(A627/Fz2_u)^2)</f>
        <v>141372.543872931</v>
      </c>
      <c r="R627" s="0" t="n">
        <f aca="false">ATAN2(Fz2_u,A627)</f>
        <v>1.57078925328562</v>
      </c>
      <c r="S627" s="0" t="n">
        <f aca="false">1/SQRT(1+(A627/Fp1_u)^2)</f>
        <v>0.00264643337362712</v>
      </c>
      <c r="T627" s="0" t="n">
        <f aca="false">-ATAN2(Fp1_u,A627)</f>
        <v>-1.56814989033216</v>
      </c>
      <c r="U627" s="0" t="n">
        <f aca="false">1/SQRT(1+(A627/Fp2_u)^2)</f>
        <v>0.0720503354783581</v>
      </c>
      <c r="V627" s="0" t="n">
        <f aca="false">-ATAN2(Fp2_u,A627)</f>
        <v>-1.49868350667736</v>
      </c>
      <c r="X627" s="0" t="n">
        <f aca="false">20*LOG(C627*J627*O627*Q627*F627*M627*S627*U627)</f>
        <v>-52.0316454973774</v>
      </c>
      <c r="Y627" s="0" t="n">
        <f aca="false">(180/Pi)*(D627+H627+N627+P627+R627+T627+V627)</f>
        <v>-264.037323176247</v>
      </c>
      <c r="Z627" s="0" t="n">
        <f aca="false">Y627+180</f>
        <v>-84.037323176247</v>
      </c>
      <c r="AC627" s="0" t="n">
        <v>1</v>
      </c>
      <c r="AD627" s="0" t="n">
        <f aca="false">Rcea1_u*Cc1ea_u*A627*2*Pi</f>
        <v>124.58802467664</v>
      </c>
      <c r="AE627" s="0" t="n">
        <f aca="false">-Rcea1_u*Cc1ea_u*Cc2ea_u*(A627*2*Pi)^2</f>
        <v>-0.598849378581291</v>
      </c>
      <c r="AF627" s="0" t="n">
        <f aca="false">(Cc2ea_u+Cc1ea_u)*A627*2*Pi</f>
        <v>0.0432597307905</v>
      </c>
      <c r="AG627" s="0" t="n">
        <f aca="false">AC627*AE627/(AE627^2+AF627^2)+AD627*AF627/(AE627^2+AF627^2)</f>
        <v>13.2896021569125</v>
      </c>
      <c r="AH627" s="0" t="n">
        <f aca="false">AD627*AE627/(AE627^2+AF627^2)-AC627*AF627/(AE627^2+AF627^2)</f>
        <v>-207.085662105576</v>
      </c>
      <c r="AJ627" s="0" t="n">
        <f aca="false">_Rfb1</f>
        <v>20000</v>
      </c>
      <c r="AK627" s="0" t="n">
        <f aca="false">_Rfb1*Rcea2_u*Cc3ea_u*A627*2*Pi</f>
        <v>7557314.7478752</v>
      </c>
      <c r="AL627" s="0" t="n">
        <v>2</v>
      </c>
      <c r="AM627" s="0" t="n">
        <f aca="false">(_Rfb1+Rcea2_u)*Cc3ea_u*A627*2*Pi</f>
        <v>141372.543869394</v>
      </c>
      <c r="AN627" s="0" t="n">
        <f aca="false">AJ627*AL627/(AL627^2+AM627^2)+AK627*AM627/(AL627^2+AM627^2)</f>
        <v>53.4567379383429</v>
      </c>
      <c r="AO627" s="0" t="n">
        <f aca="false">AK627*AL627/(AL627^2+AM627^2)-AJ627*AM627/(AL627^2+AM627^2)</f>
        <v>-0.140713931995886</v>
      </c>
      <c r="AQ627" s="0" t="n">
        <f aca="false">Eadcg/(1+(Eadcg*A627/GBP)^2)</f>
        <v>0.000437723862549175</v>
      </c>
      <c r="AR627" s="0" t="n">
        <f aca="false">-(A627*Eadcg*Eadcg/GBP)/(1+(Eadcg*A627/GBP)^2)</f>
        <v>-1.17647042537342</v>
      </c>
      <c r="AT627" s="0" t="n">
        <f aca="false">-AR627*AH627+AG627*AQ627</f>
        <v>-243.624339810095</v>
      </c>
      <c r="AU627" s="0" t="n">
        <f aca="false">AQ627*AH627+AG627*AR627</f>
        <v>-15.7254702384818</v>
      </c>
      <c r="AV627" s="0" t="n">
        <f aca="false">ATAN2(AT627,AU627)</f>
        <v>-3.07713404940267</v>
      </c>
      <c r="AW627" s="0" t="n">
        <f aca="false">AG627-AH627*AO627/_Rfb2+AG627*AN627/_Rfb2+AN627-AO627*AR627+AQ627*AN627</f>
        <v>66.9107691295483</v>
      </c>
      <c r="AX627" s="0" t="n">
        <f aca="false">AH627+AH627*AN627/_Rfb2+AG627*AO627/_Rfb2+AO627+AO627*AQ627+AN627*AR627</f>
        <v>-275.099106153778</v>
      </c>
      <c r="AY627" s="0" t="n">
        <f aca="false">ATAN2(AW627,AX627)</f>
        <v>-1.33220495253216</v>
      </c>
      <c r="BA627" s="0" t="n">
        <f aca="false">SQRT(AT627^2+AU627^2)/SQRT(AW627^2+AX627^2)</f>
        <v>0.862291227708162</v>
      </c>
      <c r="BB627" s="0" t="n">
        <f aca="false">20*LOG(BA627)</f>
        <v>-1.28692064113976</v>
      </c>
      <c r="BC627" s="0" t="n">
        <f aca="false">AV627-AY627</f>
        <v>-1.74492909687051</v>
      </c>
      <c r="BD627" s="0" t="n">
        <f aca="false">BC627*180/Pi-180</f>
        <v>-279.977072914495</v>
      </c>
      <c r="BF627" s="0" t="n">
        <f aca="false">20*LOG(BA627*J627*F627*C627)</f>
        <v>-65.0993366574725</v>
      </c>
      <c r="BG627" s="0" t="n">
        <f aca="false">(180/Pi)*(D627+H627+BC627)</f>
        <v>-277.837508653777</v>
      </c>
      <c r="BH627" s="0" t="n">
        <f aca="false">IF(BG627&gt;180,BG627-180,BG627+180)</f>
        <v>-97.8375086537774</v>
      </c>
      <c r="BI627" s="0" t="n">
        <f aca="false">IF(BH627&gt;180,BH627-360,BH627)</f>
        <v>-97.8375086537774</v>
      </c>
      <c r="BJ627" s="0" t="n">
        <f aca="false">SUM((BF628&lt;0)*(BF627&gt;0))*A627</f>
        <v>0</v>
      </c>
      <c r="BK627" s="0" t="n">
        <f aca="false">IF(BJ627&gt;0,BI627,0)</f>
        <v>0</v>
      </c>
      <c r="BM627" s="0" t="n">
        <f aca="false">20*LOG(J627*F627*C627)</f>
        <v>-63.8124160163327</v>
      </c>
      <c r="BN627" s="0" t="n">
        <f aca="false">(H627+D627)*180/Pi</f>
        <v>-177.860435739282</v>
      </c>
      <c r="BQ627" s="347" t="n">
        <f aca="false">20*LOG(BA627*7)</f>
        <v>15.6150401591454</v>
      </c>
    </row>
    <row r="628" customFormat="false" ht="12.75" hidden="false" customHeight="false" outlineLevel="0" collapsed="false">
      <c r="A628" s="0" t="n">
        <f aca="false">A627+100000</f>
        <v>5200000</v>
      </c>
      <c r="B628" s="0" t="n">
        <f aca="false">A628/1000</f>
        <v>5200</v>
      </c>
      <c r="C628" s="0" t="n">
        <f aca="false">SQRT((A628/Fesr)^2+1)</f>
        <v>1.0005336058372</v>
      </c>
      <c r="D628" s="0" t="n">
        <f aca="false">ATAN(A628/Fesr)</f>
        <v>0.0326609450526242</v>
      </c>
      <c r="F628" s="0" t="n">
        <f aca="false">(Ro/(Ro+Rdcr))/SQRT((A628/(Q*Fo))^2+(1-(A628^2/Fo^2))^2)</f>
        <v>6.88726089273499E-005</v>
      </c>
      <c r="G628" s="0" t="n">
        <f aca="false">-ATAN(A628*Fo/(Q*(Fo^2-A628^2)))</f>
        <v>0.0052070454964941</v>
      </c>
      <c r="H628" s="0" t="n">
        <f aca="false">IF(G628&gt;0,G628-Pi,G628)</f>
        <v>-3.13638560450351</v>
      </c>
      <c r="J628" s="0" t="n">
        <f aca="false">Vin/Vramp</f>
        <v>9</v>
      </c>
      <c r="M628" s="0" t="n">
        <f aca="false">1/(2*Pi*_Rfb1*(Cc1ea_u+Cc2ea_u)*A628)</f>
        <v>0.00113358221704955</v>
      </c>
      <c r="N628" s="0" t="n">
        <f aca="false">-Pi/2</f>
        <v>-1.570796325</v>
      </c>
      <c r="O628" s="0" t="n">
        <f aca="false">SQRT(1+(A628/Fz1_u)^2)</f>
        <v>127.034863109667</v>
      </c>
      <c r="P628" s="0" t="n">
        <f aca="false">ATAN2(Fz1_u,A628)</f>
        <v>1.5629243906705</v>
      </c>
      <c r="Q628" s="0" t="n">
        <f aca="false">SQRT(1+(A628/Fz2_u)^2)</f>
        <v>144144.554536968</v>
      </c>
      <c r="R628" s="0" t="n">
        <f aca="false">ATAN2(Fz2_u,A628)</f>
        <v>1.57078938931465</v>
      </c>
      <c r="S628" s="0" t="n">
        <f aca="false">1/SQRT(1+(A628/Fp1_u)^2)</f>
        <v>0.00259554077035286</v>
      </c>
      <c r="T628" s="0" t="n">
        <f aca="false">-ATAN2(Fp1_u,A628)</f>
        <v>-1.56820078311025</v>
      </c>
      <c r="U628" s="0" t="n">
        <f aca="false">1/SQRT(1+(A628/Fp2_u)^2)</f>
        <v>0.0706717398932322</v>
      </c>
      <c r="V628" s="0" t="n">
        <f aca="false">-ATAN2(Fp2_u,A628)</f>
        <v>-1.50006562601624</v>
      </c>
      <c r="X628" s="0" t="n">
        <f aca="false">20*LOG(C628*J628*O628*Q628*F628*M628*S628*U628)</f>
        <v>-52.5366289698451</v>
      </c>
      <c r="Y628" s="0" t="n">
        <f aca="false">(180/Pi)*(D628+H628+N628+P628+R628+T628+V628)</f>
        <v>-264.080465825702</v>
      </c>
      <c r="Z628" s="0" t="n">
        <f aca="false">Y628+180</f>
        <v>-84.0804658257018</v>
      </c>
      <c r="AC628" s="0" t="n">
        <v>1</v>
      </c>
      <c r="AD628" s="0" t="n">
        <f aca="false">Rcea1_u*Cc1ea_u*A628*2*Pi</f>
        <v>127.03092712128</v>
      </c>
      <c r="AE628" s="0" t="n">
        <f aca="false">-Rcea1_u*Cc1ea_u*Cc2ea_u*(A628*2*Pi)^2</f>
        <v>-0.622563906068362</v>
      </c>
      <c r="AF628" s="0" t="n">
        <f aca="false">(Cc2ea_u+Cc1ea_u)*A628*2*Pi</f>
        <v>0.044107960806</v>
      </c>
      <c r="AG628" s="0" t="n">
        <f aca="false">AC628*AE628/(AE628^2+AF628^2)+AD628*AF628/(AE628^2+AF628^2)</f>
        <v>12.7859067380139</v>
      </c>
      <c r="AH628" s="0" t="n">
        <f aca="false">AD628*AE628/(AE628^2+AF628^2)-AC628*AF628/(AE628^2+AF628^2)</f>
        <v>-203.138931787227</v>
      </c>
      <c r="AJ628" s="0" t="n">
        <f aca="false">_Rfb1</f>
        <v>20000</v>
      </c>
      <c r="AK628" s="0" t="n">
        <f aca="false">_Rfb1*Rcea2_u*Cc3ea_u*A628*2*Pi</f>
        <v>7705497.3899904</v>
      </c>
      <c r="AL628" s="0" t="n">
        <v>3</v>
      </c>
      <c r="AM628" s="0" t="n">
        <f aca="false">(_Rfb1+Rcea2_u)*Cc3ea_u*A628*2*Pi</f>
        <v>144144.5545335</v>
      </c>
      <c r="AN628" s="0" t="n">
        <f aca="false">AJ628*AL628/(AL628^2+AM628^2)+AK628*AM628/(AL628^2+AM628^2)</f>
        <v>53.456738812223</v>
      </c>
      <c r="AO628" s="0" t="n">
        <f aca="false">AK628*AL628/(AL628^2+AM628^2)-AJ628*AM628/(AL628^2+AM628^2)</f>
        <v>-0.137637039760337</v>
      </c>
      <c r="AQ628" s="0" t="n">
        <f aca="false">Eadcg/(1+(Eadcg*A628/GBP)^2)</f>
        <v>0.000421050211721144</v>
      </c>
      <c r="AR628" s="0" t="n">
        <f aca="false">-(A628*Eadcg*Eadcg/GBP)/(1+(Eadcg*A628/GBP)^2)</f>
        <v>-1.15384600020062</v>
      </c>
      <c r="AT628" s="0" t="n">
        <f aca="false">-AR628*AH628+AG628*AQ628</f>
        <v>-234.38566041898</v>
      </c>
      <c r="AU628" s="0" t="n">
        <f aca="false">AQ628*AH628+AG628*AR628</f>
        <v>-14.8384990388333</v>
      </c>
      <c r="AV628" s="0" t="n">
        <f aca="false">ATAN2(AT628,AU628)</f>
        <v>-3.07836897871965</v>
      </c>
      <c r="AW628" s="0" t="n">
        <f aca="false">AG628-AH628*AO628/_Rfb2+AG628*AN628/_Rfb2+AN628-AO628*AR628+AQ628*AN628</f>
        <v>66.4013316197079</v>
      </c>
      <c r="AX628" s="0" t="n">
        <f aca="false">AH628+AH628*AN628/_Rfb2+AG628*AO628/_Rfb2+AO628+AO628*AQ628+AN628*AR628</f>
        <v>-269.844878126419</v>
      </c>
      <c r="AY628" s="0" t="n">
        <f aca="false">ATAN2(AW628,AX628)</f>
        <v>-1.3295177886278</v>
      </c>
      <c r="BA628" s="0" t="n">
        <f aca="false">SQRT(AT628^2+AU628^2)/SQRT(AW628^2+AX628^2)</f>
        <v>0.845122250148794</v>
      </c>
      <c r="BB628" s="0" t="n">
        <f aca="false">20*LOG(BA628)</f>
        <v>-1.46160928314042</v>
      </c>
      <c r="BC628" s="0" t="n">
        <f aca="false">AV628-AY628</f>
        <v>-1.74885119009185</v>
      </c>
      <c r="BD628" s="0" t="n">
        <f aca="false">BC628*180/Pi-180</f>
        <v>-280.201792303191</v>
      </c>
      <c r="BF628" s="0" t="n">
        <f aca="false">20*LOG(BA628*J628*F628*C628)</f>
        <v>-65.6111947975012</v>
      </c>
      <c r="BG628" s="0" t="n">
        <f aca="false">(180/Pi)*(D628+H628+BC628)</f>
        <v>-278.032116263606</v>
      </c>
      <c r="BH628" s="0" t="n">
        <f aca="false">IF(BG628&gt;180,BG628-180,BG628+180)</f>
        <v>-98.0321162636064</v>
      </c>
      <c r="BI628" s="0" t="n">
        <f aca="false">IF(BH628&gt;180,BH628-360,BH628)</f>
        <v>-98.0321162636064</v>
      </c>
      <c r="BJ628" s="0" t="n">
        <f aca="false">SUM((BF629&lt;0)*(BF628&gt;0))*A628</f>
        <v>0</v>
      </c>
      <c r="BK628" s="0" t="n">
        <f aca="false">IF(BJ628&gt;0,BI628,0)</f>
        <v>0</v>
      </c>
      <c r="BM628" s="0" t="n">
        <f aca="false">20*LOG(J628*F628*C628)</f>
        <v>-64.1495855143608</v>
      </c>
      <c r="BN628" s="0" t="n">
        <f aca="false">(H628+D628)*180/Pi</f>
        <v>-177.830323960415</v>
      </c>
      <c r="BQ628" s="347" t="n">
        <f aca="false">20*LOG(BA628*7)</f>
        <v>15.4403515171447</v>
      </c>
    </row>
    <row r="629" customFormat="false" ht="12.75" hidden="false" customHeight="false" outlineLevel="0" collapsed="false">
      <c r="A629" s="0" t="n">
        <f aca="false">A628+100000</f>
        <v>5300000</v>
      </c>
      <c r="B629" s="0" t="n">
        <f aca="false">A629/1000</f>
        <v>5300</v>
      </c>
      <c r="C629" s="0" t="n">
        <f aca="false">SQRT((A629/Fesr)^2+1)</f>
        <v>1.00055432073825</v>
      </c>
      <c r="D629" s="0" t="n">
        <f aca="false">ATAN(A629/Fesr)</f>
        <v>0.0332885806168185</v>
      </c>
      <c r="F629" s="0" t="n">
        <f aca="false">(Ro/(Ro+Rdcr))/SQRT((A629/(Q*Fo))^2+(1-(A629^2/Fo^2))^2)</f>
        <v>6.62980227121126E-005</v>
      </c>
      <c r="G629" s="0" t="n">
        <f aca="false">-ATAN(A629*Fo/(Q*(Fo^2-A629^2)))</f>
        <v>0.00510878782784678</v>
      </c>
      <c r="H629" s="0" t="n">
        <f aca="false">IF(G629&gt;0,G629-Pi,G629)</f>
        <v>-3.13648386217215</v>
      </c>
      <c r="J629" s="0" t="n">
        <f aca="false">Vin/Vramp</f>
        <v>9</v>
      </c>
      <c r="M629" s="0" t="n">
        <f aca="false">1/(2*Pi*_Rfb1*(Cc1ea_u+Cc2ea_u)*A629)</f>
        <v>0.00111219387333163</v>
      </c>
      <c r="N629" s="0" t="n">
        <f aca="false">-Pi/2</f>
        <v>-1.570796325</v>
      </c>
      <c r="O629" s="0" t="n">
        <f aca="false">SQRT(1+(A629/Fz1_u)^2)</f>
        <v>129.477691292612</v>
      </c>
      <c r="P629" s="0" t="n">
        <f aca="false">ATAN2(Fz1_u,A629)</f>
        <v>1.56307291180393</v>
      </c>
      <c r="Q629" s="0" t="n">
        <f aca="false">SQRT(1+(A629/Fz2_u)^2)</f>
        <v>146916.565201009</v>
      </c>
      <c r="R629" s="0" t="n">
        <f aca="false">ATAN2(Fz2_u,A629)</f>
        <v>1.5707895202105</v>
      </c>
      <c r="S629" s="0" t="n">
        <f aca="false">1/SQRT(1+(A629/Fp1_u)^2)</f>
        <v>0.00254656862362844</v>
      </c>
      <c r="T629" s="0" t="n">
        <f aca="false">-ATAN2(Fp1_u,A629)</f>
        <v>-1.56824975541884</v>
      </c>
      <c r="U629" s="0" t="n">
        <f aca="false">1/SQRT(1+(A629/Fp2_u)^2)</f>
        <v>0.0693447842499774</v>
      </c>
      <c r="V629" s="0" t="n">
        <f aca="false">-ATAN2(Fp2_u,A629)</f>
        <v>-1.50139584557008</v>
      </c>
      <c r="X629" s="0" t="n">
        <f aca="false">20*LOG(C629*J629*O629*Q629*F629*M629*S629*U629)</f>
        <v>-53.0320169200281</v>
      </c>
      <c r="Y629" s="0" t="n">
        <f aca="false">(180/Pi)*(D629+H629+N629+P629+R629+T629+V629)</f>
        <v>-264.120639445527</v>
      </c>
      <c r="Z629" s="0" t="n">
        <f aca="false">Y629+180</f>
        <v>-84.1206394455274</v>
      </c>
      <c r="AC629" s="0" t="n">
        <v>1</v>
      </c>
      <c r="AD629" s="0" t="n">
        <f aca="false">Rcea1_u*Cc1ea_u*A629*2*Pi</f>
        <v>129.47382956592</v>
      </c>
      <c r="AE629" s="0" t="n">
        <f aca="false">-Rcea1_u*Cc1ea_u*Cc2ea_u*(A629*2*Pi)^2</f>
        <v>-0.646738909817319</v>
      </c>
      <c r="AF629" s="0" t="n">
        <f aca="false">(Cc2ea_u+Cc1ea_u)*A629*2*Pi</f>
        <v>0.0449561908215</v>
      </c>
      <c r="AG629" s="0" t="n">
        <f aca="false">AC629*AE629/(AE629^2+AF629^2)+AD629*AF629/(AE629^2+AF629^2)</f>
        <v>12.3102697028503</v>
      </c>
      <c r="AH629" s="0" t="n">
        <f aca="false">AD629*AE629/(AE629^2+AF629^2)-AC629*AF629/(AE629^2+AF629^2)</f>
        <v>-199.339184290783</v>
      </c>
      <c r="AJ629" s="0" t="n">
        <f aca="false">_Rfb1</f>
        <v>20000</v>
      </c>
      <c r="AK629" s="0" t="n">
        <f aca="false">_Rfb1*Rcea2_u*Cc3ea_u*A629*2*Pi</f>
        <v>7853680.0321056</v>
      </c>
      <c r="AL629" s="0" t="n">
        <v>4</v>
      </c>
      <c r="AM629" s="0" t="n">
        <f aca="false">(_Rfb1+Rcea2_u)*Cc3ea_u*A629*2*Pi</f>
        <v>146916.565197605</v>
      </c>
      <c r="AN629" s="0" t="n">
        <f aca="false">AJ629*AL629/(AL629^2+AM629^2)+AK629*AM629/(AL629^2+AM629^2)</f>
        <v>53.4567396144015</v>
      </c>
      <c r="AO629" s="0" t="n">
        <f aca="false">AK629*AL629/(AL629^2+AM629^2)-AJ629*AM629/(AL629^2+AM629^2)</f>
        <v>-0.134676256655808</v>
      </c>
      <c r="AQ629" s="0" t="n">
        <f aca="false">Eadcg/(1+(Eadcg*A629/GBP)^2)</f>
        <v>0.000405311419779613</v>
      </c>
      <c r="AR629" s="0" t="n">
        <f aca="false">-(A629*Eadcg*Eadcg/GBP)/(1+(Eadcg*A629/GBP)^2)</f>
        <v>-1.13207532658644</v>
      </c>
      <c r="AT629" s="0" t="n">
        <f aca="false">-AR629*AH629+AG629*AQ629</f>
        <v>-225.661982664571</v>
      </c>
      <c r="AU629" s="0" t="n">
        <f aca="false">AQ629*AH629+AG629*AR629</f>
        <v>-14.016947042024</v>
      </c>
      <c r="AV629" s="0" t="n">
        <f aca="false">ATAN2(AT629,AU629)</f>
        <v>-3.07955756223788</v>
      </c>
      <c r="AW629" s="0" t="n">
        <f aca="false">AG629-AH629*AO629/_Rfb2+AG629*AN629/_Rfb2+AN629-AO629*AR629+AQ629*AN629</f>
        <v>65.9202615591691</v>
      </c>
      <c r="AX629" s="0" t="n">
        <f aca="false">AH629+AH629*AN629/_Rfb2+AG629*AO629/_Rfb2+AO629+AO629*AQ629+AN629*AR629</f>
        <v>-264.786927437263</v>
      </c>
      <c r="AY629" s="0" t="n">
        <f aca="false">ATAN2(AW629,AX629)</f>
        <v>-1.32680060947453</v>
      </c>
      <c r="BA629" s="0" t="n">
        <f aca="false">SQRT(AT629^2+AU629^2)/SQRT(AW629^2+AX629^2)</f>
        <v>0.828590757815962</v>
      </c>
      <c r="BB629" s="0" t="n">
        <f aca="false">20*LOG(BA629)</f>
        <v>-1.63319830349439</v>
      </c>
      <c r="BC629" s="0" t="n">
        <f aca="false">AV629-AY629</f>
        <v>-1.75275695276335</v>
      </c>
      <c r="BD629" s="0" t="n">
        <f aca="false">BC629*180/Pi-180</f>
        <v>-280.425576020304</v>
      </c>
      <c r="BF629" s="0" t="n">
        <f aca="false">20*LOG(BA629*J629*F629*C629)</f>
        <v>-66.1135231579871</v>
      </c>
      <c r="BG629" s="0" t="n">
        <f aca="false">(180/Pi)*(D629+H629+BC629)</f>
        <v>-278.225568861502</v>
      </c>
      <c r="BH629" s="0" t="n">
        <f aca="false">IF(BG629&gt;180,BG629-180,BG629+180)</f>
        <v>-98.2255688615018</v>
      </c>
      <c r="BI629" s="0" t="n">
        <f aca="false">IF(BH629&gt;180,BH629-360,BH629)</f>
        <v>-98.2255688615018</v>
      </c>
      <c r="BJ629" s="0" t="n">
        <f aca="false">SUM((BF630&lt;0)*(BF629&gt;0))*A629</f>
        <v>0</v>
      </c>
      <c r="BK629" s="0" t="n">
        <f aca="false">IF(BJ629&gt;0,BI629,0)</f>
        <v>0</v>
      </c>
      <c r="BM629" s="0" t="n">
        <f aca="false">20*LOG(J629*F629*C629)</f>
        <v>-64.4803248544927</v>
      </c>
      <c r="BN629" s="0" t="n">
        <f aca="false">(H629+D629)*180/Pi</f>
        <v>-177.799992841198</v>
      </c>
      <c r="BQ629" s="347" t="n">
        <f aca="false">20*LOG(BA629*7)</f>
        <v>15.2687624967907</v>
      </c>
    </row>
    <row r="630" customFormat="false" ht="12.75" hidden="false" customHeight="false" outlineLevel="0" collapsed="false">
      <c r="A630" s="0" t="n">
        <f aca="false">A629+100000</f>
        <v>5400000</v>
      </c>
      <c r="B630" s="0" t="n">
        <f aca="false">A630/1000</f>
        <v>5400</v>
      </c>
      <c r="C630" s="0" t="n">
        <f aca="false">SQRT((A630/Fesr)^2+1)</f>
        <v>1.00057542976765</v>
      </c>
      <c r="D630" s="0" t="n">
        <f aca="false">ATAN(A630/Fesr)</f>
        <v>0.0339161899459197</v>
      </c>
      <c r="F630" s="0" t="n">
        <f aca="false">(Ro/(Ro+Rdcr))/SQRT((A630/(Q*Fo))^2+(1-(A630^2/Fo^2))^2)</f>
        <v>6.38651503615605E-005</v>
      </c>
      <c r="G630" s="0" t="n">
        <f aca="false">-ATAN(A630*Fo/(Q*(Fo^2-A630^2)))</f>
        <v>0.00501416995485466</v>
      </c>
      <c r="H630" s="0" t="n">
        <f aca="false">IF(G630&gt;0,G630-Pi,G630)</f>
        <v>-3.13657848004515</v>
      </c>
      <c r="J630" s="0" t="n">
        <f aca="false">Vin/Vramp</f>
        <v>9</v>
      </c>
      <c r="M630" s="0" t="n">
        <f aca="false">1/(2*Pi*_Rfb1*(Cc1ea_u+Cc2ea_u)*A630)</f>
        <v>0.00109159769049216</v>
      </c>
      <c r="N630" s="0" t="n">
        <f aca="false">-Pi/2</f>
        <v>-1.570796325</v>
      </c>
      <c r="O630" s="0" t="n">
        <f aca="false">SQRT(1+(A630/Fz1_u)^2)</f>
        <v>131.920522225869</v>
      </c>
      <c r="P630" s="0" t="n">
        <f aca="false">ATAN2(Fz1_u,A630)</f>
        <v>1.56321593247676</v>
      </c>
      <c r="Q630" s="0" t="n">
        <f aca="false">SQRT(1+(A630/Fz2_u)^2)</f>
        <v>149688.575865051</v>
      </c>
      <c r="R630" s="0" t="n">
        <f aca="false">ATAN2(Fz2_u,A630)</f>
        <v>1.57078964625836</v>
      </c>
      <c r="S630" s="0" t="n">
        <f aca="false">1/SQRT(1+(A630/Fp1_u)^2)</f>
        <v>0.00249941024279504</v>
      </c>
      <c r="T630" s="0" t="n">
        <f aca="false">-ATAN2(Fp1_u,A630)</f>
        <v>-1.56829691394977</v>
      </c>
      <c r="U630" s="0" t="n">
        <f aca="false">1/SQRT(1+(A630/Fp2_u)^2)</f>
        <v>0.0680666270521744</v>
      </c>
      <c r="V630" s="0" t="n">
        <f aca="false">-ATAN2(Fp2_u,A630)</f>
        <v>-1.50267703033323</v>
      </c>
      <c r="X630" s="0" t="n">
        <f aca="false">20*LOG(C630*J630*O630*Q630*F630*M630*S630*U630)</f>
        <v>-53.5181663075477</v>
      </c>
      <c r="Y630" s="0" t="n">
        <f aca="false">(180/Pi)*(D630+H630+N630+P630+R630+T630+V630)</f>
        <v>-264.158008046167</v>
      </c>
      <c r="Z630" s="0" t="n">
        <f aca="false">Y630+180</f>
        <v>-84.158008046167</v>
      </c>
      <c r="AC630" s="0" t="n">
        <v>1</v>
      </c>
      <c r="AD630" s="0" t="n">
        <f aca="false">Rcea1_u*Cc1ea_u*A630*2*Pi</f>
        <v>131.91673201056</v>
      </c>
      <c r="AE630" s="0" t="n">
        <f aca="false">-Rcea1_u*Cc1ea_u*Cc2ea_u*(A630*2*Pi)^2</f>
        <v>-0.67137438982816</v>
      </c>
      <c r="AF630" s="0" t="n">
        <f aca="false">(Cc2ea_u+Cc1ea_u)*A630*2*Pi</f>
        <v>0.045804420837</v>
      </c>
      <c r="AG630" s="0" t="n">
        <f aca="false">AC630*AE630/(AE630^2+AF630^2)+AD630*AF630/(AE630^2+AF630^2)</f>
        <v>11.8606482387451</v>
      </c>
      <c r="AH630" s="0" t="n">
        <f aca="false">AD630*AE630/(AE630^2+AF630^2)-AC630*AF630/(AE630^2+AF630^2)</f>
        <v>-195.678393274516</v>
      </c>
      <c r="AJ630" s="0" t="n">
        <f aca="false">_Rfb1</f>
        <v>20000</v>
      </c>
      <c r="AK630" s="0" t="n">
        <f aca="false">_Rfb1*Rcea2_u*Cc3ea_u*A630*2*Pi</f>
        <v>8001862.6742208</v>
      </c>
      <c r="AL630" s="0" t="n">
        <v>5</v>
      </c>
      <c r="AM630" s="0" t="n">
        <f aca="false">(_Rfb1+Rcea2_u)*Cc3ea_u*A630*2*Pi</f>
        <v>149688.575861711</v>
      </c>
      <c r="AN630" s="0" t="n">
        <f aca="false">AJ630*AL630/(AL630^2+AM630^2)+AK630*AM630/(AL630^2+AM630^2)</f>
        <v>53.4567403509733</v>
      </c>
      <c r="AO630" s="0" t="n">
        <f aca="false">AK630*AL630/(AL630^2+AM630^2)-AJ630*AM630/(AL630^2+AM630^2)</f>
        <v>-0.131825132176253</v>
      </c>
      <c r="AQ630" s="0" t="n">
        <f aca="false">Eadcg/(1+(Eadcg*A630/GBP)^2)</f>
        <v>0.000390438883235935</v>
      </c>
      <c r="AR630" s="0" t="n">
        <f aca="false">-(A630*Eadcg*Eadcg/GBP)/(1+(Eadcg*A630/GBP)^2)</f>
        <v>-1.11111097391282</v>
      </c>
      <c r="AT630" s="0" t="n">
        <f aca="false">-AR630*AH630+AG630*AQ630</f>
        <v>-217.415779266691</v>
      </c>
      <c r="AU630" s="0" t="n">
        <f aca="false">AQ630*AH630+AG630*AR630</f>
        <v>-13.254896869133</v>
      </c>
      <c r="AV630" s="0" t="n">
        <f aca="false">ATAN2(AT630,AU630)</f>
        <v>-3.08070235642243</v>
      </c>
      <c r="AW630" s="0" t="n">
        <f aca="false">AG630-AH630*AO630/_Rfb2+AG630*AN630/_Rfb2+AN630-AO630*AR630+AQ630*AN630</f>
        <v>65.4654941471799</v>
      </c>
      <c r="AX630" s="0" t="n">
        <f aca="false">AH630+AH630*AN630/_Rfb2+AG630*AO630/_Rfb2+AO630+AO630*AQ630+AN630*AR630</f>
        <v>-259.914492376817</v>
      </c>
      <c r="AY630" s="0" t="n">
        <f aca="false">ATAN2(AW630,AX630)</f>
        <v>-1.32405543323857</v>
      </c>
      <c r="BA630" s="0" t="n">
        <f aca="false">SQRT(AT630^2+AU630^2)/SQRT(AW630^2+AX630^2)</f>
        <v>0.812661426593797</v>
      </c>
      <c r="BB630" s="0" t="n">
        <f aca="false">20*LOG(BA630)</f>
        <v>-1.80180707552373</v>
      </c>
      <c r="BC630" s="0" t="n">
        <f aca="false">AV630-AY630</f>
        <v>-1.75664692318385</v>
      </c>
      <c r="BD630" s="0" t="n">
        <f aca="false">BC630*180/Pi-180</f>
        <v>-280.648454908084</v>
      </c>
      <c r="BF630" s="0" t="n">
        <f aca="false">20*LOG(BA630*J630*F630*C630)</f>
        <v>-66.6066814247935</v>
      </c>
      <c r="BG630" s="0" t="n">
        <f aca="false">(180/Pi)*(D630+H630+BC630)</f>
        <v>-278.417909588296</v>
      </c>
      <c r="BH630" s="0" t="n">
        <f aca="false">IF(BG630&gt;180,BG630-180,BG630+180)</f>
        <v>-98.4179095882956</v>
      </c>
      <c r="BI630" s="0" t="n">
        <f aca="false">IF(BH630&gt;180,BH630-360,BH630)</f>
        <v>-98.4179095882956</v>
      </c>
      <c r="BJ630" s="0" t="n">
        <f aca="false">SUM((BF631&lt;0)*(BF630&gt;0))*A630</f>
        <v>0</v>
      </c>
      <c r="BK630" s="0" t="n">
        <f aca="false">IF(BJ630&gt;0,BI630,0)</f>
        <v>0</v>
      </c>
      <c r="BM630" s="0" t="n">
        <f aca="false">20*LOG(J630*F630*C630)</f>
        <v>-64.8048743492698</v>
      </c>
      <c r="BN630" s="0" t="n">
        <f aca="false">(H630+D630)*180/Pi</f>
        <v>-177.769454680212</v>
      </c>
      <c r="BQ630" s="347" t="n">
        <f aca="false">20*LOG(BA630*7)</f>
        <v>15.1001537247614</v>
      </c>
    </row>
    <row r="631" customFormat="false" ht="12.75" hidden="false" customHeight="false" outlineLevel="0" collapsed="false">
      <c r="A631" s="0" t="n">
        <f aca="false">A630+100000</f>
        <v>5500000</v>
      </c>
      <c r="B631" s="0" t="n">
        <f aca="false">A631/1000</f>
        <v>5500</v>
      </c>
      <c r="C631" s="0" t="n">
        <f aca="false">SQRT((A631/Fesr)^2+1)</f>
        <v>1.00059693290046</v>
      </c>
      <c r="D631" s="0" t="n">
        <f aca="false">ATAN(A631/Fesr)</f>
        <v>0.0345437725471815</v>
      </c>
      <c r="F631" s="0" t="n">
        <f aca="false">(Ro/(Ro+Rdcr))/SQRT((A631/(Q*Fo))^2+(1-(A631^2/Fo^2))^2)</f>
        <v>6.15637788315676E-005</v>
      </c>
      <c r="G631" s="0" t="n">
        <f aca="false">-ATAN(A631*Fo/(Q*(Fo^2-A631^2)))</f>
        <v>0.00492299329914576</v>
      </c>
      <c r="H631" s="0" t="n">
        <f aca="false">IF(G631&gt;0,G631-Pi,G631)</f>
        <v>-3.13666965670085</v>
      </c>
      <c r="J631" s="0" t="n">
        <f aca="false">Vin/Vramp</f>
        <v>9</v>
      </c>
      <c r="M631" s="0" t="n">
        <f aca="false">1/(2*Pi*_Rfb1*(Cc1ea_u+Cc2ea_u)*A631)</f>
        <v>0.00107175045975594</v>
      </c>
      <c r="N631" s="0" t="n">
        <f aca="false">-Pi/2</f>
        <v>-1.570796325</v>
      </c>
      <c r="O631" s="0" t="n">
        <f aca="false">SQRT(1+(A631/Fz1_u)^2)</f>
        <v>134.363355759429</v>
      </c>
      <c r="P631" s="0" t="n">
        <f aca="false">ATAN2(Fz1_u,A631)</f>
        <v>1.56335375269132</v>
      </c>
      <c r="Q631" s="0" t="n">
        <f aca="false">SQRT(1+(A631/Fz2_u)^2)</f>
        <v>152460.586529096</v>
      </c>
      <c r="R631" s="0" t="n">
        <f aca="false">ATAN2(Fz2_u,A631)</f>
        <v>1.57078976772266</v>
      </c>
      <c r="S631" s="0" t="n">
        <f aca="false">1/SQRT(1+(A631/Fp1_u)^2)</f>
        <v>0.00245396669639319</v>
      </c>
      <c r="T631" s="0" t="n">
        <f aca="false">-ATAN2(Fp1_u,A631)</f>
        <v>-1.56834235763555</v>
      </c>
      <c r="U631" s="0" t="n">
        <f aca="false">1/SQRT(1+(A631/Fp2_u)^2)</f>
        <v>0.0668346310521696</v>
      </c>
      <c r="V631" s="0" t="n">
        <f aca="false">-ATAN2(Fp2_u,A631)</f>
        <v>-1.50391183854866</v>
      </c>
      <c r="X631" s="0" t="n">
        <f aca="false">20*LOG(C631*J631*O631*Q631*F631*M631*S631*U631)</f>
        <v>-53.9954145579251</v>
      </c>
      <c r="Y631" s="0" t="n">
        <f aca="false">(180/Pi)*(D631+H631+N631+P631+R631+T631+V631)</f>
        <v>-264.192723804056</v>
      </c>
      <c r="Z631" s="0" t="n">
        <f aca="false">Y631+180</f>
        <v>-84.1927238040559</v>
      </c>
      <c r="AC631" s="0" t="n">
        <v>1</v>
      </c>
      <c r="AD631" s="0" t="n">
        <f aca="false">Rcea1_u*Cc1ea_u*A631*2*Pi</f>
        <v>134.3596344552</v>
      </c>
      <c r="AE631" s="0" t="n">
        <f aca="false">-Rcea1_u*Cc1ea_u*Cc2ea_u*(A631*2*Pi)^2</f>
        <v>-0.696470346100886</v>
      </c>
      <c r="AF631" s="0" t="n">
        <f aca="false">(Cc2ea_u+Cc1ea_u)*A631*2*Pi</f>
        <v>0.0466526508525</v>
      </c>
      <c r="AG631" s="0" t="n">
        <f aca="false">AC631*AE631/(AE631^2+AF631^2)+AD631*AF631/(AE631^2+AF631^2)</f>
        <v>11.4351818441719</v>
      </c>
      <c r="AH631" s="0" t="n">
        <f aca="false">AD631*AE631/(AE631^2+AF631^2)-AC631*AF631/(AE631^2+AF631^2)</f>
        <v>-192.149103918638</v>
      </c>
      <c r="AJ631" s="0" t="n">
        <f aca="false">_Rfb1</f>
        <v>20000</v>
      </c>
      <c r="AK631" s="0" t="n">
        <f aca="false">_Rfb1*Rcea2_u*Cc3ea_u*A631*2*Pi</f>
        <v>8150045.316336</v>
      </c>
      <c r="AL631" s="0" t="n">
        <v>6</v>
      </c>
      <c r="AM631" s="0" t="n">
        <f aca="false">(_Rfb1+Rcea2_u)*Cc3ea_u*A631*2*Pi</f>
        <v>152460.586525817</v>
      </c>
      <c r="AN631" s="0" t="n">
        <f aca="false">AJ631*AL631/(AL631^2+AM631^2)+AK631*AM631/(AL631^2+AM631^2)</f>
        <v>53.4567410274394</v>
      </c>
      <c r="AO631" s="0" t="n">
        <f aca="false">AK631*AL631/(AL631^2+AM631^2)-AJ631*AM631/(AL631^2+AM631^2)</f>
        <v>-0.129077684943203</v>
      </c>
      <c r="AQ631" s="0" t="n">
        <f aca="false">Eadcg/(1+(Eadcg*A631/GBP)^2)</f>
        <v>0.000376370178043508</v>
      </c>
      <c r="AR631" s="0" t="n">
        <f aca="false">-(A631*Eadcg*Eadcg/GBP)/(1+(Eadcg*A631/GBP)^2)</f>
        <v>-1.09090896105911</v>
      </c>
      <c r="AT631" s="0" t="n">
        <f aca="false">-AR631*AH631+AG631*AQ631</f>
        <v>-209.612875462893</v>
      </c>
      <c r="AU631" s="0" t="n">
        <f aca="false">AQ631*AH631+AG631*AR631</f>
        <v>-12.5470615376003</v>
      </c>
      <c r="AV631" s="0" t="n">
        <f aca="false">ATAN2(AT631,AU631)</f>
        <v>-3.08180573342321</v>
      </c>
      <c r="AW631" s="0" t="n">
        <f aca="false">AG631-AH631*AO631/_Rfb2+AG631*AN631/_Rfb2+AN631-AO631*AR631+AQ631*AN631</f>
        <v>65.0351488183987</v>
      </c>
      <c r="AX631" s="0" t="n">
        <f aca="false">AH631+AH631*AN631/_Rfb2+AG631*AO631/_Rfb2+AO631+AO631*AQ631+AN631*AR631</f>
        <v>-255.217581411557</v>
      </c>
      <c r="AY631" s="0" t="n">
        <f aca="false">ATAN2(AW631,AX631)</f>
        <v>-1.32128413819051</v>
      </c>
      <c r="BA631" s="0" t="n">
        <f aca="false">SQRT(AT631^2+AU631^2)/SQRT(AW631^2+AX631^2)</f>
        <v>0.797301500029515</v>
      </c>
      <c r="BB631" s="0" t="n">
        <f aca="false">20*LOG(BA631)</f>
        <v>-1.96754837663208</v>
      </c>
      <c r="BC631" s="0" t="n">
        <f aca="false">AV631-AY631</f>
        <v>-1.7605215952327</v>
      </c>
      <c r="BD631" s="0" t="n">
        <f aca="false">BC631*180/Pi-180</f>
        <v>-280.870457263734</v>
      </c>
      <c r="BF631" s="0" t="n">
        <f aca="false">20*LOG(BA631*J631*F631*C631)</f>
        <v>-67.0910094553879</v>
      </c>
      <c r="BG631" s="0" t="n">
        <f aca="false">(180/Pi)*(D631+H631+BC631)</f>
        <v>-278.609178147125</v>
      </c>
      <c r="BH631" s="0" t="n">
        <f aca="false">IF(BG631&gt;180,BG631-180,BG631+180)</f>
        <v>-98.6091781471247</v>
      </c>
      <c r="BI631" s="0" t="n">
        <f aca="false">IF(BH631&gt;180,BH631-360,BH631)</f>
        <v>-98.6091781471247</v>
      </c>
      <c r="BJ631" s="0" t="n">
        <f aca="false">SUM((BF632&lt;0)*(BF631&gt;0))*A631</f>
        <v>0</v>
      </c>
      <c r="BK631" s="0" t="n">
        <f aca="false">IF(BJ631&gt;0,BI631,0)</f>
        <v>0</v>
      </c>
      <c r="BM631" s="0" t="n">
        <f aca="false">20*LOG(J631*F631*C631)</f>
        <v>-65.1234610787559</v>
      </c>
      <c r="BN631" s="0" t="n">
        <f aca="false">(H631+D631)*180/Pi</f>
        <v>-177.738720883391</v>
      </c>
      <c r="BQ631" s="347" t="n">
        <f aca="false">20*LOG(BA631*7)</f>
        <v>14.9344124236531</v>
      </c>
    </row>
    <row r="632" customFormat="false" ht="12.75" hidden="false" customHeight="false" outlineLevel="0" collapsed="false">
      <c r="A632" s="0" t="n">
        <f aca="false">A631+100000</f>
        <v>5600000</v>
      </c>
      <c r="B632" s="0" t="n">
        <f aca="false">A632/1000</f>
        <v>5600</v>
      </c>
      <c r="C632" s="0" t="n">
        <f aca="false">SQRT((A632/Fesr)^2+1)</f>
        <v>1.00061883011127</v>
      </c>
      <c r="D632" s="0" t="n">
        <f aca="false">ATAN(A632/Fesr)</f>
        <v>0.0351713279279841</v>
      </c>
      <c r="F632" s="0" t="n">
        <f aca="false">(Ro/(Ro+Rdcr))/SQRT((A632/(Q*Fo))^2+(1-(A632^2/Fo^2))^2)</f>
        <v>5.93845988285389E-005</v>
      </c>
      <c r="G632" s="0" t="n">
        <f aca="false">-ATAN(A632*Fo/(Q*(Fo^2-A632^2)))</f>
        <v>0.00483507347034704</v>
      </c>
      <c r="H632" s="0" t="n">
        <f aca="false">IF(G632&gt;0,G632-Pi,G632)</f>
        <v>-3.13675757652965</v>
      </c>
      <c r="J632" s="0" t="n">
        <f aca="false">Vin/Vramp</f>
        <v>9</v>
      </c>
      <c r="M632" s="0" t="n">
        <f aca="false">1/(2*Pi*_Rfb1*(Cc1ea_u+Cc2ea_u)*A632)</f>
        <v>0.00105261205868887</v>
      </c>
      <c r="N632" s="0" t="n">
        <f aca="false">-Pi/2</f>
        <v>-1.570796325</v>
      </c>
      <c r="O632" s="0" t="n">
        <f aca="false">SQRT(1+(A632/Fz1_u)^2)</f>
        <v>136.806191754</v>
      </c>
      <c r="P632" s="0" t="n">
        <f aca="false">ATAN2(Fz1_u,A632)</f>
        <v>1.5634866510232</v>
      </c>
      <c r="Q632" s="0" t="n">
        <f aca="false">SQRT(1+(A632/Fz2_u)^2)</f>
        <v>155232.597193144</v>
      </c>
      <c r="R632" s="0" t="n">
        <f aca="false">ATAN2(Fz2_u,A632)</f>
        <v>1.57078988484895</v>
      </c>
      <c r="S632" s="0" t="n">
        <f aca="false">1/SQRT(1+(A632/Fp1_u)^2)</f>
        <v>0.00241014611938972</v>
      </c>
      <c r="T632" s="0" t="n">
        <f aca="false">-ATAN2(Fp1_u,A632)</f>
        <v>-1.56838617834216</v>
      </c>
      <c r="U632" s="0" t="n">
        <f aca="false">1/SQRT(1+(A632/Fp2_u)^2)</f>
        <v>0.0656463452634553</v>
      </c>
      <c r="V632" s="0" t="n">
        <f aca="false">-ATAN2(Fp2_u,A632)</f>
        <v>-1.5051027400009</v>
      </c>
      <c r="X632" s="0" t="n">
        <f aca="false">20*LOG(C632*J632*O632*Q632*F632*M632*S632*U632)</f>
        <v>-54.4640809604551</v>
      </c>
      <c r="Y632" s="0" t="n">
        <f aca="false">(180/Pi)*(D632+H632+N632+P632+R632+T632+V632)</f>
        <v>-264.224928108698</v>
      </c>
      <c r="Z632" s="0" t="n">
        <f aca="false">Y632+180</f>
        <v>-84.2249281086977</v>
      </c>
      <c r="AC632" s="0" t="n">
        <v>1</v>
      </c>
      <c r="AD632" s="0" t="n">
        <f aca="false">Rcea1_u*Cc1ea_u*A632*2*Pi</f>
        <v>136.80253689984</v>
      </c>
      <c r="AE632" s="0" t="n">
        <f aca="false">-Rcea1_u*Cc1ea_u*Cc2ea_u*(A632*2*Pi)^2</f>
        <v>-0.722026778635497</v>
      </c>
      <c r="AF632" s="0" t="n">
        <f aca="false">(Cc2ea_u+Cc1ea_u)*A632*2*Pi</f>
        <v>0.047500880868</v>
      </c>
      <c r="AG632" s="0" t="n">
        <f aca="false">AC632*AE632/(AE632^2+AF632^2)+AD632*AF632/(AE632^2+AF632^2)</f>
        <v>11.0321731749089</v>
      </c>
      <c r="AH632" s="0" t="n">
        <f aca="false">AD632*AE632/(AE632^2+AF632^2)-AC632*AF632/(AE632^2+AF632^2)</f>
        <v>-188.744383156655</v>
      </c>
      <c r="AJ632" s="0" t="n">
        <f aca="false">_Rfb1</f>
        <v>20000</v>
      </c>
      <c r="AK632" s="0" t="n">
        <f aca="false">_Rfb1*Rcea2_u*Cc3ea_u*A632*2*Pi</f>
        <v>8298227.9584512</v>
      </c>
      <c r="AL632" s="0" t="n">
        <v>7</v>
      </c>
      <c r="AM632" s="0" t="n">
        <f aca="false">(_Rfb1+Rcea2_u)*Cc3ea_u*A632*2*Pi</f>
        <v>155232.597189923</v>
      </c>
      <c r="AN632" s="0" t="n">
        <f aca="false">AJ632*AL632/(AL632^2+AM632^2)+AK632*AM632/(AL632^2+AM632^2)</f>
        <v>53.456741648773</v>
      </c>
      <c r="AO632" s="0" t="n">
        <f aca="false">AK632*AL632/(AL632^2+AM632^2)-AJ632*AM632/(AL632^2+AM632^2)</f>
        <v>-0.12642836081939</v>
      </c>
      <c r="AQ632" s="0" t="n">
        <f aca="false">Eadcg/(1+(Eadcg*A632/GBP)^2)</f>
        <v>0.000363048403500731</v>
      </c>
      <c r="AR632" s="0" t="n">
        <f aca="false">-(A632*Eadcg*Eadcg/GBP)/(1+(Eadcg*A632/GBP)^2)</f>
        <v>-1.07142844841136</v>
      </c>
      <c r="AT632" s="0" t="n">
        <f aca="false">-AR632*AH632+AG632*AQ632</f>
        <v>-202.222096379035</v>
      </c>
      <c r="AU632" s="0" t="n">
        <f aca="false">AQ632*AH632+AG632*AR632</f>
        <v>-11.8887075343728</v>
      </c>
      <c r="AV632" s="0" t="n">
        <f aca="false">ATAN2(AT632,AU632)</f>
        <v>-3.08286989736496</v>
      </c>
      <c r="AW632" s="0" t="n">
        <f aca="false">AG632-AH632*AO632/_Rfb2+AG632*AN632/_Rfb2+AN632-AO632*AR632+AQ632*AN632</f>
        <v>64.6275098906425</v>
      </c>
      <c r="AX632" s="0" t="n">
        <f aca="false">AH632+AH632*AN632/_Rfb2+AG632*AO632/_Rfb2+AO632+AO632*AQ632+AN632*AR632</f>
        <v>-250.686905707395</v>
      </c>
      <c r="AY632" s="0" t="n">
        <f aca="false">ATAN2(AW632,AX632)</f>
        <v>-1.31848847495414</v>
      </c>
      <c r="BA632" s="0" t="n">
        <f aca="false">SQRT(AT632^2+AU632^2)/SQRT(AW632^2+AX632^2)</f>
        <v>0.782480560288296</v>
      </c>
      <c r="BB632" s="0" t="n">
        <f aca="false">20*LOG(BA632)</f>
        <v>-2.13052886257965</v>
      </c>
      <c r="BC632" s="0" t="n">
        <f aca="false">AV632-AY632</f>
        <v>-1.76438142241082</v>
      </c>
      <c r="BD632" s="0" t="n">
        <f aca="false">BC632*180/Pi-180</f>
        <v>-281.091609070943</v>
      </c>
      <c r="BF632" s="0" t="n">
        <f aca="false">20*LOG(BA632*J632*F632*C632)</f>
        <v>-67.5668287071865</v>
      </c>
      <c r="BG632" s="0" t="n">
        <f aca="false">(180/Pi)*(D632+H632+BC632)</f>
        <v>-278.799411114693</v>
      </c>
      <c r="BH632" s="0" t="n">
        <f aca="false">IF(BG632&gt;180,BG632-180,BG632+180)</f>
        <v>-98.7994111146931</v>
      </c>
      <c r="BI632" s="0" t="n">
        <f aca="false">IF(BH632&gt;180,BH632-360,BH632)</f>
        <v>-98.7994111146931</v>
      </c>
      <c r="BJ632" s="0" t="n">
        <f aca="false">SUM((BF633&lt;0)*(BF632&gt;0))*A632</f>
        <v>0</v>
      </c>
      <c r="BK632" s="0" t="n">
        <f aca="false">IF(BJ632&gt;0,BI632,0)</f>
        <v>0</v>
      </c>
      <c r="BM632" s="0" t="n">
        <f aca="false">20*LOG(J632*F632*C632)</f>
        <v>-65.4362998446068</v>
      </c>
      <c r="BN632" s="0" t="n">
        <f aca="false">(H632+D632)*180/Pi</f>
        <v>-177.70780204375</v>
      </c>
      <c r="BQ632" s="347" t="n">
        <f aca="false">20*LOG(BA632*7)</f>
        <v>14.7714319377055</v>
      </c>
    </row>
    <row r="633" customFormat="false" ht="12.75" hidden="false" customHeight="false" outlineLevel="0" collapsed="false">
      <c r="A633" s="0" t="n">
        <f aca="false">A632+100000</f>
        <v>5700000</v>
      </c>
      <c r="B633" s="0" t="n">
        <f aca="false">A633/1000</f>
        <v>5700</v>
      </c>
      <c r="C633" s="0" t="n">
        <f aca="false">SQRT((A633/Fesr)^2+1)</f>
        <v>1.00064112137421</v>
      </c>
      <c r="D633" s="0" t="n">
        <f aca="false">ATAN(A633/Fesr)</f>
        <v>0.0357988555958359</v>
      </c>
      <c r="F633" s="0" t="n">
        <f aca="false">(Ro/(Ro+Rdcr))/SQRT((A633/(Q*Fo))^2+(1-(A633^2/Fo^2))^2)</f>
        <v>5.73191105119637E-005</v>
      </c>
      <c r="G633" s="0" t="n">
        <f aca="false">-ATAN(A633*Fo/(Q*(Fo^2-A633^2)))</f>
        <v>0.00475023902113053</v>
      </c>
      <c r="H633" s="0" t="n">
        <f aca="false">IF(G633&gt;0,G633-Pi,G633)</f>
        <v>-3.13684241097887</v>
      </c>
      <c r="J633" s="0" t="n">
        <f aca="false">Vin/Vramp</f>
        <v>9</v>
      </c>
      <c r="M633" s="0" t="n">
        <f aca="false">1/(2*Pi*_Rfb1*(Cc1ea_u+Cc2ea_u)*A633)</f>
        <v>0.00103414518046625</v>
      </c>
      <c r="N633" s="0" t="n">
        <f aca="false">-Pi/2</f>
        <v>-1.570796325</v>
      </c>
      <c r="O633" s="0" t="n">
        <f aca="false">SQRT(1+(A633/Fz1_u)^2)</f>
        <v>139.249030080059</v>
      </c>
      <c r="P633" s="0" t="n">
        <f aca="false">ATAN2(Fz1_u,A633)</f>
        <v>1.56361488650055</v>
      </c>
      <c r="Q633" s="0" t="n">
        <f aca="false">SQRT(1+(A633/Fz2_u)^2)</f>
        <v>158004.607857193</v>
      </c>
      <c r="R633" s="0" t="n">
        <f aca="false">ATAN2(Fz2_u,A633)</f>
        <v>1.57078999786555</v>
      </c>
      <c r="S633" s="0" t="n">
        <f aca="false">1/SQRT(1+(A633/Fp1_u)^2)</f>
        <v>0.00236786309332676</v>
      </c>
      <c r="T633" s="0" t="n">
        <f aca="false">-ATAN2(Fp1_u,A633)</f>
        <v>-1.56842846148888</v>
      </c>
      <c r="U633" s="0" t="n">
        <f aca="false">1/SQRT(1+(A633/Fp2_u)^2)</f>
        <v>0.0644994888369826</v>
      </c>
      <c r="V633" s="0" t="n">
        <f aca="false">-ATAN2(Fp2_u,A633)</f>
        <v>-1.50625203240319</v>
      </c>
      <c r="X633" s="0" t="n">
        <f aca="false">20*LOG(C633*J633*O633*Q633*F633*M633*S633*U633)</f>
        <v>-54.9244679433961</v>
      </c>
      <c r="Y633" s="0" t="n">
        <f aca="false">(180/Pi)*(D633+H633+N633+P633+R633+T633+V633)</f>
        <v>-264.254752500654</v>
      </c>
      <c r="Z633" s="0" t="n">
        <f aca="false">Y633+180</f>
        <v>-84.2547525006538</v>
      </c>
      <c r="AC633" s="0" t="n">
        <v>1</v>
      </c>
      <c r="AD633" s="0" t="n">
        <f aca="false">Rcea1_u*Cc1ea_u*A633*2*Pi</f>
        <v>139.24543934448</v>
      </c>
      <c r="AE633" s="0" t="n">
        <f aca="false">-Rcea1_u*Cc1ea_u*Cc2ea_u*(A633*2*Pi)^2</f>
        <v>-0.748043687431993</v>
      </c>
      <c r="AF633" s="0" t="n">
        <f aca="false">(Cc2ea_u+Cc1ea_u)*A633*2*Pi</f>
        <v>0.0483491108835</v>
      </c>
      <c r="AG633" s="0" t="n">
        <f aca="false">AC633*AE633/(AE633^2+AF633^2)+AD633*AF633/(AE633^2+AF633^2)</f>
        <v>10.650071194194</v>
      </c>
      <c r="AH633" s="0" t="n">
        <f aca="false">AD633*AE633/(AE633^2+AF633^2)-AC633*AF633/(AE633^2+AF633^2)</f>
        <v>-185.457774996607</v>
      </c>
      <c r="AJ633" s="0" t="n">
        <f aca="false">_Rfb1</f>
        <v>20000</v>
      </c>
      <c r="AK633" s="0" t="n">
        <f aca="false">_Rfb1*Rcea2_u*Cc3ea_u*A633*2*Pi</f>
        <v>8446410.6005664</v>
      </c>
      <c r="AL633" s="0" t="n">
        <v>8</v>
      </c>
      <c r="AM633" s="0" t="n">
        <f aca="false">(_Rfb1+Rcea2_u)*Cc3ea_u*A633*2*Pi</f>
        <v>158004.607854028</v>
      </c>
      <c r="AN633" s="0" t="n">
        <f aca="false">AJ633*AL633/(AL633^2+AM633^2)+AK633*AM633/(AL633^2+AM633^2)</f>
        <v>53.4567422194771</v>
      </c>
      <c r="AO633" s="0" t="n">
        <f aca="false">AK633*AL633/(AL633^2+AM633^2)-AJ633*AM633/(AL633^2+AM633^2)</f>
        <v>-0.123871995431462</v>
      </c>
      <c r="AQ633" s="0" t="n">
        <f aca="false">Eadcg/(1+(Eadcg*A633/GBP)^2)</f>
        <v>0.000350421606009461</v>
      </c>
      <c r="AR633" s="0" t="n">
        <f aca="false">-(A633*Eadcg*Eadcg/GBP)/(1+(Eadcg*A633/GBP)^2)</f>
        <v>-1.05263146229182</v>
      </c>
      <c r="AT633" s="0" t="n">
        <f aca="false">-AR633*AH633+AG633*AQ633</f>
        <v>-195.214956873014</v>
      </c>
      <c r="AU633" s="0" t="n">
        <f aca="false">AQ633*AH633+AG633*AR633</f>
        <v>-11.2755884260177</v>
      </c>
      <c r="AV633" s="0" t="n">
        <f aca="false">ATAN2(AT633,AU633)</f>
        <v>-3.08389689894213</v>
      </c>
      <c r="AW633" s="0" t="n">
        <f aca="false">AG633-AH633*AO633/_Rfb2+AG633*AN633/_Rfb2+AN633-AO633*AR633+AQ633*AN633</f>
        <v>64.2410095400492</v>
      </c>
      <c r="AX633" s="0" t="n">
        <f aca="false">AH633+AH633*AN633/_Rfb2+AG633*AO633/_Rfb2+AO633+AO633*AQ633+AN633*AR633</f>
        <v>-246.31381860358</v>
      </c>
      <c r="AY633" s="0" t="n">
        <f aca="false">ATAN2(AW633,AX633)</f>
        <v>-1.31567007748459</v>
      </c>
      <c r="BA633" s="0" t="n">
        <f aca="false">SQRT(AT633^2+AU633^2)/SQRT(AW633^2+AX633^2)</f>
        <v>0.768170323190588</v>
      </c>
      <c r="BB633" s="0" t="n">
        <f aca="false">20*LOG(BA633)</f>
        <v>-2.29084949987418</v>
      </c>
      <c r="BC633" s="0" t="n">
        <f aca="false">AV633-AY633</f>
        <v>-1.76822682145754</v>
      </c>
      <c r="BD633" s="0" t="n">
        <f aca="false">BC633*180/Pi-180</f>
        <v>-281.311934207115</v>
      </c>
      <c r="BF633" s="0" t="n">
        <f aca="false">20*LOG(BA633*J633*F633*C633)</f>
        <v>-68.0344435395442</v>
      </c>
      <c r="BG633" s="0" t="n">
        <f aca="false">(180/Pi)*(D633+H633+BC633)</f>
        <v>-278.988642219832</v>
      </c>
      <c r="BH633" s="0" t="n">
        <f aca="false">IF(BG633&gt;180,BG633-180,BG633+180)</f>
        <v>-98.9886422198318</v>
      </c>
      <c r="BI633" s="0" t="n">
        <f aca="false">IF(BH633&gt;180,BH633-360,BH633)</f>
        <v>-98.9886422198318</v>
      </c>
      <c r="BJ633" s="0" t="n">
        <f aca="false">SUM((BF634&lt;0)*(BF633&gt;0))*A633</f>
        <v>0</v>
      </c>
      <c r="BK633" s="0" t="n">
        <f aca="false">IF(BJ633&gt;0,BI633,0)</f>
        <v>0</v>
      </c>
      <c r="BM633" s="0" t="n">
        <f aca="false">20*LOG(J633*F633*C633)</f>
        <v>-65.7435940396701</v>
      </c>
      <c r="BN633" s="0" t="n">
        <f aca="false">(H633+D633)*180/Pi</f>
        <v>-177.676708012716</v>
      </c>
      <c r="BQ633" s="347" t="n">
        <f aca="false">20*LOG(BA633*7)</f>
        <v>14.611111300411</v>
      </c>
    </row>
    <row r="634" customFormat="false" ht="12.75" hidden="false" customHeight="false" outlineLevel="0" collapsed="false">
      <c r="A634" s="0" t="n">
        <f aca="false">A633+100000</f>
        <v>5800000</v>
      </c>
      <c r="B634" s="0" t="n">
        <f aca="false">A634/1000</f>
        <v>5800</v>
      </c>
      <c r="C634" s="0" t="n">
        <f aca="false">SQRT((A634/Fesr)^2+1)</f>
        <v>1.00066380666294</v>
      </c>
      <c r="D634" s="0" t="n">
        <f aca="false">ATAN(A634/Fesr)</f>
        <v>0.0364263550583763</v>
      </c>
      <c r="F634" s="0" t="n">
        <f aca="false">(Ro/(Ro+Rdcr))/SQRT((A634/(Q*Fo))^2+(1-(A634^2/Fo^2))^2)</f>
        <v>5.53595404794975E-005</v>
      </c>
      <c r="G634" s="0" t="n">
        <f aca="false">-ATAN(A634*Fo/(Q*(Fo^2-A634^2)))</f>
        <v>0.00466833033109394</v>
      </c>
      <c r="H634" s="0" t="n">
        <f aca="false">IF(G634&gt;0,G634-Pi,G634)</f>
        <v>-3.13692431966891</v>
      </c>
      <c r="J634" s="0" t="n">
        <f aca="false">Vin/Vramp</f>
        <v>9</v>
      </c>
      <c r="M634" s="0" t="n">
        <f aca="false">1/(2*Pi*_Rfb1*(Cc1ea_u+Cc2ea_u)*A634)</f>
        <v>0.00101631509114787</v>
      </c>
      <c r="N634" s="0" t="n">
        <f aca="false">-Pi/2</f>
        <v>-1.570796325</v>
      </c>
      <c r="O634" s="0" t="n">
        <f aca="false">SQRT(1+(A634/Fz1_u)^2)</f>
        <v>141.691870617021</v>
      </c>
      <c r="P634" s="0" t="n">
        <f aca="false">ATAN2(Fz1_u,A634)</f>
        <v>1.56373870028905</v>
      </c>
      <c r="Q634" s="0" t="n">
        <f aca="false">SQRT(1+(A634/Fz2_u)^2)</f>
        <v>160776.618521244</v>
      </c>
      <c r="R634" s="0" t="n">
        <f aca="false">ATAN2(Fz2_u,A634)</f>
        <v>1.57079010698502</v>
      </c>
      <c r="S634" s="0" t="n">
        <f aca="false">1/SQRT(1+(A634/Fp1_u)^2)</f>
        <v>0.00232703809059191</v>
      </c>
      <c r="T634" s="0" t="n">
        <f aca="false">-ATAN2(Fp1_u,A634)</f>
        <v>-1.56846928660411</v>
      </c>
      <c r="U634" s="0" t="n">
        <f aca="false">1/SQRT(1+(A634/Fp2_u)^2)</f>
        <v>0.0633919365803769</v>
      </c>
      <c r="V634" s="0" t="n">
        <f aca="false">-ATAN2(Fp2_u,A634)</f>
        <v>-1.5073618561063</v>
      </c>
      <c r="X634" s="0" t="n">
        <f aca="false">20*LOG(C634*J634*O634*Q634*F634*M634*S634*U634)</f>
        <v>-55.3768622391577</v>
      </c>
      <c r="Y634" s="0" t="n">
        <f aca="false">(180/Pi)*(D634+H634+N634+P634+R634+T634+V634)</f>
        <v>-264.28231951346</v>
      </c>
      <c r="Z634" s="0" t="n">
        <f aca="false">Y634+180</f>
        <v>-84.2823195134597</v>
      </c>
      <c r="AC634" s="0" t="n">
        <v>1</v>
      </c>
      <c r="AD634" s="0" t="n">
        <f aca="false">Rcea1_u*Cc1ea_u*A634*2*Pi</f>
        <v>141.68834178912</v>
      </c>
      <c r="AE634" s="0" t="n">
        <f aca="false">-Rcea1_u*Cc1ea_u*Cc2ea_u*(A634*2*Pi)^2</f>
        <v>-0.774521072490374</v>
      </c>
      <c r="AF634" s="0" t="n">
        <f aca="false">(Cc2ea_u+Cc1ea_u)*A634*2*Pi</f>
        <v>0.049197340899</v>
      </c>
      <c r="AG634" s="0" t="n">
        <f aca="false">AC634*AE634/(AE634^2+AF634^2)+AD634*AF634/(AE634^2+AF634^2)</f>
        <v>10.287456315931</v>
      </c>
      <c r="AH634" s="0" t="n">
        <f aca="false">AD634*AE634/(AE634^2+AF634^2)-AC634*AF634/(AE634^2+AF634^2)</f>
        <v>-182.283260337654</v>
      </c>
      <c r="AJ634" s="0" t="n">
        <f aca="false">_Rfb1</f>
        <v>20000</v>
      </c>
      <c r="AK634" s="0" t="n">
        <f aca="false">_Rfb1*Rcea2_u*Cc3ea_u*A634*2*Pi</f>
        <v>8594593.2426816</v>
      </c>
      <c r="AL634" s="0" t="n">
        <v>9</v>
      </c>
      <c r="AM634" s="0" t="n">
        <f aca="false">(_Rfb1+Rcea2_u)*Cc3ea_u*A634*2*Pi</f>
        <v>160776.618518134</v>
      </c>
      <c r="AN634" s="0" t="n">
        <f aca="false">AJ634*AL634/(AL634^2+AM634^2)+AK634*AM634/(AL634^2+AM634^2)</f>
        <v>53.4567427436362</v>
      </c>
      <c r="AO634" s="0" t="n">
        <f aca="false">AK634*AL634/(AL634^2+AM634^2)-AJ634*AM634/(AL634^2+AM634^2)</f>
        <v>-0.121403780569659</v>
      </c>
      <c r="AQ634" s="0" t="n">
        <f aca="false">Eadcg/(1+(Eadcg*A634/GBP)^2)</f>
        <v>0.000338442271771122</v>
      </c>
      <c r="AR634" s="0" t="n">
        <f aca="false">-(A634*Eadcg*Eadcg/GBP)/(1+(Eadcg*A634/GBP)^2)</f>
        <v>-1.03448264789561</v>
      </c>
      <c r="AT634" s="0" t="n">
        <f aca="false">-AR634*AH634+AG634*AQ634</f>
        <v>-188.565388111055</v>
      </c>
      <c r="AU634" s="0" t="n">
        <f aca="false">AQ634*AH634+AG634*AR634</f>
        <v>-10.7038874105492</v>
      </c>
      <c r="AV634" s="0" t="n">
        <f aca="false">ATAN2(AT634,AU634)</f>
        <v>-3.08488864852099</v>
      </c>
      <c r="AW634" s="0" t="n">
        <f aca="false">AG634-AH634*AO634/_Rfb2+AG634*AN634/_Rfb2+AN634-AO634*AR634+AQ634*AN634</f>
        <v>63.874212789607</v>
      </c>
      <c r="AX634" s="0" t="n">
        <f aca="false">AH634+AH634*AN634/_Rfb2+AG634*AO634/_Rfb2+AO634+AO634*AQ634+AN634*AR634</f>
        <v>-242.0902612184</v>
      </c>
      <c r="AY634" s="0" t="n">
        <f aca="false">ATAN2(AW634,AX634)</f>
        <v>-1.31283047292667</v>
      </c>
      <c r="BA634" s="0" t="n">
        <f aca="false">SQRT(AT634^2+AU634^2)/SQRT(AW634^2+AX634^2)</f>
        <v>0.754344454429032</v>
      </c>
      <c r="BB634" s="0" t="n">
        <f aca="false">20*LOG(BA634)</f>
        <v>-2.44860596063958</v>
      </c>
      <c r="BC634" s="0" t="n">
        <f aca="false">AV634-AY634</f>
        <v>-1.77205817559432</v>
      </c>
      <c r="BD634" s="0" t="n">
        <f aca="false">BC634*180/Pi-180</f>
        <v>-281.531454629224</v>
      </c>
      <c r="BF634" s="0" t="n">
        <f aca="false">20*LOG(BA634*J634*F634*C634)</f>
        <v>-68.4941424025722</v>
      </c>
      <c r="BG634" s="0" t="n">
        <f aca="false">(180/Pi)*(D634+H634+BC634)</f>
        <v>-279.176902593299</v>
      </c>
      <c r="BH634" s="0" t="n">
        <f aca="false">IF(BG634&gt;180,BG634-180,BG634+180)</f>
        <v>-99.1769025932987</v>
      </c>
      <c r="BI634" s="0" t="n">
        <f aca="false">IF(BH634&gt;180,BH634-360,BH634)</f>
        <v>-99.1769025932987</v>
      </c>
      <c r="BJ634" s="0" t="n">
        <f aca="false">SUM((BF635&lt;0)*(BF634&gt;0))*A634</f>
        <v>0</v>
      </c>
      <c r="BK634" s="0" t="n">
        <f aca="false">IF(BJ634&gt;0,BI634,0)</f>
        <v>0</v>
      </c>
      <c r="BM634" s="0" t="n">
        <f aca="false">20*LOG(J634*F634*C634)</f>
        <v>-66.0455364419326</v>
      </c>
      <c r="BN634" s="0" t="n">
        <f aca="false">(H634+D634)*180/Pi</f>
        <v>-177.645447964075</v>
      </c>
      <c r="BQ634" s="347" t="n">
        <f aca="false">20*LOG(BA634*7)</f>
        <v>14.4533548396456</v>
      </c>
    </row>
    <row r="635" customFormat="false" ht="12.75" hidden="false" customHeight="false" outlineLevel="0" collapsed="false">
      <c r="A635" s="0" t="n">
        <f aca="false">A634+100000</f>
        <v>5900000</v>
      </c>
      <c r="B635" s="0" t="n">
        <f aca="false">A635/1000</f>
        <v>5900</v>
      </c>
      <c r="C635" s="0" t="n">
        <f aca="false">SQRT((A635/Fesr)^2+1)</f>
        <v>1.00068688595068</v>
      </c>
      <c r="D635" s="0" t="n">
        <f aca="false">ATAN(A635/Fesr)</f>
        <v>0.0370538258233777</v>
      </c>
      <c r="F635" s="0" t="n">
        <f aca="false">(Ro/(Ro+Rdcr))/SQRT((A635/(Q*Fo))^2+(1-(A635^2/Fo^2))^2)</f>
        <v>5.349876851773E-005</v>
      </c>
      <c r="G635" s="0" t="n">
        <f aca="false">-ATAN(A635*Fo/(Q*(Fo^2-A635^2)))</f>
        <v>0.00458919860418426</v>
      </c>
      <c r="H635" s="0" t="n">
        <f aca="false">IF(G635&gt;0,G635-Pi,G635)</f>
        <v>-3.13700345139582</v>
      </c>
      <c r="J635" s="0" t="n">
        <f aca="false">Vin/Vramp</f>
        <v>9</v>
      </c>
      <c r="M635" s="0" t="n">
        <f aca="false">1/(2*Pi*_Rfb1*(Cc1ea_u+Cc2ea_u)*A635)</f>
        <v>0.000999089411636889</v>
      </c>
      <c r="N635" s="0" t="n">
        <f aca="false">-Pi/2</f>
        <v>-1.570796325</v>
      </c>
      <c r="O635" s="0" t="n">
        <f aca="false">SQRT(1+(A635/Fz1_u)^2)</f>
        <v>144.13471325247</v>
      </c>
      <c r="P635" s="0" t="n">
        <f aca="false">ATAN2(Fz1_u,A635)</f>
        <v>1.56385831720552</v>
      </c>
      <c r="Q635" s="0" t="n">
        <f aca="false">SQRT(1+(A635/Fz2_u)^2)</f>
        <v>163548.629185297</v>
      </c>
      <c r="R635" s="0" t="n">
        <f aca="false">ATAN2(Fz2_u,A635)</f>
        <v>1.57079021240553</v>
      </c>
      <c r="S635" s="0" t="n">
        <f aca="false">1/SQRT(1+(A635/Fp1_u)^2)</f>
        <v>0.00228759697520225</v>
      </c>
      <c r="T635" s="0" t="n">
        <f aca="false">-ATAN2(Fp1_u,A635)</f>
        <v>-1.56850872782449</v>
      </c>
      <c r="U635" s="0" t="n">
        <f aca="false">1/SQRT(1+(A635/Fp2_u)^2)</f>
        <v>0.0623217059284164</v>
      </c>
      <c r="V635" s="0" t="n">
        <f aca="false">-ATAN2(Fp2_u,A635)</f>
        <v>-1.50843420732585</v>
      </c>
      <c r="X635" s="0" t="n">
        <f aca="false">20*LOG(C635*J635*O635*Q635*F635*M635*S635*U635)</f>
        <v>-55.821535950668</v>
      </c>
      <c r="Y635" s="0" t="n">
        <f aca="false">(180/Pi)*(D635+H635+N635+P635+R635+T635+V635)</f>
        <v>-264.307743430744</v>
      </c>
      <c r="Z635" s="0" t="n">
        <f aca="false">Y635+180</f>
        <v>-84.307743430744</v>
      </c>
      <c r="AC635" s="0" t="n">
        <v>1</v>
      </c>
      <c r="AD635" s="0" t="n">
        <f aca="false">Rcea1_u*Cc1ea_u*A635*2*Pi</f>
        <v>144.13124423376</v>
      </c>
      <c r="AE635" s="0" t="n">
        <f aca="false">-Rcea1_u*Cc1ea_u*Cc2ea_u*(A635*2*Pi)^2</f>
        <v>-0.80145893381064</v>
      </c>
      <c r="AF635" s="0" t="n">
        <f aca="false">(Cc2ea_u+Cc1ea_u)*A635*2*Pi</f>
        <v>0.0500455709145</v>
      </c>
      <c r="AG635" s="0" t="n">
        <f aca="false">AC635*AE635/(AE635^2+AF635^2)+AD635*AF635/(AE635^2+AF635^2)</f>
        <v>9.94302727635973</v>
      </c>
      <c r="AH635" s="0" t="n">
        <f aca="false">AD635*AE635/(AE635^2+AF635^2)-AC635*AF635/(AE635^2+AF635^2)</f>
        <v>-179.215220765176</v>
      </c>
      <c r="AJ635" s="0" t="n">
        <f aca="false">_Rfb1</f>
        <v>20000</v>
      </c>
      <c r="AK635" s="0" t="n">
        <f aca="false">_Rfb1*Rcea2_u*Cc3ea_u*A635*2*Pi</f>
        <v>8742775.8847968</v>
      </c>
      <c r="AL635" s="0" t="n">
        <v>10</v>
      </c>
      <c r="AM635" s="0" t="n">
        <f aca="false">(_Rfb1+Rcea2_u)*Cc3ea_u*A635*2*Pi</f>
        <v>163548.62918224</v>
      </c>
      <c r="AN635" s="0" t="n">
        <f aca="false">AJ635*AL635/(AL635^2+AM635^2)+AK635*AM635/(AL635^2+AM635^2)</f>
        <v>53.4567432249597</v>
      </c>
      <c r="AO635" s="0" t="n">
        <f aca="false">AK635*AL635/(AL635^2+AM635^2)-AJ635*AM635/(AL635^2+AM635^2)</f>
        <v>-0.119019234004465</v>
      </c>
      <c r="AQ635" s="0" t="n">
        <f aca="false">Eadcg/(1+(Eadcg*A635/GBP)^2)</f>
        <v>0.000327066879153667</v>
      </c>
      <c r="AR635" s="0" t="n">
        <f aca="false">-(A635*Eadcg*Eadcg/GBP)/(1+(Eadcg*A635/GBP)^2)</f>
        <v>-1.0169490473525</v>
      </c>
      <c r="AT635" s="0" t="n">
        <f aca="false">-AR635*AH635+AG635*AQ635</f>
        <v>-182.249495993312</v>
      </c>
      <c r="AU635" s="0" t="n">
        <f aca="false">AQ635*AH635+AG635*AR635</f>
        <v>-10.1701674794464</v>
      </c>
      <c r="AV635" s="0" t="n">
        <f aca="false">ATAN2(AT635,AU635)</f>
        <v>-3.08584692792345</v>
      </c>
      <c r="AW635" s="0" t="n">
        <f aca="false">AG635-AH635*AO635/_Rfb2+AG635*AN635/_Rfb2+AN635-AO635*AR635+AQ635*AN635</f>
        <v>63.5258042438204</v>
      </c>
      <c r="AX635" s="0" t="n">
        <f aca="false">AH635+AH635*AN635/_Rfb2+AG635*AO635/_Rfb2+AO635+AO635*AQ635+AN635*AR635</f>
        <v>-238.008713476092</v>
      </c>
      <c r="AY635" s="0" t="n">
        <f aca="false">ATAN2(AW635,AX635)</f>
        <v>-1.30997109048395</v>
      </c>
      <c r="BA635" s="0" t="n">
        <f aca="false">SQRT(AT635^2+AU635^2)/SQRT(AW635^2+AX635^2)</f>
        <v>0.740978404455263</v>
      </c>
      <c r="BB635" s="0" t="n">
        <f aca="false">20*LOG(BA635)</f>
        <v>-2.60388898380299</v>
      </c>
      <c r="BC635" s="0" t="n">
        <f aca="false">AV635-AY635</f>
        <v>-1.7758758374395</v>
      </c>
      <c r="BD635" s="0" t="n">
        <f aca="false">BC635*180/Pi-180</f>
        <v>-281.75019054081</v>
      </c>
      <c r="BF635" s="0" t="n">
        <f aca="false">20*LOG(BA635*J635*F635*C635)</f>
        <v>-68.9461989243847</v>
      </c>
      <c r="BG635" s="0" t="n">
        <f aca="false">(180/Pi)*(D635+H635+BC635)</f>
        <v>-279.364220992224</v>
      </c>
      <c r="BH635" s="0" t="n">
        <f aca="false">IF(BG635&gt;180,BG635-180,BG635+180)</f>
        <v>-99.3642209922244</v>
      </c>
      <c r="BI635" s="0" t="n">
        <f aca="false">IF(BH635&gt;180,BH635-360,BH635)</f>
        <v>-99.3642209922244</v>
      </c>
      <c r="BJ635" s="0" t="n">
        <f aca="false">SUM((BF636&lt;0)*(BF635&gt;0))*A635</f>
        <v>0</v>
      </c>
      <c r="BK635" s="0" t="n">
        <f aca="false">IF(BJ635&gt;0,BI635,0)</f>
        <v>0</v>
      </c>
      <c r="BM635" s="0" t="n">
        <f aca="false">20*LOG(J635*F635*C635)</f>
        <v>-66.3423099405817</v>
      </c>
      <c r="BN635" s="0" t="n">
        <f aca="false">(H635+D635)*180/Pi</f>
        <v>-177.614030451414</v>
      </c>
      <c r="BQ635" s="347" t="n">
        <f aca="false">20*LOG(BA635*7)</f>
        <v>14.2980718164821</v>
      </c>
    </row>
    <row r="636" customFormat="false" ht="12.75" hidden="false" customHeight="false" outlineLevel="0" collapsed="false">
      <c r="A636" s="0" t="n">
        <f aca="false">A635+100000</f>
        <v>6000000</v>
      </c>
      <c r="B636" s="0" t="n">
        <f aca="false">A636/1000</f>
        <v>6000</v>
      </c>
      <c r="C636" s="0" t="n">
        <f aca="false">SQRT((A636/Fesr)^2+1)</f>
        <v>1.00071035921015</v>
      </c>
      <c r="D636" s="0" t="n">
        <f aca="false">ATAN(A636/Fesr)</f>
        <v>0.037681267398748</v>
      </c>
      <c r="F636" s="0" t="n">
        <f aca="false">(Ro/(Ro+Rdcr))/SQRT((A636/(Q*Fo))^2+(1-(A636^2/Fo^2))^2)</f>
        <v>5.17302628274216E-005</v>
      </c>
      <c r="G636" s="0" t="n">
        <f aca="false">-ATAN(A636*Fo/(Q*(Fo^2-A636^2)))</f>
        <v>0.00451270496641242</v>
      </c>
      <c r="H636" s="0" t="n">
        <f aca="false">IF(G636&gt;0,G636-Pi,G636)</f>
        <v>-3.13707994503359</v>
      </c>
      <c r="J636" s="0" t="n">
        <f aca="false">Vin/Vramp</f>
        <v>9</v>
      </c>
      <c r="M636" s="0" t="n">
        <f aca="false">1/(2*Pi*_Rfb1*(Cc1ea_u+Cc2ea_u)*A636)</f>
        <v>0.000982437921442941</v>
      </c>
      <c r="N636" s="0" t="n">
        <f aca="false">-Pi/2</f>
        <v>-1.570796325</v>
      </c>
      <c r="O636" s="0" t="n">
        <f aca="false">SQRT(1+(A636/Fz1_u)^2)</f>
        <v>146.577557881489</v>
      </c>
      <c r="P636" s="0" t="n">
        <f aca="false">ATAN2(Fz1_u,A636)</f>
        <v>1.56397394708021</v>
      </c>
      <c r="Q636" s="0" t="n">
        <f aca="false">SQRT(1+(A636/Fz2_u)^2)</f>
        <v>166320.639849352</v>
      </c>
      <c r="R636" s="0" t="n">
        <f aca="false">ATAN2(Fz2_u,A636)</f>
        <v>1.57079031431201</v>
      </c>
      <c r="S636" s="0" t="n">
        <f aca="false">1/SQRT(1+(A636/Fp1_u)^2)</f>
        <v>0.002249470553509</v>
      </c>
      <c r="T636" s="0" t="n">
        <f aca="false">-ATAN2(Fp1_u,A636)</f>
        <v>-1.56854685434429</v>
      </c>
      <c r="U636" s="0" t="n">
        <f aca="false">1/SQRT(1+(A636/Fp2_u)^2)</f>
        <v>0.0612869451982105</v>
      </c>
      <c r="V636" s="0" t="n">
        <f aca="false">-ATAN2(Fp2_u,A636)</f>
        <v>-1.50947095005921</v>
      </c>
      <c r="X636" s="0" t="n">
        <f aca="false">20*LOG(C636*J636*O636*Q636*F636*M636*S636*U636)</f>
        <v>-56.2587475287966</v>
      </c>
      <c r="Y636" s="0" t="n">
        <f aca="false">(180/Pi)*(D636+H636+N636+P636+R636+T636+V636)</f>
        <v>-264.331130968332</v>
      </c>
      <c r="Z636" s="0" t="n">
        <f aca="false">Y636+180</f>
        <v>-84.3311309683323</v>
      </c>
      <c r="AC636" s="0" t="n">
        <v>1</v>
      </c>
      <c r="AD636" s="0" t="n">
        <f aca="false">Rcea1_u*Cc1ea_u*A636*2*Pi</f>
        <v>146.5741466784</v>
      </c>
      <c r="AE636" s="0" t="n">
        <f aca="false">-Rcea1_u*Cc1ea_u*Cc2ea_u*(A636*2*Pi)^2</f>
        <v>-0.82885727139279</v>
      </c>
      <c r="AF636" s="0" t="n">
        <f aca="false">(Cc2ea_u+Cc1ea_u)*A636*2*Pi</f>
        <v>0.05089380093</v>
      </c>
      <c r="AG636" s="0" t="n">
        <f aca="false">AC636*AE636/(AE636^2+AF636^2)+AD636*AF636/(AE636^2+AF636^2)</f>
        <v>9.61558950842487</v>
      </c>
      <c r="AH636" s="0" t="n">
        <f aca="false">AD636*AE636/(AE636^2+AF636^2)-AC636*AF636/(AE636^2+AF636^2)</f>
        <v>-176.248405874098</v>
      </c>
      <c r="AJ636" s="0" t="n">
        <f aca="false">_Rfb1</f>
        <v>20000</v>
      </c>
      <c r="AK636" s="0" t="n">
        <f aca="false">_Rfb1*Rcea2_u*Cc3ea_u*A636*2*Pi</f>
        <v>8890958.526912</v>
      </c>
      <c r="AL636" s="0" t="n">
        <v>11</v>
      </c>
      <c r="AM636" s="0" t="n">
        <f aca="false">(_Rfb1+Rcea2_u)*Cc3ea_u*A636*2*Pi</f>
        <v>166320.639846346</v>
      </c>
      <c r="AN636" s="0" t="n">
        <f aca="false">AJ636*AL636/(AL636^2+AM636^2)+AK636*AM636/(AL636^2+AM636^2)</f>
        <v>53.4567436668219</v>
      </c>
      <c r="AO636" s="0" t="n">
        <f aca="false">AK636*AL636/(AL636^2+AM636^2)-AJ636*AM636/(AL636^2+AM636^2)</f>
        <v>-0.116714172321599</v>
      </c>
      <c r="AQ636" s="0" t="n">
        <f aca="false">Eadcg/(1+(Eadcg*A636/GBP)^2)</f>
        <v>0.000316255502840749</v>
      </c>
      <c r="AR636" s="0" t="n">
        <f aca="false">-(A636*Eadcg*Eadcg/GBP)/(1+(Eadcg*A636/GBP)^2)</f>
        <v>-0.999999899982447</v>
      </c>
      <c r="AT636" s="0" t="n">
        <f aca="false">-AR636*AH636+AG636*AQ636</f>
        <v>-176.245347263068</v>
      </c>
      <c r="AU636" s="0" t="n">
        <f aca="false">AQ636*AH636+AG636*AR636</f>
        <v>-9.67132807492173</v>
      </c>
      <c r="AV636" s="0" t="n">
        <f aca="false">ATAN2(AT636,AU636)</f>
        <v>-3.08677340104487</v>
      </c>
      <c r="AW636" s="0" t="n">
        <f aca="false">AG636-AH636*AO636/_Rfb2+AG636*AN636/_Rfb2+AN636-AO636*AR636+AQ636*AN636</f>
        <v>63.1945763414814</v>
      </c>
      <c r="AX636" s="0" t="n">
        <f aca="false">AH636+AH636*AN636/_Rfb2+AG636*AO636/_Rfb2+AO636+AO636*AQ636+AN636*AR636</f>
        <v>-234.062149936659</v>
      </c>
      <c r="AY636" s="0" t="n">
        <f aca="false">ATAN2(AW636,AX636)</f>
        <v>-1.30709326941248</v>
      </c>
      <c r="BA636" s="0" t="n">
        <f aca="false">SQRT(AT636^2+AU636^2)/SQRT(AW636^2+AX636^2)</f>
        <v>0.728049259861008</v>
      </c>
      <c r="BB636" s="0" t="n">
        <f aca="false">20*LOG(BA636)</f>
        <v>-2.75678470599027</v>
      </c>
      <c r="BC636" s="0" t="n">
        <f aca="false">AV636-AY636</f>
        <v>-1.77968013163239</v>
      </c>
      <c r="BD636" s="0" t="n">
        <f aca="false">BC636*180/Pi-180</f>
        <v>-281.968160542338</v>
      </c>
      <c r="BF636" s="0" t="n">
        <f aca="false">20*LOG(BA636*J636*F636*C636)</f>
        <v>-69.3908729070171</v>
      </c>
      <c r="BG636" s="0" t="n">
        <f aca="false">(180/Pi)*(D636+H636+BC636)</f>
        <v>-279.550624002161</v>
      </c>
      <c r="BH636" s="0" t="n">
        <f aca="false">IF(BG636&gt;180,BG636-180,BG636+180)</f>
        <v>-99.5506240021606</v>
      </c>
      <c r="BI636" s="0" t="n">
        <f aca="false">IF(BH636&gt;180,BH636-360,BH636)</f>
        <v>-99.5506240021606</v>
      </c>
      <c r="BJ636" s="0" t="n">
        <f aca="false">SUM((BF637&lt;0)*(BF636&gt;0))*A636</f>
        <v>0</v>
      </c>
      <c r="BK636" s="0" t="n">
        <f aca="false">IF(BJ636&gt;0,BI636,0)</f>
        <v>0</v>
      </c>
      <c r="BM636" s="0" t="n">
        <f aca="false">20*LOG(J636*F636*C636)</f>
        <v>-66.6340882010268</v>
      </c>
      <c r="BN636" s="0" t="n">
        <f aca="false">(H636+D636)*180/Pi</f>
        <v>-177.582463459822</v>
      </c>
      <c r="BQ636" s="347" t="n">
        <f aca="false">20*LOG(BA636*7)</f>
        <v>14.1451760942949</v>
      </c>
    </row>
    <row r="637" customFormat="false" ht="12.75" hidden="false" customHeight="false" outlineLevel="0" collapsed="false">
      <c r="A637" s="0" t="n">
        <f aca="false">A636+100000</f>
        <v>6100000</v>
      </c>
      <c r="B637" s="0" t="n">
        <f aca="false">A637/1000</f>
        <v>6100</v>
      </c>
      <c r="C637" s="0" t="n">
        <f aca="false">SQRT((A637/Fesr)^2+1)</f>
        <v>1.00073422641364</v>
      </c>
      <c r="D637" s="0" t="n">
        <f aca="false">ATAN(A637/Fesr)</f>
        <v>0.0383086792925328</v>
      </c>
      <c r="F637" s="0" t="n">
        <f aca="false">(Ro/(Ro+Rdcr))/SQRT((A637/(Q*Fo))^2+(1-(A637^2/Fo^2))^2)</f>
        <v>5.00480226209311E-005</v>
      </c>
      <c r="G637" s="0" t="n">
        <f aca="false">-ATAN(A637*Fo/(Q*(Fo^2-A637^2)))</f>
        <v>0.00443871965234614</v>
      </c>
      <c r="H637" s="0" t="n">
        <f aca="false">IF(G637&gt;0,G637-Pi,G637)</f>
        <v>-3.13715393034765</v>
      </c>
      <c r="J637" s="0" t="n">
        <f aca="false">Vin/Vramp</f>
        <v>9</v>
      </c>
      <c r="M637" s="0" t="n">
        <f aca="false">1/(2*Pi*_Rfb1*(Cc1ea_u+Cc2ea_u)*A637)</f>
        <v>0.000966332381747155</v>
      </c>
      <c r="N637" s="0" t="n">
        <f aca="false">-Pi/2</f>
        <v>-1.570796325</v>
      </c>
      <c r="O637" s="0" t="n">
        <f aca="false">SQRT(1+(A637/Fz1_u)^2)</f>
        <v>149.020404406036</v>
      </c>
      <c r="P637" s="0" t="n">
        <f aca="false">ATAN2(Fz1_u,A637)</f>
        <v>1.56408578598506</v>
      </c>
      <c r="Q637" s="0" t="n">
        <f aca="false">SQRT(1+(A637/Fz2_u)^2)</f>
        <v>169092.650513408</v>
      </c>
      <c r="R637" s="0" t="n">
        <f aca="false">ATAN2(Fz2_u,A637)</f>
        <v>1.57079041287731</v>
      </c>
      <c r="S637" s="0" t="n">
        <f aca="false">1/SQRT(1+(A637/Fp1_u)^2)</f>
        <v>0.00221259416909438</v>
      </c>
      <c r="T637" s="0" t="n">
        <f aca="false">-ATAN2(Fp1_u,A637)</f>
        <v>-1.56858373082048</v>
      </c>
      <c r="U637" s="0" t="n">
        <f aca="false">1/SQRT(1+(A637/Fp2_u)^2)</f>
        <v>0.0602859229839693</v>
      </c>
      <c r="V637" s="0" t="n">
        <f aca="false">-ATAN2(Fp2_u,A637)</f>
        <v>-1.51047382684069</v>
      </c>
      <c r="X637" s="0" t="n">
        <f aca="false">20*LOG(C637*J637*O637*Q637*F637*M637*S637*U637)</f>
        <v>-56.6887426695817</v>
      </c>
      <c r="Y637" s="0" t="n">
        <f aca="false">(180/Pi)*(D637+H637+N637+P637+R637+T637+V637)</f>
        <v>-264.35258188986</v>
      </c>
      <c r="Z637" s="0" t="n">
        <f aca="false">Y637+180</f>
        <v>-84.3525818898598</v>
      </c>
      <c r="AC637" s="0" t="n">
        <v>1</v>
      </c>
      <c r="AD637" s="0" t="n">
        <f aca="false">Rcea1_u*Cc1ea_u*A637*2*Pi</f>
        <v>149.01704912304</v>
      </c>
      <c r="AE637" s="0" t="n">
        <f aca="false">-Rcea1_u*Cc1ea_u*Cc2ea_u*(A637*2*Pi)^2</f>
        <v>-0.856716085236826</v>
      </c>
      <c r="AF637" s="0" t="n">
        <f aca="false">(Cc2ea_u+Cc1ea_u)*A637*2*Pi</f>
        <v>0.0517420309455</v>
      </c>
      <c r="AG637" s="0" t="n">
        <f aca="false">AC637*AE637/(AE637^2+AF637^2)+AD637*AF637/(AE637^2+AF637^2)</f>
        <v>9.30404482567446</v>
      </c>
      <c r="AH637" s="0" t="n">
        <f aca="false">AD637*AE637/(AE637^2+AF637^2)-AC637*AF637/(AE637^2+AF637^2)</f>
        <v>-173.377903727221</v>
      </c>
      <c r="AJ637" s="0" t="n">
        <f aca="false">_Rfb1</f>
        <v>20000</v>
      </c>
      <c r="AK637" s="0" t="n">
        <f aca="false">_Rfb1*Rcea2_u*Cc3ea_u*A637*2*Pi</f>
        <v>9039141.1690272</v>
      </c>
      <c r="AL637" s="0" t="n">
        <v>12</v>
      </c>
      <c r="AM637" s="0" t="n">
        <f aca="false">(_Rfb1+Rcea2_u)*Cc3ea_u*A637*2*Pi</f>
        <v>169092.650510451</v>
      </c>
      <c r="AN637" s="0" t="n">
        <f aca="false">AJ637*AL637/(AL637^2+AM637^2)+AK637*AM637/(AL637^2+AM637^2)</f>
        <v>53.4567440722963</v>
      </c>
      <c r="AO637" s="0" t="n">
        <f aca="false">AK637*AL637/(AL637^2+AM637^2)-AJ637*AM637/(AL637^2+AM637^2)</f>
        <v>-0.11448468642897</v>
      </c>
      <c r="AQ637" s="0" t="n">
        <f aca="false">Eadcg/(1+(Eadcg*A637/GBP)^2)</f>
        <v>0.000305971463028648</v>
      </c>
      <c r="AR637" s="0" t="n">
        <f aca="false">-(A637*Eadcg*Eadcg/GBP)/(1+(Eadcg*A637/GBP)^2)</f>
        <v>-0.983606462198195</v>
      </c>
      <c r="AT637" s="0" t="n">
        <f aca="false">-AR637*AH637+AG637*AQ637</f>
        <v>-170.532779736263</v>
      </c>
      <c r="AU637" s="0" t="n">
        <f aca="false">AQ637*AH637+AG637*AR637</f>
        <v>-9.20456730597534</v>
      </c>
      <c r="AV637" s="0" t="n">
        <f aca="false">ATAN2(AT637,AU637)</f>
        <v>-3.08766962343795</v>
      </c>
      <c r="AW637" s="0" t="n">
        <f aca="false">AG637-AH637*AO637/_Rfb2+AG637*AN637/_Rfb2+AN637-AO637*AR637+AQ637*AN637</f>
        <v>62.8794189314326</v>
      </c>
      <c r="AX637" s="0" t="n">
        <f aca="false">AH637+AH637*AN637/_Rfb2+AG637*AO637/_Rfb2+AO637+AO637*AQ637+AN637*AR637</f>
        <v>-230.243999889378</v>
      </c>
      <c r="AY637" s="0" t="n">
        <f aca="false">ATAN2(AW637,AX637)</f>
        <v>-1.30419826623789</v>
      </c>
      <c r="BA637" s="0" t="n">
        <f aca="false">SQRT(AT637^2+AU637^2)/SQRT(AW637^2+AX637^2)</f>
        <v>0.71553560936289</v>
      </c>
      <c r="BB637" s="0" t="n">
        <f aca="false">20*LOG(BA637)</f>
        <v>-2.9073749651285</v>
      </c>
      <c r="BC637" s="0" t="n">
        <f aca="false">AV637-AY637</f>
        <v>-1.78347135720005</v>
      </c>
      <c r="BD637" s="0" t="n">
        <f aca="false">BC637*180/Pi-180</f>
        <v>-282.185381766796</v>
      </c>
      <c r="BF637" s="0" t="n">
        <f aca="false">20*LOG(BA637*J637*F637*C637)</f>
        <v>-69.8284112400665</v>
      </c>
      <c r="BG637" s="0" t="n">
        <f aca="false">(180/Pi)*(D637+H637+BC637)</f>
        <v>-279.736136219294</v>
      </c>
      <c r="BH637" s="0" t="n">
        <f aca="false">IF(BG637&gt;180,BG637-180,BG637+180)</f>
        <v>-99.7361362192936</v>
      </c>
      <c r="BI637" s="0" t="n">
        <f aca="false">IF(BH637&gt;180,BH637-360,BH637)</f>
        <v>-99.7361362192936</v>
      </c>
      <c r="BJ637" s="0" t="n">
        <f aca="false">SUM((BF638&lt;0)*(BF637&gt;0))*A637</f>
        <v>0</v>
      </c>
      <c r="BK637" s="0" t="n">
        <f aca="false">IF(BJ637&gt;0,BI637,0)</f>
        <v>0</v>
      </c>
      <c r="BM637" s="0" t="n">
        <f aca="false">20*LOG(J637*F637*C637)</f>
        <v>-66.9210362749381</v>
      </c>
      <c r="BN637" s="0" t="n">
        <f aca="false">(H637+D637)*180/Pi</f>
        <v>-177.550754452498</v>
      </c>
      <c r="BQ637" s="347" t="n">
        <f aca="false">20*LOG(BA637*7)</f>
        <v>13.9945858351566</v>
      </c>
    </row>
    <row r="638" customFormat="false" ht="12.75" hidden="false" customHeight="false" outlineLevel="0" collapsed="false">
      <c r="A638" s="0" t="n">
        <f aca="false">A637+100000</f>
        <v>6200000</v>
      </c>
      <c r="B638" s="0" t="n">
        <f aca="false">A638/1000</f>
        <v>6200</v>
      </c>
      <c r="C638" s="0" t="n">
        <f aca="false">SQRT((A638/Fesr)^2+1)</f>
        <v>1.00075848753295</v>
      </c>
      <c r="D638" s="0" t="n">
        <f aca="false">ATAN(A638/Fesr)</f>
        <v>0.0389360610129176</v>
      </c>
      <c r="F638" s="0" t="n">
        <f aca="false">(Ro/(Ro+Rdcr))/SQRT((A638/(Q*Fo))^2+(1-(A638^2/Fo^2))^2)</f>
        <v>4.84465271482708E-005</v>
      </c>
      <c r="G638" s="0" t="n">
        <f aca="false">-ATAN(A638*Fo/(Q*(Fo^2-A638^2)))</f>
        <v>0.00436712127035374</v>
      </c>
      <c r="H638" s="0" t="n">
        <f aca="false">IF(G638&gt;0,G638-Pi,G638)</f>
        <v>-3.13722552872965</v>
      </c>
      <c r="J638" s="0" t="n">
        <f aca="false">Vin/Vramp</f>
        <v>9</v>
      </c>
      <c r="M638" s="0" t="n">
        <f aca="false">1/(2*Pi*_Rfb1*(Cc1ea_u+Cc2ea_u)*A638)</f>
        <v>0.000950746375589942</v>
      </c>
      <c r="N638" s="0" t="n">
        <f aca="false">-Pi/2</f>
        <v>-1.570796325</v>
      </c>
      <c r="O638" s="0" t="n">
        <f aca="false">SQRT(1+(A638/Fz1_u)^2)</f>
        <v>151.463252734398</v>
      </c>
      <c r="P638" s="0" t="n">
        <f aca="false">ATAN2(Fz1_u,A638)</f>
        <v>1.56419401734316</v>
      </c>
      <c r="Q638" s="0" t="n">
        <f aca="false">SQRT(1+(A638/Fz2_u)^2)</f>
        <v>171864.661177466</v>
      </c>
      <c r="R638" s="0" t="n">
        <f aca="false">ATAN2(Fz2_u,A638)</f>
        <v>1.57079050826308</v>
      </c>
      <c r="S638" s="0" t="n">
        <f aca="false">1/SQRT(1+(A638/Fp1_u)^2)</f>
        <v>0.0021769073368713</v>
      </c>
      <c r="T638" s="0" t="n">
        <f aca="false">-ATAN2(Fp1_u,A638)</f>
        <v>-1.56861941773865</v>
      </c>
      <c r="U638" s="0" t="n">
        <f aca="false">1/SQRT(1+(A638/Fp2_u)^2)</f>
        <v>0.059317018564653</v>
      </c>
      <c r="V638" s="0" t="n">
        <f aca="false">-ATAN2(Fp2_u,A638)</f>
        <v>-1.51144446846497</v>
      </c>
      <c r="X638" s="0" t="n">
        <f aca="false">20*LOG(C638*J638*O638*Q638*F638*M638*S638*U638)</f>
        <v>-57.1117551390197</v>
      </c>
      <c r="Y638" s="0" t="n">
        <f aca="false">(180/Pi)*(D638+H638+N638+P638+R638+T638+V638)</f>
        <v>-264.372189563322</v>
      </c>
      <c r="Z638" s="0" t="n">
        <f aca="false">Y638+180</f>
        <v>-84.3721895633225</v>
      </c>
      <c r="AC638" s="0" t="n">
        <v>1</v>
      </c>
      <c r="AD638" s="0" t="n">
        <f aca="false">Rcea1_u*Cc1ea_u*A638*2*Pi</f>
        <v>151.45995156768</v>
      </c>
      <c r="AE638" s="0" t="n">
        <f aca="false">-Rcea1_u*Cc1ea_u*Cc2ea_u*(A638*2*Pi)^2</f>
        <v>-0.885035375342746</v>
      </c>
      <c r="AF638" s="0" t="n">
        <f aca="false">(Cc2ea_u+Cc1ea_u)*A638*2*Pi</f>
        <v>0.052590260961</v>
      </c>
      <c r="AG638" s="0" t="n">
        <f aca="false">AC638*AE638/(AE638^2+AF638^2)+AD638*AF638/(AE638^2+AF638^2)</f>
        <v>9.00738224998245</v>
      </c>
      <c r="AH638" s="0" t="n">
        <f aca="false">AD638*AE638/(AE638^2+AF638^2)-AC638*AF638/(AE638^2+AF638^2)</f>
        <v>-170.599114104457</v>
      </c>
      <c r="AJ638" s="0" t="n">
        <f aca="false">_Rfb1</f>
        <v>20000</v>
      </c>
      <c r="AK638" s="0" t="n">
        <f aca="false">_Rfb1*Rcea2_u*Cc3ea_u*A638*2*Pi</f>
        <v>9187323.8111424</v>
      </c>
      <c r="AL638" s="0" t="n">
        <v>13</v>
      </c>
      <c r="AM638" s="0" t="n">
        <f aca="false">(_Rfb1+Rcea2_u)*Cc3ea_u*A638*2*Pi</f>
        <v>171864.661174557</v>
      </c>
      <c r="AN638" s="0" t="n">
        <f aca="false">AJ638*AL638/(AL638^2+AM638^2)+AK638*AM638/(AL638^2+AM638^2)</f>
        <v>53.4567444441862</v>
      </c>
      <c r="AO638" s="0" t="n">
        <f aca="false">AK638*AL638/(AL638^2+AM638^2)-AJ638*AM638/(AL638^2+AM638^2)</f>
        <v>-0.112327119433925</v>
      </c>
      <c r="AQ638" s="0" t="n">
        <f aca="false">Eadcg/(1+(Eadcg*A638/GBP)^2)</f>
        <v>0.00029618101390603</v>
      </c>
      <c r="AR638" s="0" t="n">
        <f aca="false">-(A638*Eadcg*Eadcg/GBP)/(1+(Eadcg*A638/GBP)^2)</f>
        <v>-0.967741844836563</v>
      </c>
      <c r="AT638" s="0" t="n">
        <f aca="false">-AR638*AH638+AG638*AQ638</f>
        <v>-165.093233595323</v>
      </c>
      <c r="AU638" s="0" t="n">
        <f aca="false">AQ638*AH638+AG638*AR638</f>
        <v>-8.76734893433306</v>
      </c>
      <c r="AV638" s="0" t="n">
        <f aca="false">ATAN2(AT638,AU638)</f>
        <v>-3.08853705097812</v>
      </c>
      <c r="AW638" s="0" t="n">
        <f aca="false">AG638-AH638*AO638/_Rfb2+AG638*AN638/_Rfb2+AN638-AO638*AR638+AQ638*AN638</f>
        <v>62.5793100039445</v>
      </c>
      <c r="AX638" s="0" t="n">
        <f aca="false">AH638+AH638*AN638/_Rfb2+AG638*AO638/_Rfb2+AO638+AO638*AQ638+AN638*AR638</f>
        <v>-226.548111238699</v>
      </c>
      <c r="AY638" s="0" t="n">
        <f aca="false">ATAN2(AW638,AX638)</f>
        <v>-1.3012872612825</v>
      </c>
      <c r="BA638" s="0" t="n">
        <f aca="false">SQRT(AT638^2+AU638^2)/SQRT(AW638^2+AX638^2)</f>
        <v>0.703417422743934</v>
      </c>
      <c r="BB638" s="0" t="n">
        <f aca="false">20*LOG(BA638)</f>
        <v>-3.0557375794136</v>
      </c>
      <c r="BC638" s="0" t="n">
        <f aca="false">AV638-AY638</f>
        <v>-1.78724978969562</v>
      </c>
      <c r="BD638" s="0" t="n">
        <f aca="false">BC638*180/Pi-180</f>
        <v>-282.401870002214</v>
      </c>
      <c r="BF638" s="0" t="n">
        <f aca="false">20*LOG(BA638*J638*F638*C638)</f>
        <v>-70.2590487400835</v>
      </c>
      <c r="BG638" s="0" t="n">
        <f aca="false">(180/Pi)*(D638+H638+BC638)</f>
        <v>-279.920780415062</v>
      </c>
      <c r="BH638" s="0" t="n">
        <f aca="false">IF(BG638&gt;180,BG638-180,BG638+180)</f>
        <v>-99.9207804150621</v>
      </c>
      <c r="BI638" s="0" t="n">
        <f aca="false">IF(BH638&gt;180,BH638-360,BH638)</f>
        <v>-99.9207804150621</v>
      </c>
      <c r="BJ638" s="0" t="n">
        <f aca="false">SUM((BF639&lt;0)*(BF638&gt;0))*A638</f>
        <v>0</v>
      </c>
      <c r="BK638" s="0" t="n">
        <f aca="false">IF(BJ638&gt;0,BI638,0)</f>
        <v>0</v>
      </c>
      <c r="BM638" s="0" t="n">
        <f aca="false">20*LOG(J638*F638*C638)</f>
        <v>-67.20331116067</v>
      </c>
      <c r="BN638" s="0" t="n">
        <f aca="false">(H638+D638)*180/Pi</f>
        <v>-177.518910412848</v>
      </c>
      <c r="BQ638" s="347" t="n">
        <f aca="false">20*LOG(BA638*7)</f>
        <v>13.8462232208715</v>
      </c>
    </row>
    <row r="639" customFormat="false" ht="12.75" hidden="false" customHeight="false" outlineLevel="0" collapsed="false">
      <c r="A639" s="0" t="n">
        <f aca="false">A638+100000</f>
        <v>6300000</v>
      </c>
      <c r="B639" s="0" t="n">
        <f aca="false">A639/1000</f>
        <v>6300</v>
      </c>
      <c r="C639" s="0" t="n">
        <f aca="false">SQRT((A639/Fesr)^2+1)</f>
        <v>1.00078314253945</v>
      </c>
      <c r="D639" s="0" t="n">
        <f aca="false">ATAN(A639/Fesr)</f>
        <v>0.0395634120682303</v>
      </c>
      <c r="F639" s="0" t="n">
        <f aca="false">(Ro/(Ro+Rdcr))/SQRT((A639/(Q*Fo))^2+(1-(A639^2/Fo^2))^2)</f>
        <v>4.69206903419471E-005</v>
      </c>
      <c r="G639" s="0" t="n">
        <f aca="false">-ATAN(A639*Fo/(Q*(Fo^2-A639^2)))</f>
        <v>0.00429779613784599</v>
      </c>
      <c r="H639" s="0" t="n">
        <f aca="false">IF(G639&gt;0,G639-Pi,G639)</f>
        <v>-3.13729485386215</v>
      </c>
      <c r="J639" s="0" t="n">
        <f aca="false">Vin/Vramp</f>
        <v>9</v>
      </c>
      <c r="M639" s="0" t="n">
        <f aca="false">1/(2*Pi*_Rfb1*(Cc1ea_u+Cc2ea_u)*A639)</f>
        <v>0.000935655163278991</v>
      </c>
      <c r="N639" s="0" t="n">
        <f aca="false">-Pi/2</f>
        <v>-1.570796325</v>
      </c>
      <c r="O639" s="0" t="n">
        <f aca="false">SQRT(1+(A639/Fz1_u)^2)</f>
        <v>153.906102780681</v>
      </c>
      <c r="P639" s="0" t="n">
        <f aca="false">ATAN2(Fz1_u,A639)</f>
        <v>1.56429881293256</v>
      </c>
      <c r="Q639" s="0" t="n">
        <f aca="false">SQRT(1+(A639/Fz2_u)^2)</f>
        <v>174636.671841526</v>
      </c>
      <c r="R639" s="0" t="n">
        <f aca="false">ATAN2(Fz2_u,A639)</f>
        <v>1.57079060062072</v>
      </c>
      <c r="S639" s="0" t="n">
        <f aca="false">1/SQRT(1+(A639/Fp1_u)^2)</f>
        <v>0.00214235341203015</v>
      </c>
      <c r="T639" s="0" t="n">
        <f aca="false">-ATAN2(Fp1_u,A639)</f>
        <v>-1.56865397174408</v>
      </c>
      <c r="U639" s="0" t="n">
        <f aca="false">1/SQRT(1+(A639/Fp2_u)^2)</f>
        <v>0.0583787132136098</v>
      </c>
      <c r="V639" s="0" t="n">
        <f aca="false">-ATAN2(Fp2_u,A639)</f>
        <v>-1.51238440279223</v>
      </c>
      <c r="X639" s="0" t="n">
        <f aca="false">20*LOG(C639*J639*O639*Q639*F639*M639*S639*U639)</f>
        <v>-57.528007532317</v>
      </c>
      <c r="Y639" s="0" t="n">
        <f aca="false">(180/Pi)*(D639+H639+N639+P639+R639+T639+V639)</f>
        <v>-264.390041465067</v>
      </c>
      <c r="Z639" s="0" t="n">
        <f aca="false">Y639+180</f>
        <v>-84.3900414650671</v>
      </c>
      <c r="AC639" s="0" t="n">
        <v>1</v>
      </c>
      <c r="AD639" s="0" t="n">
        <f aca="false">Rcea1_u*Cc1ea_u*A639*2*Pi</f>
        <v>153.90285401232</v>
      </c>
      <c r="AE639" s="0" t="n">
        <f aca="false">-Rcea1_u*Cc1ea_u*Cc2ea_u*(A639*2*Pi)^2</f>
        <v>-0.913815141710551</v>
      </c>
      <c r="AF639" s="0" t="n">
        <f aca="false">(Cc2ea_u+Cc1ea_u)*A639*2*Pi</f>
        <v>0.0534384909765</v>
      </c>
      <c r="AG639" s="0" t="n">
        <f aca="false">AC639*AE639/(AE639^2+AF639^2)+AD639*AF639/(AE639^2+AF639^2)</f>
        <v>8.72466984058088</v>
      </c>
      <c r="AH639" s="0" t="n">
        <f aca="false">AD639*AE639/(AE639^2+AF639^2)-AC639*AF639/(AE639^2+AF639^2)</f>
        <v>-167.907724241203</v>
      </c>
      <c r="AJ639" s="0" t="n">
        <f aca="false">_Rfb1</f>
        <v>20000</v>
      </c>
      <c r="AK639" s="0" t="n">
        <f aca="false">_Rfb1*Rcea2_u*Cc3ea_u*A639*2*Pi</f>
        <v>9335506.4532576</v>
      </c>
      <c r="AL639" s="0" t="n">
        <v>14</v>
      </c>
      <c r="AM639" s="0" t="n">
        <f aca="false">(_Rfb1+Rcea2_u)*Cc3ea_u*A639*2*Pi</f>
        <v>174636.671838663</v>
      </c>
      <c r="AN639" s="0" t="n">
        <f aca="false">AJ639*AL639/(AL639^2+AM639^2)+AK639*AM639/(AL639^2+AM639^2)</f>
        <v>53.4567447850519</v>
      </c>
      <c r="AO639" s="0" t="n">
        <f aca="false">AK639*AL639/(AL639^2+AM639^2)-AJ639*AM639/(AL639^2+AM639^2)</f>
        <v>-0.110238046627428</v>
      </c>
      <c r="AQ639" s="0" t="n">
        <f aca="false">Eadcg/(1+(Eadcg*A639/GBP)^2)</f>
        <v>0.000286853066468489</v>
      </c>
      <c r="AR639" s="0" t="n">
        <f aca="false">-(A639*Eadcg*Eadcg/GBP)/(1+(Eadcg*A639/GBP)^2)</f>
        <v>-0.952380865982029</v>
      </c>
      <c r="AT639" s="0" t="n">
        <f aca="false">-AR639*AH639+AG639*AQ639</f>
        <v>-159.909601119611</v>
      </c>
      <c r="AU639" s="0" t="n">
        <f aca="false">AQ639*AH639+AG639*AR639</f>
        <v>-8.35737346376204</v>
      </c>
      <c r="AV639" s="0" t="n">
        <f aca="false">ATAN2(AT639,AU639)</f>
        <v>-3.08937704771145</v>
      </c>
      <c r="AW639" s="0" t="n">
        <f aca="false">AG639-AH639*AO639/_Rfb2+AG639*AN639/_Rfb2+AN639-AO639*AR639+AQ639*AN639</f>
        <v>62.2933074337471</v>
      </c>
      <c r="AX639" s="0" t="n">
        <f aca="false">AH639+AH639*AN639/_Rfb2+AG639*AO639/_Rfb2+AO639+AO639*AQ639+AN639*AR639</f>
        <v>-222.968717769663</v>
      </c>
      <c r="AY639" s="0" t="n">
        <f aca="false">ATAN2(AW639,AX639)</f>
        <v>-1.29836136457783</v>
      </c>
      <c r="BA639" s="0" t="n">
        <f aca="false">SQRT(AT639^2+AU639^2)/SQRT(AW639^2+AX639^2)</f>
        <v>0.691675941313719</v>
      </c>
      <c r="BB639" s="0" t="n">
        <f aca="false">20*LOG(BA639)</f>
        <v>-3.20194660400361</v>
      </c>
      <c r="BC639" s="0" t="n">
        <f aca="false">AV639-AY639</f>
        <v>-1.79101568313362</v>
      </c>
      <c r="BD639" s="0" t="n">
        <f aca="false">BC639*180/Pi-180</f>
        <v>-282.617639802554</v>
      </c>
      <c r="BF639" s="0" t="n">
        <f aca="false">20*LOG(BA639*J639*F639*C639)</f>
        <v>-70.6830089228374</v>
      </c>
      <c r="BG639" s="0" t="n">
        <f aca="false">(180/Pi)*(D639+H639+BC639)</f>
        <v>-280.10457768513</v>
      </c>
      <c r="BH639" s="0" t="n">
        <f aca="false">IF(BG639&gt;180,BG639-180,BG639+180)</f>
        <v>-100.10457768513</v>
      </c>
      <c r="BI639" s="0" t="n">
        <f aca="false">IF(BH639&gt;180,BH639-360,BH639)</f>
        <v>-100.10457768513</v>
      </c>
      <c r="BJ639" s="0" t="n">
        <f aca="false">SUM((BF640&lt;0)*(BF639&gt;0))*A639</f>
        <v>0</v>
      </c>
      <c r="BK639" s="0" t="n">
        <f aca="false">IF(BJ639&gt;0,BI639,0)</f>
        <v>0</v>
      </c>
      <c r="BM639" s="0" t="n">
        <f aca="false">20*LOG(J639*F639*C639)</f>
        <v>-67.4810623188338</v>
      </c>
      <c r="BN639" s="0" t="n">
        <f aca="false">(H639+D639)*180/Pi</f>
        <v>-177.486937882576</v>
      </c>
      <c r="BQ639" s="347" t="n">
        <f aca="false">20*LOG(BA639*7)</f>
        <v>13.7000141962815</v>
      </c>
    </row>
    <row r="640" customFormat="false" ht="12.75" hidden="false" customHeight="false" outlineLevel="0" collapsed="false">
      <c r="A640" s="0" t="n">
        <f aca="false">A639+100000</f>
        <v>6400000</v>
      </c>
      <c r="B640" s="0" t="n">
        <f aca="false">A640/1000</f>
        <v>6400</v>
      </c>
      <c r="C640" s="0" t="n">
        <f aca="false">SQRT((A640/Fesr)^2+1)</f>
        <v>1.00080819140402</v>
      </c>
      <c r="D640" s="0" t="n">
        <f aca="false">ATAN(A640/Fesr)</f>
        <v>0.0401907319669435</v>
      </c>
      <c r="F640" s="0" t="n">
        <f aca="false">(Ro/(Ro+Rdcr))/SQRT((A640/(Q*Fo))^2+(1-(A640^2/Fo^2))^2)</f>
        <v>4.54658203837354E-005</v>
      </c>
      <c r="G640" s="0" t="n">
        <f aca="false">-ATAN(A640*Fo/(Q*(Fo^2-A640^2)))</f>
        <v>0.00423063767885726</v>
      </c>
      <c r="H640" s="0" t="n">
        <f aca="false">IF(G640&gt;0,G640-Pi,G640)</f>
        <v>-3.13736201232114</v>
      </c>
      <c r="J640" s="0" t="n">
        <f aca="false">Vin/Vramp</f>
        <v>9</v>
      </c>
      <c r="M640" s="0" t="n">
        <f aca="false">1/(2*Pi*_Rfb1*(Cc1ea_u+Cc2ea_u)*A640)</f>
        <v>0.000921035551352757</v>
      </c>
      <c r="N640" s="0" t="n">
        <f aca="false">-Pi/2</f>
        <v>-1.570796325</v>
      </c>
      <c r="O640" s="0" t="n">
        <f aca="false">SQRT(1+(A640/Fz1_u)^2)</f>
        <v>156.348954464362</v>
      </c>
      <c r="P640" s="0" t="n">
        <f aca="false">ATAN2(Fz1_u,A640)</f>
        <v>1.56440033379591</v>
      </c>
      <c r="Q640" s="0" t="n">
        <f aca="false">SQRT(1+(A640/Fz2_u)^2)</f>
        <v>177408.682505587</v>
      </c>
      <c r="R640" s="0" t="n">
        <f aca="false">ATAN2(Fz2_u,A640)</f>
        <v>1.57079069009219</v>
      </c>
      <c r="S640" s="0" t="n">
        <f aca="false">1/SQRT(1+(A640/Fp1_u)^2)</f>
        <v>0.00210887929002124</v>
      </c>
      <c r="T640" s="0" t="n">
        <f aca="false">-ATAN2(Fp1_u,A640)</f>
        <v>-1.56868744594171</v>
      </c>
      <c r="U640" s="0" t="n">
        <f aca="false">1/SQRT(1+(A640/Fp2_u)^2)</f>
        <v>0.0574695823129495</v>
      </c>
      <c r="V640" s="0" t="n">
        <f aca="false">-ATAN2(Fp2_u,A640)</f>
        <v>-1.51329506273449</v>
      </c>
      <c r="X640" s="0" t="n">
        <f aca="false">20*LOG(C640*J640*O640*Q640*F640*M640*S640*U640)</f>
        <v>-57.9377119737495</v>
      </c>
      <c r="Y640" s="0" t="n">
        <f aca="false">(180/Pi)*(D640+H640+N640+P640+R640+T640+V640)</f>
        <v>-264.406219636914</v>
      </c>
      <c r="Z640" s="0" t="n">
        <f aca="false">Y640+180</f>
        <v>-84.4062196369138</v>
      </c>
      <c r="AC640" s="0" t="n">
        <v>1</v>
      </c>
      <c r="AD640" s="0" t="n">
        <f aca="false">Rcea1_u*Cc1ea_u*A640*2*Pi</f>
        <v>156.34575645696</v>
      </c>
      <c r="AE640" s="0" t="n">
        <f aca="false">-Rcea1_u*Cc1ea_u*Cc2ea_u*(A640*2*Pi)^2</f>
        <v>-0.943055384340241</v>
      </c>
      <c r="AF640" s="0" t="n">
        <f aca="false">(Cc2ea_u+Cc1ea_u)*A640*2*Pi</f>
        <v>0.054286720992</v>
      </c>
      <c r="AG640" s="0" t="n">
        <f aca="false">AC640*AE640/(AE640^2+AF640^2)+AD640*AF640/(AE640^2+AF640^2)</f>
        <v>8.45504740153569</v>
      </c>
      <c r="AH640" s="0" t="n">
        <f aca="false">AD640*AE640/(AE640^2+AF640^2)-AC640*AF640/(AE640^2+AF640^2)</f>
        <v>-165.299686790672</v>
      </c>
      <c r="AJ640" s="0" t="n">
        <f aca="false">_Rfb1</f>
        <v>20000</v>
      </c>
      <c r="AK640" s="0" t="n">
        <f aca="false">_Rfb1*Rcea2_u*Cc3ea_u*A640*2*Pi</f>
        <v>9483689.0953728</v>
      </c>
      <c r="AL640" s="0" t="n">
        <v>15</v>
      </c>
      <c r="AM640" s="0" t="n">
        <f aca="false">(_Rfb1+Rcea2_u)*Cc3ea_u*A640*2*Pi</f>
        <v>177408.682502769</v>
      </c>
      <c r="AN640" s="0" t="n">
        <f aca="false">AJ640*AL640/(AL640^2+AM640^2)+AK640*AM640/(AL640^2+AM640^2)</f>
        <v>53.4567450972342</v>
      </c>
      <c r="AO640" s="0" t="n">
        <f aca="false">AK640*AL640/(AL640^2+AM640^2)-AJ640*AM640/(AL640^2+AM640^2)</f>
        <v>-0.108214257344715</v>
      </c>
      <c r="AQ640" s="0" t="n">
        <f aca="false">Eadcg/(1+(Eadcg*A640/GBP)^2)</f>
        <v>0.000277958941410126</v>
      </c>
      <c r="AR640" s="0" t="n">
        <f aca="false">-(A640*Eadcg*Eadcg/GBP)/(1+(Eadcg*A640/GBP)^2)</f>
        <v>-0.937499917588075</v>
      </c>
      <c r="AT640" s="0" t="n">
        <f aca="false">-AR640*AH640+AG640*AQ640</f>
        <v>-154.966092587564</v>
      </c>
      <c r="AU640" s="0" t="n">
        <f aca="false">AQ640*AH640+AG640*AR640</f>
        <v>-7.97255276809874</v>
      </c>
      <c r="AV640" s="0" t="n">
        <f aca="false">ATAN2(AT640,AU640)</f>
        <v>-3.0901908929735</v>
      </c>
      <c r="AW640" s="0" t="n">
        <f aca="false">AG640-AH640*AO640/_Rfb2+AG640*AN640/_Rfb2+AN640-AO640*AR640+AQ640*AN640</f>
        <v>62.0205416106034</v>
      </c>
      <c r="AX640" s="0" t="n">
        <f aca="false">AH640+AH640*AN640/_Rfb2+AG640*AO640/_Rfb2+AO640+AO640*AQ640+AN640*AR640</f>
        <v>-219.500409430465</v>
      </c>
      <c r="AY640" s="0" t="n">
        <f aca="false">ATAN2(AW640,AX640)</f>
        <v>-1.29542162122913</v>
      </c>
      <c r="BA640" s="0" t="n">
        <f aca="false">SQRT(AT640^2+AU640^2)/SQRT(AW640^2+AX640^2)</f>
        <v>0.680293578628615</v>
      </c>
      <c r="BB640" s="0" t="n">
        <f aca="false">20*LOG(BA640)</f>
        <v>-3.34607256753921</v>
      </c>
      <c r="BC640" s="0" t="n">
        <f aca="false">AV640-AY640</f>
        <v>-1.79476927174436</v>
      </c>
      <c r="BD640" s="0" t="n">
        <f aca="false">BC640*180/Pi-180</f>
        <v>-282.832704588224</v>
      </c>
      <c r="BF640" s="0" t="n">
        <f aca="false">20*LOG(BA640*J640*F640*C640)</f>
        <v>-71.1005047147984</v>
      </c>
      <c r="BG640" s="0" t="n">
        <f aca="false">(180/Pi)*(D640+H640+BC640)</f>
        <v>-280.287547584421</v>
      </c>
      <c r="BH640" s="0" t="n">
        <f aca="false">IF(BG640&gt;180,BG640-180,BG640+180)</f>
        <v>-100.287547584421</v>
      </c>
      <c r="BI640" s="0" t="n">
        <f aca="false">IF(BH640&gt;180,BH640-360,BH640)</f>
        <v>-100.287547584421</v>
      </c>
      <c r="BJ640" s="0" t="n">
        <f aca="false">SUM((BF641&lt;0)*(BF640&gt;0))*A640</f>
        <v>0</v>
      </c>
      <c r="BK640" s="0" t="n">
        <f aca="false">IF(BJ640&gt;0,BI640,0)</f>
        <v>0</v>
      </c>
      <c r="BM640" s="0" t="n">
        <f aca="false">20*LOG(J640*F640*C640)</f>
        <v>-67.7544321472592</v>
      </c>
      <c r="BN640" s="0" t="n">
        <f aca="false">(H640+D640)*180/Pi</f>
        <v>-177.454842996197</v>
      </c>
      <c r="BQ640" s="347" t="n">
        <f aca="false">20*LOG(BA640*7)</f>
        <v>13.5558882327459</v>
      </c>
    </row>
    <row r="641" customFormat="false" ht="12.75" hidden="false" customHeight="false" outlineLevel="0" collapsed="false">
      <c r="A641" s="0" t="n">
        <f aca="false">A640+100000</f>
        <v>6500000</v>
      </c>
      <c r="B641" s="0" t="n">
        <f aca="false">A641/1000</f>
        <v>6500</v>
      </c>
      <c r="C641" s="0" t="n">
        <f aca="false">SQRT((A641/Fesr)^2+1)</f>
        <v>1.00083363409708</v>
      </c>
      <c r="D641" s="0" t="n">
        <f aca="false">ATAN(A641/Fesr)</f>
        <v>0.0408180202176765</v>
      </c>
      <c r="F641" s="0" t="n">
        <f aca="false">(Ro/(Ro+Rdcr))/SQRT((A641/(Q*Fo))^2+(1-(A641^2/Fo^2))^2)</f>
        <v>4.40775835922823E-005</v>
      </c>
      <c r="G641" s="0" t="n">
        <f aca="false">-ATAN(A641*Fo/(Q*(Fo^2-A641^2)))</f>
        <v>0.00416554587725031</v>
      </c>
      <c r="H641" s="0" t="n">
        <f aca="false">IF(G641&gt;0,G641-Pi,G641)</f>
        <v>-3.13742710412275</v>
      </c>
      <c r="J641" s="0" t="n">
        <f aca="false">Vin/Vramp</f>
        <v>9</v>
      </c>
      <c r="M641" s="0" t="n">
        <f aca="false">1/(2*Pi*_Rfb1*(Cc1ea_u+Cc2ea_u)*A641)</f>
        <v>0.000906865773639638</v>
      </c>
      <c r="N641" s="0" t="n">
        <f aca="false">-Pi/2</f>
        <v>-1.570796325</v>
      </c>
      <c r="O641" s="0" t="n">
        <f aca="false">SQRT(1+(A641/Fz1_u)^2)</f>
        <v>158.791807709871</v>
      </c>
      <c r="P641" s="0" t="n">
        <f aca="false">ATAN2(Fz1_u,A641)</f>
        <v>1.56449873106622</v>
      </c>
      <c r="Q641" s="0" t="n">
        <f aca="false">SQRT(1+(A641/Fz2_u)^2)</f>
        <v>180180.693169649</v>
      </c>
      <c r="R641" s="0" t="n">
        <f aca="false">ATAN2(Fz2_u,A641)</f>
        <v>1.5707907768107</v>
      </c>
      <c r="S641" s="0" t="n">
        <f aca="false">1/SQRT(1+(A641/Fp1_u)^2)</f>
        <v>0.00207643513423081</v>
      </c>
      <c r="T641" s="0" t="n">
        <f aca="false">-ATAN2(Fp1_u,A641)</f>
        <v>-1.56871989016854</v>
      </c>
      <c r="U641" s="0" t="n">
        <f aca="false">1/SQRT(1+(A641/Fp2_u)^2)</f>
        <v>0.0565882881871796</v>
      </c>
      <c r="V641" s="0" t="n">
        <f aca="false">-ATAN2(Fp2_u,A641)</f>
        <v>-1.5141777935106</v>
      </c>
      <c r="X641" s="0" t="n">
        <f aca="false">20*LOG(C641*J641*O641*Q641*F641*M641*S641*U641)</f>
        <v>-58.3410707626123</v>
      </c>
      <c r="Y641" s="0" t="n">
        <f aca="false">(180/Pi)*(D641+H641+N641+P641+R641+T641+V641)</f>
        <v>-264.420801101414</v>
      </c>
      <c r="Z641" s="0" t="n">
        <f aca="false">Y641+180</f>
        <v>-84.4208011014137</v>
      </c>
      <c r="AC641" s="0" t="n">
        <v>1</v>
      </c>
      <c r="AD641" s="0" t="n">
        <f aca="false">Rcea1_u*Cc1ea_u*A641*2*Pi</f>
        <v>158.7886589016</v>
      </c>
      <c r="AE641" s="0" t="n">
        <f aca="false">-Rcea1_u*Cc1ea_u*Cc2ea_u*(A641*2*Pi)^2</f>
        <v>-0.972756103231816</v>
      </c>
      <c r="AF641" s="0" t="n">
        <f aca="false">(Cc2ea_u+Cc1ea_u)*A641*2*Pi</f>
        <v>0.0551349510075</v>
      </c>
      <c r="AG641" s="0" t="n">
        <f aca="false">AC641*AE641/(AE641^2+AF641^2)+AD641*AF641/(AE641^2+AF641^2)</f>
        <v>8.19771996148555</v>
      </c>
      <c r="AH641" s="0" t="n">
        <f aca="false">AD641*AE641/(AE641^2+AF641^2)-AC641*AF641/(AE641^2+AF641^2)</f>
        <v>-162.7711997767</v>
      </c>
      <c r="AJ641" s="0" t="n">
        <f aca="false">_Rfb1</f>
        <v>20000</v>
      </c>
      <c r="AK641" s="0" t="n">
        <f aca="false">_Rfb1*Rcea2_u*Cc3ea_u*A641*2*Pi</f>
        <v>9631871.737488</v>
      </c>
      <c r="AL641" s="0" t="n">
        <v>16</v>
      </c>
      <c r="AM641" s="0" t="n">
        <f aca="false">(_Rfb1+Rcea2_u)*Cc3ea_u*A641*2*Pi</f>
        <v>180180.693166874</v>
      </c>
      <c r="AN641" s="0" t="n">
        <f aca="false">AJ641*AL641/(AL641^2+AM641^2)+AK641*AM641/(AL641^2+AM641^2)</f>
        <v>53.4567453828766</v>
      </c>
      <c r="AO641" s="0" t="n">
        <f aca="false">AK641*AL641/(AL641^2+AM641^2)-AJ641*AM641/(AL641^2+AM641^2)</f>
        <v>-0.106252738500363</v>
      </c>
      <c r="AQ641" s="0" t="n">
        <f aca="false">Eadcg/(1+(Eadcg*A641/GBP)^2)</f>
        <v>0.000269472148419328</v>
      </c>
      <c r="AR641" s="0" t="n">
        <f aca="false">-(A641*Eadcg*Eadcg/GBP)/(1+(Eadcg*A641/GBP)^2)</f>
        <v>-0.923076844410408</v>
      </c>
      <c r="AT641" s="0" t="n">
        <f aca="false">-AR641*AH641+AG641*AQ641</f>
        <v>-150.248116393562</v>
      </c>
      <c r="AU641" s="0" t="n">
        <f aca="false">AQ641*AH641+AG641*AR641</f>
        <v>-7.61098777831291</v>
      </c>
      <c r="AV641" s="0" t="n">
        <f aca="false">ATAN2(AT641,AU641)</f>
        <v>-3.0909797878568</v>
      </c>
      <c r="AW641" s="0" t="n">
        <f aca="false">AG641-AH641*AO641/_Rfb2+AG641*AN641/_Rfb2+AN641-AO641*AR641+AQ641*AN641</f>
        <v>61.7602088501623</v>
      </c>
      <c r="AX641" s="0" t="n">
        <f aca="false">AH641+AH641*AN641/_Rfb2+AG641*AO641/_Rfb2+AO641+AO641*AQ641+AN641*AR641</f>
        <v>-216.138105313376</v>
      </c>
      <c r="AY641" s="0" t="n">
        <f aca="false">ATAN2(AW641,AX641)</f>
        <v>-1.2924690162899</v>
      </c>
      <c r="BA641" s="0" t="n">
        <f aca="false">SQRT(AT641^2+AU641^2)/SQRT(AW641^2+AX641^2)</f>
        <v>0.66925383036831</v>
      </c>
      <c r="BB641" s="0" t="n">
        <f aca="false">20*LOG(BA641)</f>
        <v>-3.48818269036455</v>
      </c>
      <c r="BC641" s="0" t="n">
        <f aca="false">AV641-AY641</f>
        <v>-1.7985107715669</v>
      </c>
      <c r="BD641" s="0" t="n">
        <f aca="false">BC641*180/Pi-180</f>
        <v>-283.047076737349</v>
      </c>
      <c r="BF641" s="0" t="n">
        <f aca="false">20*LOG(BA641*J641*F641*C641)</f>
        <v>-71.5117391094885</v>
      </c>
      <c r="BG641" s="0" t="n">
        <f aca="false">(180/Pi)*(D641+H641+BC641)</f>
        <v>-280.469708249717</v>
      </c>
      <c r="BH641" s="0" t="n">
        <f aca="false">IF(BG641&gt;180,BG641-180,BG641+180)</f>
        <v>-100.469708249717</v>
      </c>
      <c r="BI641" s="0" t="n">
        <f aca="false">IF(BH641&gt;180,BH641-360,BH641)</f>
        <v>-100.469708249717</v>
      </c>
      <c r="BJ641" s="0" t="n">
        <f aca="false">SUM((BF642&lt;0)*(BF641&gt;0))*A641</f>
        <v>0</v>
      </c>
      <c r="BK641" s="0" t="n">
        <f aca="false">IF(BJ641&gt;0,BI641,0)</f>
        <v>0</v>
      </c>
      <c r="BM641" s="0" t="n">
        <f aca="false">20*LOG(J641*F641*C641)</f>
        <v>-68.0235564191239</v>
      </c>
      <c r="BN641" s="0" t="n">
        <f aca="false">(H641+D641)*180/Pi</f>
        <v>-177.422631512368</v>
      </c>
      <c r="BQ641" s="347" t="n">
        <f aca="false">20*LOG(BA641*7)</f>
        <v>13.4137781099206</v>
      </c>
    </row>
    <row r="642" customFormat="false" ht="12.75" hidden="false" customHeight="false" outlineLevel="0" collapsed="false">
      <c r="A642" s="0" t="n">
        <f aca="false">A641+100000</f>
        <v>6600000</v>
      </c>
      <c r="B642" s="0" t="n">
        <f aca="false">A642/1000</f>
        <v>6600</v>
      </c>
      <c r="C642" s="0" t="n">
        <f aca="false">SQRT((A642/Fesr)^2+1)</f>
        <v>1.00085947058861</v>
      </c>
      <c r="D642" s="0" t="n">
        <f aca="false">ATAN(A642/Fesr)</f>
        <v>0.041445276329198</v>
      </c>
      <c r="F642" s="0" t="n">
        <f aca="false">(Ro/(Ro+Rdcr))/SQRT((A642/(Q*Fo))^2+(1-(A642^2/Fo^2))^2)</f>
        <v>4.27519721117734E-005</v>
      </c>
      <c r="G642" s="0" t="n">
        <f aca="false">-ATAN(A642*Fo/(Q*(Fo^2-A642^2)))</f>
        <v>0.00410242677964344</v>
      </c>
      <c r="H642" s="0" t="n">
        <f aca="false">IF(G642&gt;0,G642-Pi,G642)</f>
        <v>-3.13749022322036</v>
      </c>
      <c r="J642" s="0" t="n">
        <f aca="false">Vin/Vramp</f>
        <v>9</v>
      </c>
      <c r="M642" s="0" t="n">
        <f aca="false">1/(2*Pi*_Rfb1*(Cc1ea_u+Cc2ea_u)*A642)</f>
        <v>0.000893125383129946</v>
      </c>
      <c r="N642" s="0" t="n">
        <f aca="false">-Pi/2</f>
        <v>-1.570796325</v>
      </c>
      <c r="O642" s="0" t="n">
        <f aca="false">SQRT(1+(A642/Fz1_u)^2)</f>
        <v>161.23466244622</v>
      </c>
      <c r="P642" s="0" t="n">
        <f aca="false">ATAN2(Fz1_u,A642)</f>
        <v>1.56459414671755</v>
      </c>
      <c r="Q642" s="0" t="n">
        <f aca="false">SQRT(1+(A642/Fz2_u)^2)</f>
        <v>182952.703833713</v>
      </c>
      <c r="R642" s="0" t="n">
        <f aca="false">ATAN2(Fz2_u,A642)</f>
        <v>1.57079086090137</v>
      </c>
      <c r="S642" s="0" t="n">
        <f aca="false">1/SQRT(1+(A642/Fp1_u)^2)</f>
        <v>0.00204497412841337</v>
      </c>
      <c r="T642" s="0" t="n">
        <f aca="false">-ATAN2(Fp1_u,A642)</f>
        <v>-1.56875135124116</v>
      </c>
      <c r="U642" s="0" t="n">
        <f aca="false">1/SQRT(1+(A642/Fp2_u)^2)</f>
        <v>0.0557335735808353</v>
      </c>
      <c r="V642" s="0" t="n">
        <f aca="false">-ATAN2(Fp2_u,A642)</f>
        <v>-1.51503385924663</v>
      </c>
      <c r="X642" s="0" t="n">
        <f aca="false">20*LOG(C642*J642*O642*Q642*F642*M642*S642*U642)</f>
        <v>-58.7382769701637</v>
      </c>
      <c r="Y642" s="0" t="n">
        <f aca="false">(180/Pi)*(D642+H642+N642+P642+R642+T642+V642)</f>
        <v>-264.433858239643</v>
      </c>
      <c r="Z642" s="0" t="n">
        <f aca="false">Y642+180</f>
        <v>-84.4338582396433</v>
      </c>
      <c r="AC642" s="0" t="n">
        <v>1</v>
      </c>
      <c r="AD642" s="0" t="n">
        <f aca="false">Rcea1_u*Cc1ea_u*A642*2*Pi</f>
        <v>161.23156134624</v>
      </c>
      <c r="AE642" s="0" t="n">
        <f aca="false">-Rcea1_u*Cc1ea_u*Cc2ea_u*(A642*2*Pi)^2</f>
        <v>-1.00291729838528</v>
      </c>
      <c r="AF642" s="0" t="n">
        <f aca="false">(Cc2ea_u+Cc1ea_u)*A642*2*Pi</f>
        <v>0.055983181023</v>
      </c>
      <c r="AG642" s="0" t="n">
        <f aca="false">AC642*AE642/(AE642^2+AF642^2)+AD642*AF642/(AE642^2+AF642^2)</f>
        <v>7.95195193367139</v>
      </c>
      <c r="AH642" s="0" t="n">
        <f aca="false">AD642*AE642/(AE642^2+AF642^2)-AC642*AF642/(AE642^2+AF642^2)</f>
        <v>-160.318688331053</v>
      </c>
      <c r="AJ642" s="0" t="n">
        <f aca="false">_Rfb1</f>
        <v>20000</v>
      </c>
      <c r="AK642" s="0" t="n">
        <f aca="false">_Rfb1*Rcea2_u*Cc3ea_u*A642*2*Pi</f>
        <v>9780054.3796032</v>
      </c>
      <c r="AL642" s="0" t="n">
        <v>17</v>
      </c>
      <c r="AM642" s="0" t="n">
        <f aca="false">(_Rfb1+Rcea2_u)*Cc3ea_u*A642*2*Pi</f>
        <v>182952.70383098</v>
      </c>
      <c r="AN642" s="0" t="n">
        <f aca="false">AJ642*AL642/(AL642^2+AM642^2)+AK642*AM642/(AL642^2+AM642^2)</f>
        <v>53.4567456439434</v>
      </c>
      <c r="AO642" s="0" t="n">
        <f aca="false">AK642*AL642/(AL642^2+AM642^2)-AJ642*AM642/(AL642^2+AM642^2)</f>
        <v>-0.104350659620151</v>
      </c>
      <c r="AQ642" s="0" t="n">
        <f aca="false">Eadcg/(1+(Eadcg*A642/GBP)^2)</f>
        <v>0.000261368188702846</v>
      </c>
      <c r="AR642" s="0" t="n">
        <f aca="false">-(A642*Eadcg*Eadcg/GBP)/(1+(Eadcg*A642/GBP)^2)</f>
        <v>-0.90909083394624</v>
      </c>
      <c r="AT642" s="0" t="n">
        <f aca="false">-AR642*AH642+AG642*AQ642</f>
        <v>-145.742171684771</v>
      </c>
      <c r="AU642" s="0" t="n">
        <f aca="false">AQ642*AH642+AG642*AR642</f>
        <v>-7.27094882006604</v>
      </c>
      <c r="AV642" s="0" t="n">
        <f aca="false">ATAN2(AT642,AU642)</f>
        <v>-3.09174486109545</v>
      </c>
      <c r="AW642" s="0" t="n">
        <f aca="false">AG642-AH642*AO642/_Rfb2+AG642*AN642/_Rfb2+AN642-AO642*AR642+AQ642*AN642</f>
        <v>61.5115654921772</v>
      </c>
      <c r="AX642" s="0" t="n">
        <f aca="false">AH642+AH642*AN642/_Rfb2+AG642*AO642/_Rfb2+AO642+AO642*AQ642+AN642*AR642</f>
        <v>-212.877029053102</v>
      </c>
      <c r="AY642" s="0" t="n">
        <f aca="false">ATAN2(AW642,AX642)</f>
        <v>-1.28950447919795</v>
      </c>
      <c r="BA642" s="0" t="n">
        <f aca="false">SQRT(AT642^2+AU642^2)/SQRT(AW642^2+AX642^2)</f>
        <v>0.658541192398436</v>
      </c>
      <c r="BB642" s="0" t="n">
        <f aca="false">20*LOG(BA642)</f>
        <v>-3.62834108612236</v>
      </c>
      <c r="BC642" s="0" t="n">
        <f aca="false">AV642-AY642</f>
        <v>-1.8022403818975</v>
      </c>
      <c r="BD642" s="0" t="n">
        <f aca="false">BC642*180/Pi-180</f>
        <v>-283.260767668765</v>
      </c>
      <c r="BF642" s="0" t="n">
        <f aca="false">20*LOG(BA642*J642*F642*C642)</f>
        <v>-71.9169057737495</v>
      </c>
      <c r="BG642" s="0" t="n">
        <f aca="false">(180/Pi)*(D642+H642+BC642)</f>
        <v>-280.651076511132</v>
      </c>
      <c r="BH642" s="0" t="n">
        <f aca="false">IF(BG642&gt;180,BG642-180,BG642+180)</f>
        <v>-100.651076511132</v>
      </c>
      <c r="BI642" s="0" t="n">
        <f aca="false">IF(BH642&gt;180,BH642-360,BH642)</f>
        <v>-100.651076511132</v>
      </c>
      <c r="BJ642" s="0" t="n">
        <f aca="false">SUM((BF643&lt;0)*(BF642&gt;0))*A642</f>
        <v>0</v>
      </c>
      <c r="BK642" s="0" t="n">
        <f aca="false">IF(BJ642&gt;0,BI642,0)</f>
        <v>0</v>
      </c>
      <c r="BM642" s="0" t="n">
        <f aca="false">20*LOG(J642*F642*C642)</f>
        <v>-68.2885646876271</v>
      </c>
      <c r="BN642" s="0" t="n">
        <f aca="false">(H642+D642)*180/Pi</f>
        <v>-177.390308842366</v>
      </c>
      <c r="BQ642" s="347" t="n">
        <f aca="false">20*LOG(BA642*7)</f>
        <v>13.2736197141628</v>
      </c>
    </row>
    <row r="643" customFormat="false" ht="12.75" hidden="false" customHeight="false" outlineLevel="0" collapsed="false">
      <c r="A643" s="0" t="n">
        <f aca="false">A642+100000</f>
        <v>6700000</v>
      </c>
      <c r="B643" s="0" t="n">
        <f aca="false">A643/1000</f>
        <v>6700</v>
      </c>
      <c r="C643" s="0" t="n">
        <f aca="false">SQRT((A643/Fesr)^2+1)</f>
        <v>1.00088570084811</v>
      </c>
      <c r="D643" s="0" t="n">
        <f aca="false">ATAN(A643/Fesr)</f>
        <v>0.0420724998104281</v>
      </c>
      <c r="F643" s="0" t="n">
        <f aca="false">(Ro/(Ro+Rdcr))/SQRT((A643/(Q*Fo))^2+(1-(A643^2/Fo^2))^2)</f>
        <v>4.14852749512002E-005</v>
      </c>
      <c r="G643" s="0" t="n">
        <f aca="false">-ATAN(A643*Fo/(Q*(Fo^2-A643^2)))</f>
        <v>0.00404119204286349</v>
      </c>
      <c r="H643" s="0" t="n">
        <f aca="false">IF(G643&gt;0,G643-Pi,G643)</f>
        <v>-3.13755145795714</v>
      </c>
      <c r="J643" s="0" t="n">
        <f aca="false">Vin/Vramp</f>
        <v>9</v>
      </c>
      <c r="M643" s="0" t="n">
        <f aca="false">1/(2*Pi*_Rfb1*(Cc1ea_u+Cc2ea_u)*A643)</f>
        <v>0.000879795153530992</v>
      </c>
      <c r="N643" s="0" t="n">
        <f aca="false">-Pi/2</f>
        <v>-1.570796325</v>
      </c>
      <c r="O643" s="0" t="n">
        <f aca="false">SQRT(1+(A643/Fz1_u)^2)</f>
        <v>163.677518606656</v>
      </c>
      <c r="P643" s="0" t="n">
        <f aca="false">ATAN2(Fz1_u,A643)</f>
        <v>1.56468671424842</v>
      </c>
      <c r="Q643" s="0" t="n">
        <f aca="false">SQRT(1+(A643/Fz2_u)^2)</f>
        <v>185724.714497778</v>
      </c>
      <c r="R643" s="0" t="n">
        <f aca="false">ATAN2(Fz2_u,A643)</f>
        <v>1.57079094248187</v>
      </c>
      <c r="S643" s="0" t="n">
        <f aca="false">1/SQRT(1+(A643/Fp1_u)^2)</f>
        <v>0.0020144522512939</v>
      </c>
      <c r="T643" s="0" t="n">
        <f aca="false">-ATAN2(Fp1_u,A643)</f>
        <v>-1.56878187318115</v>
      </c>
      <c r="U643" s="0" t="n">
        <f aca="false">1/SQRT(1+(A643/Fp2_u)^2)</f>
        <v>0.0549042557136884</v>
      </c>
      <c r="V643" s="0" t="n">
        <f aca="false">-ATAN2(Fp2_u,A643)</f>
        <v>-1.51586444898962</v>
      </c>
      <c r="X643" s="0" t="n">
        <f aca="false">20*LOG(C643*J643*O643*Q643*F643*M643*S643*U643)</f>
        <v>-59.1295149919539</v>
      </c>
      <c r="Y643" s="0" t="n">
        <f aca="false">(180/Pi)*(D643+H643+N643+P643+R643+T643+V643)</f>
        <v>-264.445459135415</v>
      </c>
      <c r="Z643" s="0" t="n">
        <f aca="false">Y643+180</f>
        <v>-84.4454591354149</v>
      </c>
      <c r="AC643" s="0" t="n">
        <v>1</v>
      </c>
      <c r="AD643" s="0" t="n">
        <f aca="false">Rcea1_u*Cc1ea_u*A643*2*Pi</f>
        <v>163.67446379088</v>
      </c>
      <c r="AE643" s="0" t="n">
        <f aca="false">-Rcea1_u*Cc1ea_u*Cc2ea_u*(A643*2*Pi)^2</f>
        <v>-1.03353896980062</v>
      </c>
      <c r="AF643" s="0" t="n">
        <f aca="false">(Cc2ea_u+Cc1ea_u)*A643*2*Pi</f>
        <v>0.0568314110385</v>
      </c>
      <c r="AG643" s="0" t="n">
        <f aca="false">AC643*AE643/(AE643^2+AF643^2)+AD643*AF643/(AE643^2+AF643^2)</f>
        <v>7.71706187641365</v>
      </c>
      <c r="AH643" s="0" t="n">
        <f aca="false">AD643*AE643/(AE643^2+AF643^2)-AC643*AF643/(AE643^2+AF643^2)</f>
        <v>-157.938788033181</v>
      </c>
      <c r="AJ643" s="0" t="n">
        <f aca="false">_Rfb1</f>
        <v>20000</v>
      </c>
      <c r="AK643" s="0" t="n">
        <f aca="false">_Rfb1*Rcea2_u*Cc3ea_u*A643*2*Pi</f>
        <v>9928237.0217184</v>
      </c>
      <c r="AL643" s="0" t="n">
        <v>18</v>
      </c>
      <c r="AM643" s="0" t="n">
        <f aca="false">(_Rfb1+Rcea2_u)*Cc3ea_u*A643*2*Pi</f>
        <v>185724.714495086</v>
      </c>
      <c r="AN643" s="0" t="n">
        <f aca="false">AJ643*AL643/(AL643^2+AM643^2)+AK643*AM643/(AL643^2+AM643^2)</f>
        <v>53.4567458822372</v>
      </c>
      <c r="AO643" s="0" t="n">
        <f aca="false">AK643*AL643/(AL643^2+AM643^2)-AJ643*AM643/(AL643^2+AM643^2)</f>
        <v>-0.102505359213372</v>
      </c>
      <c r="AQ643" s="0" t="n">
        <f aca="false">Eadcg/(1+(Eadcg*A643/GBP)^2)</f>
        <v>0.000253624377985712</v>
      </c>
      <c r="AR643" s="0" t="n">
        <f aca="false">-(A643*Eadcg*Eadcg/GBP)/(1+(Eadcg*A643/GBP)^2)</f>
        <v>-0.895522316229749</v>
      </c>
      <c r="AT643" s="0" t="n">
        <f aca="false">-AR643*AH643+AG643*AQ643</f>
        <v>-141.435752046975</v>
      </c>
      <c r="AU643" s="0" t="n">
        <f aca="false">AQ643*AH643+AG643*AR643</f>
        <v>-6.95085825292898</v>
      </c>
      <c r="AV643" s="0" t="n">
        <f aca="false">ATAN2(AT643,AU643)</f>
        <v>-3.0924871744271</v>
      </c>
      <c r="AW643" s="0" t="n">
        <f aca="false">AG643-AH643*AO643/_Rfb2+AG643*AN643/_Rfb2+AN643-AO643*AR643+AQ643*AN643</f>
        <v>61.2739226054334</v>
      </c>
      <c r="AX643" s="0" t="n">
        <f aca="false">AH643+AH643*AN643/_Rfb2+AG643*AO643/_Rfb2+AO643+AO643*AQ643+AN643*AR643</f>
        <v>-209.712686394485</v>
      </c>
      <c r="AY643" s="0" t="n">
        <f aca="false">ATAN2(AW643,AX643)</f>
        <v>-1.28652888781817</v>
      </c>
      <c r="BA643" s="0" t="n">
        <f aca="false">SQRT(AT643^2+AU643^2)/SQRT(AW643^2+AX643^2)</f>
        <v>0.648141086164865</v>
      </c>
      <c r="BB643" s="0" t="n">
        <f aca="false">20*LOG(BA643)</f>
        <v>-3.76660894822089</v>
      </c>
      <c r="BC643" s="0" t="n">
        <f aca="false">AV643-AY643</f>
        <v>-1.80595828660893</v>
      </c>
      <c r="BD643" s="0" t="n">
        <f aca="false">BC643*180/Pi-180</f>
        <v>-283.473787917605</v>
      </c>
      <c r="BF643" s="0" t="n">
        <f aca="false">20*LOG(BA643*J643*F643*C643)</f>
        <v>-72.3161896084474</v>
      </c>
      <c r="BG643" s="0" t="n">
        <f aca="false">(180/Pi)*(D643+H643+BC643)</f>
        <v>-280.831667993626</v>
      </c>
      <c r="BH643" s="0" t="n">
        <f aca="false">IF(BG643&gt;180,BG643-180,BG643+180)</f>
        <v>-100.831667993626</v>
      </c>
      <c r="BI643" s="0" t="n">
        <f aca="false">IF(BH643&gt;180,BH643-360,BH643)</f>
        <v>-100.831667993626</v>
      </c>
      <c r="BJ643" s="0" t="n">
        <f aca="false">SUM((BF644&lt;0)*(BF643&gt;0))*A643</f>
        <v>0</v>
      </c>
      <c r="BK643" s="0" t="n">
        <f aca="false">IF(BJ643&gt;0,BI643,0)</f>
        <v>0</v>
      </c>
      <c r="BM643" s="0" t="n">
        <f aca="false">20*LOG(J643*F643*C643)</f>
        <v>-68.5495806602265</v>
      </c>
      <c r="BN643" s="0" t="n">
        <f aca="false">(H643+D643)*180/Pi</f>
        <v>-177.357880076021</v>
      </c>
      <c r="BQ643" s="347" t="n">
        <f aca="false">20*LOG(BA643*7)</f>
        <v>13.1353518520642</v>
      </c>
    </row>
    <row r="644" customFormat="false" ht="12.75" hidden="false" customHeight="false" outlineLevel="0" collapsed="false">
      <c r="A644" s="0" t="n">
        <f aca="false">A643+100000</f>
        <v>6800000</v>
      </c>
      <c r="B644" s="0" t="n">
        <f aca="false">A644/1000</f>
        <v>6800</v>
      </c>
      <c r="C644" s="0" t="n">
        <f aca="false">SQRT((A644/Fesr)^2+1)</f>
        <v>1.00091232484462</v>
      </c>
      <c r="D644" s="0" t="n">
        <f aca="false">ATAN(A644/Fesr)</f>
        <v>0.0426996901704407</v>
      </c>
      <c r="F644" s="0" t="n">
        <f aca="false">(Ro/(Ro+Rdcr))/SQRT((A644/(Q*Fo))^2+(1-(A644^2/Fo^2))^2)</f>
        <v>4.02740519829431E-005</v>
      </c>
      <c r="G644" s="0" t="n">
        <f aca="false">-ATAN(A644*Fo/(Q*(Fo^2-A644^2)))</f>
        <v>0.00398175852133974</v>
      </c>
      <c r="H644" s="0" t="n">
        <f aca="false">IF(G644&gt;0,G644-Pi,G644)</f>
        <v>-3.13761089147866</v>
      </c>
      <c r="J644" s="0" t="n">
        <f aca="false">Vin/Vramp</f>
        <v>9</v>
      </c>
      <c r="M644" s="0" t="n">
        <f aca="false">1/(2*Pi*_Rfb1*(Cc1ea_u+Cc2ea_u)*A644)</f>
        <v>0.000866856989508477</v>
      </c>
      <c r="N644" s="0" t="n">
        <f aca="false">-Pi/2</f>
        <v>-1.570796325</v>
      </c>
      <c r="O644" s="0" t="n">
        <f aca="false">SQRT(1+(A644/Fz1_u)^2)</f>
        <v>166.120376128354</v>
      </c>
      <c r="P644" s="0" t="n">
        <f aca="false">ATAN2(Fz1_u,A644)</f>
        <v>1.56477655930501</v>
      </c>
      <c r="Q644" s="0" t="n">
        <f aca="false">SQRT(1+(A644/Fz2_u)^2)</f>
        <v>188496.725161844</v>
      </c>
      <c r="R644" s="0" t="n">
        <f aca="false">ATAN2(Fz2_u,A644)</f>
        <v>1.57079102166294</v>
      </c>
      <c r="S644" s="0" t="n">
        <f aca="false">1/SQRT(1+(A644/Fp1_u)^2)</f>
        <v>0.00198482807105787</v>
      </c>
      <c r="T644" s="0" t="n">
        <f aca="false">-ATAN2(Fp1_u,A644)</f>
        <v>-1.56881149742062</v>
      </c>
      <c r="U644" s="0" t="n">
        <f aca="false">1/SQRT(1+(A644/Fp2_u)^2)</f>
        <v>0.0540992208548228</v>
      </c>
      <c r="V644" s="0" t="n">
        <f aca="false">-ATAN2(Fp2_u,A644)</f>
        <v>-1.51667068219451</v>
      </c>
      <c r="X644" s="0" t="n">
        <f aca="false">20*LOG(C644*J644*O644*Q644*F644*M644*S644*U644)</f>
        <v>-59.5149610594762</v>
      </c>
      <c r="Y644" s="0" t="n">
        <f aca="false">(180/Pi)*(D644+H644+N644+P644+R644+T644+V644)</f>
        <v>-264.455667889333</v>
      </c>
      <c r="Z644" s="0" t="n">
        <f aca="false">Y644+180</f>
        <v>-84.4556678893335</v>
      </c>
      <c r="AC644" s="0" t="n">
        <v>1</v>
      </c>
      <c r="AD644" s="0" t="n">
        <f aca="false">Rcea1_u*Cc1ea_u*A644*2*Pi</f>
        <v>166.11736623552</v>
      </c>
      <c r="AE644" s="0" t="n">
        <f aca="false">-Rcea1_u*Cc1ea_u*Cc2ea_u*(A644*2*Pi)^2</f>
        <v>-1.06462111747785</v>
      </c>
      <c r="AF644" s="0" t="n">
        <f aca="false">(Cc2ea_u+Cc1ea_u)*A644*2*Pi</f>
        <v>0.057679641054</v>
      </c>
      <c r="AG644" s="0" t="n">
        <f aca="false">AC644*AE644/(AE644^2+AF644^2)+AD644*AF644/(AE644^2+AF644^2)</f>
        <v>7.49241778457317</v>
      </c>
      <c r="AH644" s="0" t="n">
        <f aca="false">AD644*AE644/(AE644^2+AF644^2)-AC644*AF644/(AE644^2+AF644^2)</f>
        <v>-155.628329691221</v>
      </c>
      <c r="AJ644" s="0" t="n">
        <f aca="false">_Rfb1</f>
        <v>20000</v>
      </c>
      <c r="AK644" s="0" t="n">
        <f aca="false">_Rfb1*Rcea2_u*Cc3ea_u*A644*2*Pi</f>
        <v>10076419.6638336</v>
      </c>
      <c r="AL644" s="0" t="n">
        <v>19</v>
      </c>
      <c r="AM644" s="0" t="n">
        <f aca="false">(_Rfb1+Rcea2_u)*Cc3ea_u*A644*2*Pi</f>
        <v>188496.725159192</v>
      </c>
      <c r="AN644" s="0" t="n">
        <f aca="false">AJ644*AL644/(AL644^2+AM644^2)+AK644*AM644/(AL644^2+AM644^2)</f>
        <v>53.4567460994139</v>
      </c>
      <c r="AO644" s="0" t="n">
        <f aca="false">AK644*AL644/(AL644^2+AM644^2)-AJ644*AM644/(AL644^2+AM644^2)</f>
        <v>-0.100714332347569</v>
      </c>
      <c r="AQ644" s="0" t="n">
        <f aca="false">Eadcg/(1+(Eadcg*A644/GBP)^2)</f>
        <v>0.000246219687596024</v>
      </c>
      <c r="AR644" s="0" t="n">
        <f aca="false">-(A644*Eadcg*Eadcg/GBP)/(1+(Eadcg*A644/GBP)^2)</f>
        <v>-0.882352872469113</v>
      </c>
      <c r="AT644" s="0" t="n">
        <f aca="false">-AR644*AH644+AG644*AQ644</f>
        <v>-137.317258959853</v>
      </c>
      <c r="AU644" s="0" t="n">
        <f aca="false">AQ644*AH644+AG644*AR644</f>
        <v>-6.64927511267446</v>
      </c>
      <c r="AV644" s="0" t="n">
        <f aca="false">ATAN2(AT644,AU644)</f>
        <v>-3.09320772748553</v>
      </c>
      <c r="AW644" s="0" t="n">
        <f aca="false">AG644-AH644*AO644/_Rfb2+AG644*AN644/_Rfb2+AN644-AO644*AR644+AQ644*AN644</f>
        <v>61.0466412292035</v>
      </c>
      <c r="AX644" s="0" t="n">
        <f aca="false">AH644+AH644*AN644/_Rfb2+AG644*AO644/_Rfb2+AO644+AO644*AQ644+AN644*AR644</f>
        <v>-206.640844710105</v>
      </c>
      <c r="AY644" s="0" t="n">
        <f aca="false">ATAN2(AW644,AX644)</f>
        <v>-1.28354307213206</v>
      </c>
      <c r="BA644" s="0" t="n">
        <f aca="false">SQRT(AT644^2+AU644^2)/SQRT(AW644^2+AX644^2)</f>
        <v>0.63803979066563</v>
      </c>
      <c r="BB644" s="0" t="n">
        <f aca="false">20*LOG(BA644)</f>
        <v>-3.90304472251557</v>
      </c>
      <c r="BC644" s="0" t="n">
        <f aca="false">AV644-AY644</f>
        <v>-1.80966465535347</v>
      </c>
      <c r="BD644" s="0" t="n">
        <f aca="false">BC644*180/Pi-180</f>
        <v>-283.686147204229</v>
      </c>
      <c r="BF644" s="0" t="n">
        <f aca="false">20*LOG(BA644*J644*F644*C644)</f>
        <v>-72.7097672676601</v>
      </c>
      <c r="BG644" s="0" t="n">
        <f aca="false">(180/Pi)*(D644+H644+BC644)</f>
        <v>-281.011497209577</v>
      </c>
      <c r="BH644" s="0" t="n">
        <f aca="false">IF(BG644&gt;180,BG644-180,BG644+180)</f>
        <v>-101.011497209577</v>
      </c>
      <c r="BI644" s="0" t="n">
        <f aca="false">IF(BH644&gt;180,BH644-360,BH644)</f>
        <v>-101.011497209577</v>
      </c>
      <c r="BJ644" s="0" t="n">
        <f aca="false">SUM((BF645&lt;0)*(BF644&gt;0))*A644</f>
        <v>0</v>
      </c>
      <c r="BK644" s="0" t="n">
        <f aca="false">IF(BJ644&gt;0,BI644,0)</f>
        <v>0</v>
      </c>
      <c r="BM644" s="0" t="n">
        <f aca="false">20*LOG(J644*F644*C644)</f>
        <v>-68.8067225451446</v>
      </c>
      <c r="BN644" s="0" t="n">
        <f aca="false">(H644+D644)*180/Pi</f>
        <v>-177.325350005348</v>
      </c>
      <c r="BQ644" s="347" t="n">
        <f aca="false">20*LOG(BA644*7)</f>
        <v>12.9989160777696</v>
      </c>
    </row>
    <row r="645" customFormat="false" ht="12.75" hidden="false" customHeight="false" outlineLevel="0" collapsed="false">
      <c r="A645" s="0" t="n">
        <f aca="false">A644+100000</f>
        <v>6900000</v>
      </c>
      <c r="B645" s="0" t="n">
        <f aca="false">A645/1000</f>
        <v>6900</v>
      </c>
      <c r="C645" s="0" t="n">
        <f aca="false">SQRT((A645/Fesr)^2+1)</f>
        <v>1.00093934254671</v>
      </c>
      <c r="D645" s="0" t="n">
        <f aca="false">ATAN(A645/Fesr)</f>
        <v>0.0433268469184659</v>
      </c>
      <c r="F645" s="0" t="n">
        <f aca="false">(Ro/(Ro+Rdcr))/SQRT((A645/(Q*Fo))^2+(1-(A645^2/Fo^2))^2)</f>
        <v>3.91151105600509E-005</v>
      </c>
      <c r="G645" s="0" t="n">
        <f aca="false">-ATAN(A645*Fo/(Q*(Fo^2-A645^2)))</f>
        <v>0.00392404789038565</v>
      </c>
      <c r="H645" s="0" t="n">
        <f aca="false">IF(G645&gt;0,G645-Pi,G645)</f>
        <v>-3.13766860210961</v>
      </c>
      <c r="J645" s="0" t="n">
        <f aca="false">Vin/Vramp</f>
        <v>9</v>
      </c>
      <c r="M645" s="0" t="n">
        <f aca="false">1/(2*Pi*_Rfb1*(Cc1ea_u+Cc2ea_u)*A645)</f>
        <v>0.000854293844732992</v>
      </c>
      <c r="N645" s="0" t="n">
        <f aca="false">-Pi/2</f>
        <v>-1.570796325</v>
      </c>
      <c r="O645" s="0" t="n">
        <f aca="false">SQRT(1+(A645/Fz1_u)^2)</f>
        <v>168.563234952132</v>
      </c>
      <c r="P645" s="0" t="n">
        <f aca="false">ATAN2(Fz1_u,A645)</f>
        <v>1.56486380025007</v>
      </c>
      <c r="Q645" s="0" t="n">
        <f aca="false">SQRT(1+(A645/Fz2_u)^2)</f>
        <v>191268.735825912</v>
      </c>
      <c r="R645" s="0" t="n">
        <f aca="false">ATAN2(Fz2_u,A645)</f>
        <v>1.57079109854891</v>
      </c>
      <c r="S645" s="0" t="n">
        <f aca="false">1/SQRT(1+(A645/Fp1_u)^2)</f>
        <v>0.0019560625577114</v>
      </c>
      <c r="T645" s="0" t="n">
        <f aca="false">-ATAN2(Fp1_u,A645)</f>
        <v>-1.56884026298981</v>
      </c>
      <c r="U645" s="0" t="n">
        <f aca="false">1/SQRT(1+(A645/Fp2_u)^2)</f>
        <v>0.0533174193635779</v>
      </c>
      <c r="V645" s="0" t="n">
        <f aca="false">-ATAN2(Fp2_u,A645)</f>
        <v>-1.51745361373716</v>
      </c>
      <c r="X645" s="0" t="n">
        <f aca="false">20*LOG(C645*J645*O645*Q645*F645*M645*S645*U645)</f>
        <v>-59.8947837146818</v>
      </c>
      <c r="Y645" s="0" t="n">
        <f aca="false">(180/Pi)*(D645+H645+N645+P645+R645+T645+V645)</f>
        <v>-264.464544905733</v>
      </c>
      <c r="Z645" s="0" t="n">
        <f aca="false">Y645+180</f>
        <v>-84.4645449057327</v>
      </c>
      <c r="AC645" s="0" t="n">
        <v>1</v>
      </c>
      <c r="AD645" s="0" t="n">
        <f aca="false">Rcea1_u*Cc1ea_u*A645*2*Pi</f>
        <v>168.56026868016</v>
      </c>
      <c r="AE645" s="0" t="n">
        <f aca="false">-Rcea1_u*Cc1ea_u*Cc2ea_u*(A645*2*Pi)^2</f>
        <v>-1.09616374141696</v>
      </c>
      <c r="AF645" s="0" t="n">
        <f aca="false">(Cc2ea_u+Cc1ea_u)*A645*2*Pi</f>
        <v>0.0585278710695</v>
      </c>
      <c r="AG645" s="0" t="n">
        <f aca="false">AC645*AE645/(AE645^2+AF645^2)+AD645*AF645/(AE645^2+AF645^2)</f>
        <v>7.27743285143459</v>
      </c>
      <c r="AH645" s="0" t="n">
        <f aca="false">AD645*AE645/(AE645^2+AF645^2)-AC645*AF645/(AE645^2+AF645^2)</f>
        <v>-153.384325421286</v>
      </c>
      <c r="AJ645" s="0" t="n">
        <f aca="false">_Rfb1</f>
        <v>20000</v>
      </c>
      <c r="AK645" s="0" t="n">
        <f aca="false">_Rfb1*Rcea2_u*Cc3ea_u*A645*2*Pi</f>
        <v>10224602.3059488</v>
      </c>
      <c r="AL645" s="0" t="n">
        <v>20</v>
      </c>
      <c r="AM645" s="0" t="n">
        <f aca="false">(_Rfb1+Rcea2_u)*Cc3ea_u*A645*2*Pi</f>
        <v>191268.735823297</v>
      </c>
      <c r="AN645" s="0" t="n">
        <f aca="false">AJ645*AL645/(AL645^2+AM645^2)+AK645*AM645/(AL645^2+AM645^2)</f>
        <v>53.4567462969961</v>
      </c>
      <c r="AO645" s="0" t="n">
        <f aca="false">AK645*AL645/(AL645^2+AM645^2)-AJ645*AM645/(AL645^2+AM645^2)</f>
        <v>-0.0989752193037405</v>
      </c>
      <c r="AQ645" s="0" t="n">
        <f aca="false">Eadcg/(1+(Eadcg*A645/GBP)^2)</f>
        <v>0.000239134601553265</v>
      </c>
      <c r="AR645" s="0" t="n">
        <f aca="false">-(A645*Eadcg*Eadcg/GBP)/(1+(Eadcg*A645/GBP)^2)</f>
        <v>-0.869565151628138</v>
      </c>
      <c r="AT645" s="0" t="n">
        <f aca="false">-AR645*AH645+AG645*AQ645</f>
        <v>-133.375923906335</v>
      </c>
      <c r="AU645" s="0" t="n">
        <f aca="false">AQ645*AH645+AG645*AR645</f>
        <v>-6.36488150046545</v>
      </c>
      <c r="AV645" s="0" t="n">
        <f aca="false">ATAN2(AT645,AU645)</f>
        <v>-3.09390746227124</v>
      </c>
      <c r="AW645" s="0" t="n">
        <f aca="false">AG645-AH645*AO645/_Rfb2+AG645*AN645/_Rfb2+AN645-AO645*AR645+AQ645*AN645</f>
        <v>60.8291280900493</v>
      </c>
      <c r="AX645" s="0" t="n">
        <f aca="false">AH645+AH645*AN645/_Rfb2+AG645*AO645/_Rfb2+AO645+AO645*AQ645+AN645*AR645</f>
        <v>-203.657514273256</v>
      </c>
      <c r="AY645" s="0" t="n">
        <f aca="false">ATAN2(AW645,AX645)</f>
        <v>-1.28054781760949</v>
      </c>
      <c r="BA645" s="0" t="n">
        <f aca="false">SQRT(AT645^2+AU645^2)/SQRT(AW645^2+AX645^2)</f>
        <v>0.628224380333776</v>
      </c>
      <c r="BB645" s="0" t="n">
        <f aca="false">20*LOG(BA645)</f>
        <v>-4.03770426741098</v>
      </c>
      <c r="BC645" s="0" t="n">
        <f aca="false">AV645-AY645</f>
        <v>-1.81335964466174</v>
      </c>
      <c r="BD645" s="0" t="n">
        <f aca="false">BC645*180/Pi-180</f>
        <v>-283.897854497181</v>
      </c>
      <c r="BF645" s="0" t="n">
        <f aca="false">20*LOG(BA645*J645*F645*C645)</f>
        <v>-73.0978076399862</v>
      </c>
      <c r="BG645" s="0" t="n">
        <f aca="false">(180/Pi)*(D645+H645+BC645)</f>
        <v>-281.190577643324</v>
      </c>
      <c r="BH645" s="0" t="n">
        <f aca="false">IF(BG645&gt;180,BG645-180,BG645+180)</f>
        <v>-101.190577643324</v>
      </c>
      <c r="BI645" s="0" t="n">
        <f aca="false">IF(BH645&gt;180,BH645-360,BH645)</f>
        <v>-101.190577643324</v>
      </c>
      <c r="BJ645" s="0" t="n">
        <f aca="false">SUM((BF646&lt;0)*(BF645&gt;0))*A645</f>
        <v>0</v>
      </c>
      <c r="BK645" s="0" t="n">
        <f aca="false">IF(BJ645&gt;0,BI645,0)</f>
        <v>0</v>
      </c>
      <c r="BM645" s="0" t="n">
        <f aca="false">20*LOG(J645*F645*C645)</f>
        <v>-69.0601033725752</v>
      </c>
      <c r="BN645" s="0" t="n">
        <f aca="false">(H645+D645)*180/Pi</f>
        <v>-177.292723146143</v>
      </c>
      <c r="BQ645" s="347" t="n">
        <f aca="false">20*LOG(BA645*7)</f>
        <v>12.8642565328742</v>
      </c>
    </row>
    <row r="646" customFormat="false" ht="12.75" hidden="false" customHeight="false" outlineLevel="0" collapsed="false">
      <c r="A646" s="0" t="n">
        <f aca="false">A645+100000</f>
        <v>7000000</v>
      </c>
      <c r="B646" s="0" t="n">
        <f aca="false">A646/1000</f>
        <v>7000</v>
      </c>
      <c r="C646" s="0" t="n">
        <f aca="false">SQRT((A646/Fesr)^2+1)</f>
        <v>1.00096675392252</v>
      </c>
      <c r="D646" s="0" t="n">
        <f aca="false">ATAN(A646/Fesr)</f>
        <v>0.0439539695638918</v>
      </c>
      <c r="F646" s="0" t="n">
        <f aca="false">(Ro/(Ro+Rdcr))/SQRT((A646/(Q*Fo))^2+(1-(A646^2/Fo^2))^2)</f>
        <v>3.80054844550794E-005</v>
      </c>
      <c r="G646" s="0" t="n">
        <f aca="false">-ATAN(A646*Fo/(Q*(Fo^2-A646^2)))</f>
        <v>0.0038679863017786</v>
      </c>
      <c r="H646" s="0" t="n">
        <f aca="false">IF(G646&gt;0,G646-Pi,G646)</f>
        <v>-3.13772466369822</v>
      </c>
      <c r="J646" s="0" t="n">
        <f aca="false">Vin/Vramp</f>
        <v>9</v>
      </c>
      <c r="M646" s="0" t="n">
        <f aca="false">1/(2*Pi*_Rfb1*(Cc1ea_u+Cc2ea_u)*A646)</f>
        <v>0.000842089646951092</v>
      </c>
      <c r="N646" s="0" t="n">
        <f aca="false">-Pi/2</f>
        <v>-1.570796325</v>
      </c>
      <c r="O646" s="0" t="n">
        <f aca="false">SQRT(1+(A646/Fz1_u)^2)</f>
        <v>171.006095022188</v>
      </c>
      <c r="P646" s="0" t="n">
        <f aca="false">ATAN2(Fz1_u,A646)</f>
        <v>1.56494854868318</v>
      </c>
      <c r="Q646" s="0" t="n">
        <f aca="false">SQRT(1+(A646/Fz2_u)^2)</f>
        <v>194040.74648998</v>
      </c>
      <c r="R646" s="0" t="n">
        <f aca="false">ATAN2(Fz2_u,A646)</f>
        <v>1.57079117323814</v>
      </c>
      <c r="S646" s="0" t="n">
        <f aca="false">1/SQRT(1+(A646/Fp1_u)^2)</f>
        <v>0.00192811891152462</v>
      </c>
      <c r="T646" s="0" t="n">
        <f aca="false">-ATAN2(Fp1_u,A646)</f>
        <v>-1.56886820668869</v>
      </c>
      <c r="U646" s="0" t="n">
        <f aca="false">1/SQRT(1+(A646/Fp2_u)^2)</f>
        <v>0.052557861151222</v>
      </c>
      <c r="V646" s="0" t="n">
        <f aca="false">-ATAN2(Fp2_u,A646)</f>
        <v>-1.51821423850076</v>
      </c>
      <c r="X646" s="0" t="n">
        <f aca="false">20*LOG(C646*J646*O646*Q646*F646*M646*S646*U646)</f>
        <v>-60.2691442505427</v>
      </c>
      <c r="Y646" s="0" t="n">
        <f aca="false">(180/Pi)*(D646+H646+N646+P646+R646+T646+V646)</f>
        <v>-264.472147155184</v>
      </c>
      <c r="Z646" s="0" t="n">
        <f aca="false">Y646+180</f>
        <v>-84.4721471551837</v>
      </c>
      <c r="AC646" s="0" t="n">
        <v>1</v>
      </c>
      <c r="AD646" s="0" t="n">
        <f aca="false">Rcea1_u*Cc1ea_u*A646*2*Pi</f>
        <v>171.0031711248</v>
      </c>
      <c r="AE646" s="0" t="n">
        <f aca="false">-Rcea1_u*Cc1ea_u*Cc2ea_u*(A646*2*Pi)^2</f>
        <v>-1.12816684161796</v>
      </c>
      <c r="AF646" s="0" t="n">
        <f aca="false">(Cc2ea_u+Cc1ea_u)*A646*2*Pi</f>
        <v>0.059376101085</v>
      </c>
      <c r="AG646" s="0" t="n">
        <f aca="false">AC646*AE646/(AE646^2+AF646^2)+AD646*AF646/(AE646^2+AF646^2)</f>
        <v>7.07156164810529</v>
      </c>
      <c r="AH646" s="0" t="n">
        <f aca="false">AD646*AE646/(AE646^2+AF646^2)-AC646*AF646/(AE646^2+AF646^2)</f>
        <v>-151.203955897969</v>
      </c>
      <c r="AJ646" s="0" t="n">
        <f aca="false">_Rfb1</f>
        <v>20000</v>
      </c>
      <c r="AK646" s="0" t="n">
        <f aca="false">_Rfb1*Rcea2_u*Cc3ea_u*A646*2*Pi</f>
        <v>10372784.948064</v>
      </c>
      <c r="AL646" s="0" t="n">
        <v>21</v>
      </c>
      <c r="AM646" s="0" t="n">
        <f aca="false">(_Rfb1+Rcea2_u)*Cc3ea_u*A646*2*Pi</f>
        <v>194040.746487403</v>
      </c>
      <c r="AN646" s="0" t="n">
        <f aca="false">AJ646*AL646/(AL646^2+AM646^2)+AK646*AM646/(AL646^2+AM646^2)</f>
        <v>53.4567464763855</v>
      </c>
      <c r="AO646" s="0" t="n">
        <f aca="false">AK646*AL646/(AL646^2+AM646^2)-AJ646*AM646/(AL646^2+AM646^2)</f>
        <v>-0.0972857952039542</v>
      </c>
      <c r="AQ646" s="0" t="n">
        <f aca="false">Eadcg/(1+(Eadcg*A646/GBP)^2)</f>
        <v>0.000232350987844413</v>
      </c>
      <c r="AR646" s="0" t="n">
        <f aca="false">-(A646*Eadcg*Eadcg/GBP)/(1+(Eadcg*A646/GBP)^2)</f>
        <v>-0.857142794158041</v>
      </c>
      <c r="AT646" s="0" t="n">
        <f aca="false">-AR646*AH646+AG646*AQ646</f>
        <v>-129.6017381618</v>
      </c>
      <c r="AU646" s="0" t="n">
        <f aca="false">AQ646*AH646+AG646*AR646</f>
        <v>-6.09647049863669</v>
      </c>
      <c r="AV646" s="0" t="n">
        <f aca="false">ATAN2(AT646,AU646)</f>
        <v>-3.09458726724161</v>
      </c>
      <c r="AW646" s="0" t="n">
        <f aca="false">AG646-AH646*AO646/_Rfb2+AG646*AN646/_Rfb2+AN646-AO646*AR646+AQ646*AN646</f>
        <v>60.6208317405159</v>
      </c>
      <c r="AX646" s="0" t="n">
        <f aca="false">AH646+AH646*AN646/_Rfb2+AG646*AO646/_Rfb2+AO646+AO646*AQ646+AN646*AR646</f>
        <v>-200.758931113613</v>
      </c>
      <c r="AY646" s="0" t="n">
        <f aca="false">ATAN2(AW646,AX646)</f>
        <v>-1.27754386829406</v>
      </c>
      <c r="BA646" s="0" t="n">
        <f aca="false">SQRT(AT646^2+AU646^2)/SQRT(AW646^2+AX646^2)</f>
        <v>0.618682668240572</v>
      </c>
      <c r="BB646" s="0" t="n">
        <f aca="false">20*LOG(BA646)</f>
        <v>-4.17064100246768</v>
      </c>
      <c r="BC646" s="0" t="n">
        <f aca="false">AV646-AY646</f>
        <v>-1.81704339894755</v>
      </c>
      <c r="BD646" s="0" t="n">
        <f aca="false">BC646*180/Pi-180</f>
        <v>-284.108918070762</v>
      </c>
      <c r="BF646" s="0" t="n">
        <f aca="false">20*LOG(BA646*J646*F646*C646)</f>
        <v>-73.4804722952424</v>
      </c>
      <c r="BG646" s="0" t="n">
        <f aca="false">(180/Pi)*(D646+H646+BC646)</f>
        <v>-281.368921828468</v>
      </c>
      <c r="BH646" s="0" t="n">
        <f aca="false">IF(BG646&gt;180,BG646-180,BG646+180)</f>
        <v>-101.368921828468</v>
      </c>
      <c r="BI646" s="0" t="n">
        <f aca="false">IF(BH646&gt;180,BH646-360,BH646)</f>
        <v>-101.368921828468</v>
      </c>
      <c r="BJ646" s="0" t="n">
        <f aca="false">SUM((BF647&lt;0)*(BF646&gt;0))*A646</f>
        <v>0</v>
      </c>
      <c r="BK646" s="0" t="n">
        <f aca="false">IF(BJ646&gt;0,BI646,0)</f>
        <v>0</v>
      </c>
      <c r="BM646" s="0" t="n">
        <f aca="false">20*LOG(J646*F646*C646)</f>
        <v>-69.3098312927747</v>
      </c>
      <c r="BN646" s="0" t="n">
        <f aca="false">(H646+D646)*180/Pi</f>
        <v>-177.260003757705</v>
      </c>
      <c r="BQ646" s="347" t="n">
        <f aca="false">20*LOG(BA646*7)</f>
        <v>12.7313197978175</v>
      </c>
    </row>
    <row r="647" customFormat="false" ht="12.75" hidden="false" customHeight="false" outlineLevel="0" collapsed="false">
      <c r="A647" s="0" t="n">
        <f aca="false">A646+100000</f>
        <v>7100000</v>
      </c>
      <c r="B647" s="0" t="n">
        <f aca="false">A647/1000</f>
        <v>7100</v>
      </c>
      <c r="C647" s="0" t="n">
        <f aca="false">SQRT((A647/Fesr)^2+1)</f>
        <v>1.0009945589397</v>
      </c>
      <c r="D647" s="0" t="n">
        <f aca="false">ATAN(A647/Fesr)</f>
        <v>0.0445810576162676</v>
      </c>
      <c r="F647" s="0" t="n">
        <f aca="false">(Ro/(Ro+Rdcr))/SQRT((A647/(Q*Fo))^2+(1-(A647^2/Fo^2))^2)</f>
        <v>3.69424148607493E-005</v>
      </c>
      <c r="G647" s="0" t="n">
        <f aca="false">-ATAN(A647*Fo/(Q*(Fo^2-A647^2)))</f>
        <v>0.00381350406845248</v>
      </c>
      <c r="H647" s="0" t="n">
        <f aca="false">IF(G647&gt;0,G647-Pi,G647)</f>
        <v>-3.13777914593155</v>
      </c>
      <c r="J647" s="0" t="n">
        <f aca="false">Vin/Vramp</f>
        <v>9</v>
      </c>
      <c r="M647" s="0" t="n">
        <f aca="false">1/(2*Pi*_Rfb1*(Cc1ea_u+Cc2ea_u)*A647)</f>
        <v>0.000830229229388401</v>
      </c>
      <c r="N647" s="0" t="n">
        <f aca="false">-Pi/2</f>
        <v>-1.570796325</v>
      </c>
      <c r="O647" s="0" t="n">
        <f aca="false">SQRT(1+(A647/Fz1_u)^2)</f>
        <v>173.448956285864</v>
      </c>
      <c r="P647" s="0" t="n">
        <f aca="false">ATAN2(Fz1_u,A647)</f>
        <v>1.56503090991698</v>
      </c>
      <c r="Q647" s="0" t="n">
        <f aca="false">SQRT(1+(A647/Fz2_u)^2)</f>
        <v>196812.757154049</v>
      </c>
      <c r="R647" s="0" t="n">
        <f aca="false">ATAN2(Fz2_u,A647)</f>
        <v>1.57079124582345</v>
      </c>
      <c r="S647" s="0" t="n">
        <f aca="false">1/SQRT(1+(A647/Fp1_u)^2)</f>
        <v>0.00190096240597259</v>
      </c>
      <c r="T647" s="0" t="n">
        <f aca="false">-ATAN2(Fp1_u,A647)</f>
        <v>-1.56889536324402</v>
      </c>
      <c r="U647" s="0" t="n">
        <f aca="false">1/SQRT(1+(A647/Fp2_u)^2)</f>
        <v>0.0518196115223508</v>
      </c>
      <c r="V647" s="0" t="n">
        <f aca="false">-ATAN2(Fp2_u,A647)</f>
        <v>-1.51895349557704</v>
      </c>
      <c r="X647" s="0" t="n">
        <f aca="false">20*LOG(C647*J647*O647*Q647*F647*M647*S647*U647)</f>
        <v>-60.6381971205348</v>
      </c>
      <c r="Y647" s="0" t="n">
        <f aca="false">(180/Pi)*(D647+H647+N647+P647+R647+T647+V647)</f>
        <v>-264.478528414963</v>
      </c>
      <c r="Z647" s="0" t="n">
        <f aca="false">Y647+180</f>
        <v>-84.4785284149628</v>
      </c>
      <c r="AC647" s="0" t="n">
        <v>1</v>
      </c>
      <c r="AD647" s="0" t="n">
        <f aca="false">Rcea1_u*Cc1ea_u*A647*2*Pi</f>
        <v>173.44607356944</v>
      </c>
      <c r="AE647" s="0" t="n">
        <f aca="false">-Rcea1_u*Cc1ea_u*Cc2ea_u*(A647*2*Pi)^2</f>
        <v>-1.16063041808085</v>
      </c>
      <c r="AF647" s="0" t="n">
        <f aca="false">(Cc2ea_u+Cc1ea_u)*A647*2*Pi</f>
        <v>0.0602243311005</v>
      </c>
      <c r="AG647" s="0" t="n">
        <f aca="false">AC647*AE647/(AE647^2+AF647^2)+AD647*AF647/(AE647^2+AF647^2)</f>
        <v>6.87429667411802</v>
      </c>
      <c r="AH647" s="0" t="n">
        <f aca="false">AD647*AE647/(AE647^2+AF647^2)-AC647*AF647/(AE647^2+AF647^2)</f>
        <v>-149.084558663016</v>
      </c>
      <c r="AJ647" s="0" t="n">
        <f aca="false">_Rfb1</f>
        <v>20000</v>
      </c>
      <c r="AK647" s="0" t="n">
        <f aca="false">_Rfb1*Rcea2_u*Cc3ea_u*A647*2*Pi</f>
        <v>10520967.5901792</v>
      </c>
      <c r="AL647" s="0" t="n">
        <v>22</v>
      </c>
      <c r="AM647" s="0" t="n">
        <f aca="false">(_Rfb1+Rcea2_u)*Cc3ea_u*A647*2*Pi</f>
        <v>196812.757151509</v>
      </c>
      <c r="AN647" s="0" t="n">
        <f aca="false">AJ647*AL647/(AL647^2+AM647^2)+AK647*AM647/(AL647^2+AM647^2)</f>
        <v>53.4567466388734</v>
      </c>
      <c r="AO647" s="0" t="n">
        <f aca="false">AK647*AL647/(AL647^2+AM647^2)-AJ647*AM647/(AL647^2+AM647^2)</f>
        <v>-0.0956439605154958</v>
      </c>
      <c r="AQ647" s="0" t="n">
        <f aca="false">Eadcg/(1+(Eadcg*A647/GBP)^2)</f>
        <v>0.00022585198230067</v>
      </c>
      <c r="AR647" s="0" t="n">
        <f aca="false">-(A647*Eadcg*Eadcg/GBP)/(1+(Eadcg*A647/GBP)^2)</f>
        <v>-0.845070362174418</v>
      </c>
      <c r="AT647" s="0" t="n">
        <f aca="false">-AR647*AH647+AG647*AQ647</f>
        <v>-125.985389410437</v>
      </c>
      <c r="AU647" s="0" t="n">
        <f aca="false">AQ647*AH647+AG647*AR647</f>
        <v>-5.84293542319577</v>
      </c>
      <c r="AV647" s="0" t="n">
        <f aca="false">ATAN2(AT647,AU647)</f>
        <v>-3.09524798105807</v>
      </c>
      <c r="AW647" s="0" t="n">
        <f aca="false">AG647-AH647*AO647/_Rfb2+AG647*AN647/_Rfb2+AN647-AO647*AR647+AQ647*AN647</f>
        <v>60.4212390729285</v>
      </c>
      <c r="AX647" s="0" t="n">
        <f aca="false">AH647+AH647*AN647/_Rfb2+AG647*AO647/_Rfb2+AO647+AO647*AQ647+AN647*AR647</f>
        <v>-197.941541302018</v>
      </c>
      <c r="AY647" s="0" t="n">
        <f aca="false">ATAN2(AW647,AX647)</f>
        <v>-1.2745319296301</v>
      </c>
      <c r="BA647" s="0" t="n">
        <f aca="false">SQRT(AT647^2+AU647^2)/SQRT(AW647^2+AX647^2)</f>
        <v>0.609403154094974</v>
      </c>
      <c r="BB647" s="0" t="n">
        <f aca="false">20*LOG(BA647)</f>
        <v>-4.3019060464908</v>
      </c>
      <c r="BC647" s="0" t="n">
        <f aca="false">AV647-AY647</f>
        <v>-1.82071605142797</v>
      </c>
      <c r="BD647" s="0" t="n">
        <f aca="false">BC647*180/Pi-180</f>
        <v>-284.319345557749</v>
      </c>
      <c r="BF647" s="0" t="n">
        <f aca="false">20*LOG(BA647*J647*F647*C647)</f>
        <v>-73.8579158994956</v>
      </c>
      <c r="BG647" s="0" t="n">
        <f aca="false">(180/Pi)*(D647+H647+BC647)</f>
        <v>-281.546541418661</v>
      </c>
      <c r="BH647" s="0" t="n">
        <f aca="false">IF(BG647&gt;180,BG647-180,BG647+180)</f>
        <v>-101.546541418661</v>
      </c>
      <c r="BI647" s="0" t="n">
        <f aca="false">IF(BH647&gt;180,BH647-360,BH647)</f>
        <v>-101.546541418661</v>
      </c>
      <c r="BJ647" s="0" t="n">
        <f aca="false">SUM((BF648&lt;0)*(BF647&gt;0))*A647</f>
        <v>0</v>
      </c>
      <c r="BK647" s="0" t="n">
        <f aca="false">IF(BJ647&gt;0,BI647,0)</f>
        <v>0</v>
      </c>
      <c r="BM647" s="0" t="n">
        <f aca="false">20*LOG(J647*F647*C647)</f>
        <v>-69.5560098530048</v>
      </c>
      <c r="BN647" s="0" t="n">
        <f aca="false">(H647+D647)*180/Pi</f>
        <v>-177.227195860912</v>
      </c>
      <c r="BQ647" s="347" t="n">
        <f aca="false">20*LOG(BA647*7)</f>
        <v>12.6000547537943</v>
      </c>
    </row>
    <row r="648" customFormat="false" ht="12.75" hidden="false" customHeight="false" outlineLevel="0" collapsed="false">
      <c r="A648" s="0" t="n">
        <f aca="false">A647+100000</f>
        <v>7200000</v>
      </c>
      <c r="B648" s="0" t="n">
        <f aca="false">A648/1000</f>
        <v>7200</v>
      </c>
      <c r="C648" s="0" t="n">
        <f aca="false">SQRT((A648/Fesr)^2+1)</f>
        <v>1.00102275756545</v>
      </c>
      <c r="D648" s="0" t="n">
        <f aca="false">ATAN(A648/Fesr)</f>
        <v>0.0452081105853052</v>
      </c>
      <c r="F648" s="0" t="n">
        <f aca="false">(Ro/(Ro+Rdcr))/SQRT((A648/(Q*Fo))^2+(1-(A648^2/Fo^2))^2)</f>
        <v>3.59233332249268E-005</v>
      </c>
      <c r="G648" s="0" t="n">
        <f aca="false">-ATAN(A648*Fo/(Q*(Fo^2-A648^2)))</f>
        <v>0.00376053537547184</v>
      </c>
      <c r="H648" s="0" t="n">
        <f aca="false">IF(G648&gt;0,G648-Pi,G648)</f>
        <v>-3.13783211462453</v>
      </c>
      <c r="J648" s="0" t="n">
        <f aca="false">Vin/Vramp</f>
        <v>9</v>
      </c>
      <c r="M648" s="0" t="n">
        <f aca="false">1/(2*Pi*_Rfb1*(Cc1ea_u+Cc2ea_u)*A648)</f>
        <v>0.000818698267869117</v>
      </c>
      <c r="N648" s="0" t="n">
        <f aca="false">-Pi/2</f>
        <v>-1.570796325</v>
      </c>
      <c r="O648" s="0" t="n">
        <f aca="false">SQRT(1+(A648/Fz1_u)^2)</f>
        <v>175.891818693428</v>
      </c>
      <c r="P648" s="0" t="n">
        <f aca="false">ATAN2(Fz1_u,A648)</f>
        <v>1.56511098341374</v>
      </c>
      <c r="Q648" s="0" t="n">
        <f aca="false">SQRT(1+(A648/Fz2_u)^2)</f>
        <v>199584.76781812</v>
      </c>
      <c r="R648" s="0" t="n">
        <f aca="false">ATAN2(Fz2_u,A648)</f>
        <v>1.5707913163925</v>
      </c>
      <c r="S648" s="0" t="n">
        <f aca="false">1/SQRT(1+(A648/Fp1_u)^2)</f>
        <v>0.00187456024376433</v>
      </c>
      <c r="T648" s="0" t="n">
        <f aca="false">-ATAN2(Fp1_u,A648)</f>
        <v>-1.56892176545327</v>
      </c>
      <c r="U648" s="0" t="n">
        <f aca="false">1/SQRT(1+(A648/Fp2_u)^2)</f>
        <v>0.0511017873595041</v>
      </c>
      <c r="V648" s="0" t="n">
        <f aca="false">-ATAN2(Fp2_u,A648)</f>
        <v>-1.5196722721197</v>
      </c>
      <c r="X648" s="0" t="n">
        <f aca="false">20*LOG(C648*J648*O648*Q648*F648*M648*S648*U648)</f>
        <v>-61.0020903196329</v>
      </c>
      <c r="Y648" s="0" t="n">
        <f aca="false">(180/Pi)*(D648+H648+N648+P648+R648+T648+V648)</f>
        <v>-264.48373948961</v>
      </c>
      <c r="Z648" s="0" t="n">
        <f aca="false">Y648+180</f>
        <v>-84.4837394896101</v>
      </c>
      <c r="AC648" s="0" t="n">
        <v>1</v>
      </c>
      <c r="AD648" s="0" t="n">
        <f aca="false">Rcea1_u*Cc1ea_u*A648*2*Pi</f>
        <v>175.88897601408</v>
      </c>
      <c r="AE648" s="0" t="n">
        <f aca="false">-Rcea1_u*Cc1ea_u*Cc2ea_u*(A648*2*Pi)^2</f>
        <v>-1.19355447080562</v>
      </c>
      <c r="AF648" s="0" t="n">
        <f aca="false">(Cc2ea_u+Cc1ea_u)*A648*2*Pi</f>
        <v>0.061072561116</v>
      </c>
      <c r="AG648" s="0" t="n">
        <f aca="false">AC648*AE648/(AE648^2+AF648^2)+AD648*AF648/(AE648^2+AF648^2)</f>
        <v>6.68516523862009</v>
      </c>
      <c r="AH648" s="0" t="n">
        <f aca="false">AD648*AE648/(AE648^2+AF648^2)-AC648*AF648/(AE648^2+AF648^2)</f>
        <v>-147.023617391361</v>
      </c>
      <c r="AJ648" s="0" t="n">
        <f aca="false">_Rfb1</f>
        <v>20000</v>
      </c>
      <c r="AK648" s="0" t="n">
        <f aca="false">_Rfb1*Rcea2_u*Cc3ea_u*A648*2*Pi</f>
        <v>10669150.2322944</v>
      </c>
      <c r="AL648" s="0" t="n">
        <v>23</v>
      </c>
      <c r="AM648" s="0" t="n">
        <f aca="false">(_Rfb1+Rcea2_u)*Cc3ea_u*A648*2*Pi</f>
        <v>199584.767815615</v>
      </c>
      <c r="AN648" s="0" t="n">
        <f aca="false">AJ648*AL648/(AL648^2+AM648^2)+AK648*AM648/(AL648^2+AM648^2)</f>
        <v>53.4567467856509</v>
      </c>
      <c r="AO648" s="0" t="n">
        <f aca="false">AK648*AL648/(AL648^2+AM648^2)-AJ648*AM648/(AL648^2+AM648^2)</f>
        <v>-0.0940477323463434</v>
      </c>
      <c r="AQ648" s="0" t="n">
        <f aca="false">Eadcg/(1+(Eadcg*A648/GBP)^2)</f>
        <v>0.000219621883684589</v>
      </c>
      <c r="AR648" s="0" t="n">
        <f aca="false">-(A648*Eadcg*Eadcg/GBP)/(1+(Eadcg*A648/GBP)^2)</f>
        <v>-0.833333275452803</v>
      </c>
      <c r="AT648" s="0" t="n">
        <f aca="false">-AR648*AH648+AG648*AQ648</f>
        <v>-122.51820444108</v>
      </c>
      <c r="AU648" s="0" t="n">
        <f aca="false">AQ648*AH648+AG648*AR648</f>
        <v>-5.60326024904011</v>
      </c>
      <c r="AV648" s="0" t="n">
        <f aca="false">ATAN2(AT648,AU648)</f>
        <v>-3.09589039602313</v>
      </c>
      <c r="AW648" s="0" t="n">
        <f aca="false">AG648-AH648*AO648/_Rfb2+AG648*AN648/_Rfb2+AN648-AO648*AR648+AQ648*AN648</f>
        <v>60.2298721672545</v>
      </c>
      <c r="AX648" s="0" t="n">
        <f aca="false">AH648+AH648*AN648/_Rfb2+AG648*AO648/_Rfb2+AO648+AO648*AQ648+AN648*AR648</f>
        <v>-195.201986527549</v>
      </c>
      <c r="AY648" s="0" t="n">
        <f aca="false">ATAN2(AW648,AX648)</f>
        <v>-1.27151267105614</v>
      </c>
      <c r="BA648" s="0" t="n">
        <f aca="false">SQRT(AT648^2+AU648^2)/SQRT(AW648^2+AX648^2)</f>
        <v>0.600374976573449</v>
      </c>
      <c r="BB648" s="0" t="n">
        <f aca="false">20*LOG(BA648)</f>
        <v>-4.43154834598187</v>
      </c>
      <c r="BC648" s="0" t="n">
        <f aca="false">AV648-AY648</f>
        <v>-1.82437772496699</v>
      </c>
      <c r="BD648" s="0" t="n">
        <f aca="false">BC648*180/Pi-180</f>
        <v>-284.52914399773</v>
      </c>
      <c r="BF648" s="0" t="n">
        <f aca="false">20*LOG(BA648*J648*F648*C648)</f>
        <v>-74.2302866010866</v>
      </c>
      <c r="BG648" s="0" t="n">
        <f aca="false">(180/Pi)*(D648+H648+BC648)</f>
        <v>-281.723447252501</v>
      </c>
      <c r="BH648" s="0" t="n">
        <f aca="false">IF(BG648&gt;180,BG648-180,BG648+180)</f>
        <v>-101.723447252501</v>
      </c>
      <c r="BI648" s="0" t="n">
        <f aca="false">IF(BH648&gt;180,BH648-360,BH648)</f>
        <v>-101.723447252501</v>
      </c>
      <c r="BJ648" s="0" t="n">
        <f aca="false">SUM((BF649&lt;0)*(BF648&gt;0))*A648</f>
        <v>0</v>
      </c>
      <c r="BK648" s="0" t="n">
        <f aca="false">IF(BJ648&gt;0,BI648,0)</f>
        <v>0</v>
      </c>
      <c r="BM648" s="0" t="n">
        <f aca="false">20*LOG(J648*F648*C648)</f>
        <v>-69.7987382551048</v>
      </c>
      <c r="BN648" s="0" t="n">
        <f aca="false">(H648+D648)*180/Pi</f>
        <v>-177.194303254771</v>
      </c>
      <c r="BQ648" s="347" t="n">
        <f aca="false">20*LOG(BA648*7)</f>
        <v>12.4704124543033</v>
      </c>
    </row>
    <row r="649" customFormat="false" ht="12.75" hidden="false" customHeight="false" outlineLevel="0" collapsed="false">
      <c r="A649" s="0" t="n">
        <f aca="false">A648+100000</f>
        <v>7300000</v>
      </c>
      <c r="B649" s="0" t="n">
        <f aca="false">A649/1000</f>
        <v>7300</v>
      </c>
      <c r="C649" s="0" t="n">
        <f aca="false">SQRT((A649/Fesr)^2+1)</f>
        <v>1.0010513497665</v>
      </c>
      <c r="D649" s="0" t="n">
        <f aca="false">ATAN(A649/Fesr)</f>
        <v>0.0458351279808818</v>
      </c>
      <c r="F649" s="0" t="n">
        <f aca="false">(Ro/(Ro+Rdcr))/SQRT((A649/(Q*Fo))^2+(1-(A649^2/Fo^2))^2)</f>
        <v>3.49458457202844E-005</v>
      </c>
      <c r="G649" s="0" t="n">
        <f aca="false">-ATAN(A649*Fo/(Q*(Fo^2-A649^2)))</f>
        <v>0.00370901801476707</v>
      </c>
      <c r="H649" s="0" t="n">
        <f aca="false">IF(G649&gt;0,G649-Pi,G649)</f>
        <v>-3.13788363198523</v>
      </c>
      <c r="J649" s="0" t="n">
        <f aca="false">Vin/Vramp</f>
        <v>9</v>
      </c>
      <c r="M649" s="0" t="n">
        <f aca="false">1/(2*Pi*_Rfb1*(Cc1ea_u+Cc2ea_u)*A649)</f>
        <v>0.000807483223103787</v>
      </c>
      <c r="N649" s="0" t="n">
        <f aca="false">-Pi/2</f>
        <v>-1.570796325</v>
      </c>
      <c r="O649" s="0" t="n">
        <f aca="false">SQRT(1+(A649/Fz1_u)^2)</f>
        <v>178.334682197871</v>
      </c>
      <c r="P649" s="0" t="n">
        <f aca="false">ATAN2(Fz1_u,A649)</f>
        <v>1.56518886318601</v>
      </c>
      <c r="Q649" s="0" t="n">
        <f aca="false">SQRT(1+(A649/Fz2_u)^2)</f>
        <v>202356.778482191</v>
      </c>
      <c r="R649" s="0" t="n">
        <f aca="false">ATAN2(Fz2_u,A649)</f>
        <v>1.57079138502814</v>
      </c>
      <c r="S649" s="0" t="n">
        <f aca="false">1/SQRT(1+(A649/Fp1_u)^2)</f>
        <v>0.0018488814247049</v>
      </c>
      <c r="T649" s="0" t="n">
        <f aca="false">-ATAN2(Fp1_u,A649)</f>
        <v>-1.56894744431683</v>
      </c>
      <c r="U649" s="0" t="n">
        <f aca="false">1/SQRT(1+(A649/Fp2_u)^2)</f>
        <v>0.0504035536184438</v>
      </c>
      <c r="V649" s="0" t="n">
        <f aca="false">-ATAN2(Fp2_u,A649)</f>
        <v>-1.52037140688307</v>
      </c>
      <c r="X649" s="0" t="n">
        <f aca="false">20*LOG(C649*J649*O649*Q649*F649*M649*S649*U649)</f>
        <v>-61.3609657391623</v>
      </c>
      <c r="Y649" s="0" t="n">
        <f aca="false">(180/Pi)*(D649+H649+N649+P649+R649+T649+V649)</f>
        <v>-264.48782841347</v>
      </c>
      <c r="Z649" s="0" t="n">
        <f aca="false">Y649+180</f>
        <v>-84.4878284134702</v>
      </c>
      <c r="AC649" s="0" t="n">
        <v>1</v>
      </c>
      <c r="AD649" s="0" t="n">
        <f aca="false">Rcea1_u*Cc1ea_u*A649*2*Pi</f>
        <v>178.33187845872</v>
      </c>
      <c r="AE649" s="0" t="n">
        <f aca="false">-Rcea1_u*Cc1ea_u*Cc2ea_u*(A649*2*Pi)^2</f>
        <v>-1.22693899979227</v>
      </c>
      <c r="AF649" s="0" t="n">
        <f aca="false">(Cc2ea_u+Cc1ea_u)*A649*2*Pi</f>
        <v>0.0619207911315</v>
      </c>
      <c r="AG649" s="0" t="n">
        <f aca="false">AC649*AE649/(AE649^2+AF649^2)+AD649*AF649/(AE649^2+AF649^2)</f>
        <v>6.50372663646039</v>
      </c>
      <c r="AH649" s="0" t="n">
        <f aca="false">AD649*AE649/(AE649^2+AF649^2)-AC649*AF649/(AE649^2+AF649^2)</f>
        <v>-145.018752024519</v>
      </c>
      <c r="AJ649" s="0" t="n">
        <f aca="false">_Rfb1</f>
        <v>20000</v>
      </c>
      <c r="AK649" s="0" t="n">
        <f aca="false">_Rfb1*Rcea2_u*Cc3ea_u*A649*2*Pi</f>
        <v>10817332.8744096</v>
      </c>
      <c r="AL649" s="0" t="n">
        <v>24</v>
      </c>
      <c r="AM649" s="0" t="n">
        <f aca="false">(_Rfb1+Rcea2_u)*Cc3ea_u*A649*2*Pi</f>
        <v>202356.77847972</v>
      </c>
      <c r="AN649" s="0" t="n">
        <f aca="false">AJ649*AL649/(AL649^2+AM649^2)+AK649*AM649/(AL649^2+AM649^2)</f>
        <v>53.4567469178175</v>
      </c>
      <c r="AO649" s="0" t="n">
        <f aca="false">AK649*AL649/(AL649^2+AM649^2)-AJ649*AM649/(AL649^2+AM649^2)</f>
        <v>-0.0924952364560802</v>
      </c>
      <c r="AQ649" s="0" t="n">
        <f aca="false">Eadcg/(1+(Eadcg*A649/GBP)^2)</f>
        <v>0.000213646058767608</v>
      </c>
      <c r="AR649" s="0" t="n">
        <f aca="false">-(A649*Eadcg*Eadcg/GBP)/(1+(Eadcg*A649/GBP)^2)</f>
        <v>-0.821917752684864</v>
      </c>
      <c r="AT649" s="0" t="n">
        <f aca="false">-AR649*AH649+AG649*AQ649</f>
        <v>-119.192097265593</v>
      </c>
      <c r="AU649" s="0" t="n">
        <f aca="false">AQ649*AH649+AG649*AR649</f>
        <v>-5.37651106593365</v>
      </c>
      <c r="AV649" s="0" t="n">
        <f aca="false">ATAN2(AT649,AU649)</f>
        <v>-3.09651526123698</v>
      </c>
      <c r="AW649" s="0" t="n">
        <f aca="false">AG649-AH649*AO649/_Rfb2+AG649*AN649/_Rfb2+AN649-AO649*AR649+AQ649*AN649</f>
        <v>60.0462854369704</v>
      </c>
      <c r="AX649" s="0" t="n">
        <f aca="false">AH649+AH649*AN649/_Rfb2+AG649*AO649/_Rfb2+AO649+AO649*AQ649+AN649*AR649</f>
        <v>-192.537090844825</v>
      </c>
      <c r="AY649" s="0" t="n">
        <f aca="false">ATAN2(AW649,AX649)</f>
        <v>-1.26848672838707</v>
      </c>
      <c r="BA649" s="0" t="n">
        <f aca="false">SQRT(AT649^2+AU649^2)/SQRT(AW649^2+AX649^2)</f>
        <v>0.591587869565218</v>
      </c>
      <c r="BB649" s="0" t="n">
        <f aca="false">20*LOG(BA649)</f>
        <v>-4.55961479475037</v>
      </c>
      <c r="BC649" s="0" t="n">
        <f aca="false">AV649-AY649</f>
        <v>-1.82802853284991</v>
      </c>
      <c r="BD649" s="0" t="n">
        <f aca="false">BC649*180/Pi-180</f>
        <v>-284.738319881473</v>
      </c>
      <c r="BF649" s="0" t="n">
        <f aca="false">20*LOG(BA649*J649*F649*C649)</f>
        <v>-74.5977263900442</v>
      </c>
      <c r="BG649" s="0" t="n">
        <f aca="false">(180/Pi)*(D649+H649+BC649)</f>
        <v>-281.899649413098</v>
      </c>
      <c r="BH649" s="0" t="n">
        <f aca="false">IF(BG649&gt;180,BG649-180,BG649+180)</f>
        <v>-101.899649413098</v>
      </c>
      <c r="BI649" s="0" t="n">
        <f aca="false">IF(BH649&gt;180,BH649-360,BH649)</f>
        <v>-101.899649413098</v>
      </c>
      <c r="BJ649" s="0" t="n">
        <f aca="false">SUM((BF650&lt;0)*(BF649&gt;0))*A649</f>
        <v>0</v>
      </c>
      <c r="BK649" s="0" t="n">
        <f aca="false">IF(BJ649&gt;0,BI649,0)</f>
        <v>0</v>
      </c>
      <c r="BM649" s="0" t="n">
        <f aca="false">20*LOG(J649*F649*C649)</f>
        <v>-70.0381115952938</v>
      </c>
      <c r="BN649" s="0" t="n">
        <f aca="false">(H649+D649)*180/Pi</f>
        <v>-177.161329531626</v>
      </c>
      <c r="BQ649" s="347" t="n">
        <f aca="false">20*LOG(BA649*7)</f>
        <v>12.3423460055348</v>
      </c>
    </row>
    <row r="650" customFormat="false" ht="12.75" hidden="false" customHeight="false" outlineLevel="0" collapsed="false">
      <c r="A650" s="0" t="n">
        <f aca="false">A649+100000</f>
        <v>7400000</v>
      </c>
      <c r="B650" s="0" t="n">
        <f aca="false">A650/1000</f>
        <v>7400</v>
      </c>
      <c r="C650" s="0" t="n">
        <f aca="false">SQRT((A650/Fesr)^2+1)</f>
        <v>1.00108033550913</v>
      </c>
      <c r="D650" s="0" t="n">
        <f aca="false">ATAN(A650/Fesr)</f>
        <v>0.0464621093130419</v>
      </c>
      <c r="F650" s="0" t="n">
        <f aca="false">(Ro/(Ro+Rdcr))/SQRT((A650/(Q*Fo))^2+(1-(A650^2/Fo^2))^2)</f>
        <v>3.40077191731143E-005</v>
      </c>
      <c r="G650" s="0" t="n">
        <f aca="false">-ATAN(A650*Fo/(Q*(Fo^2-A650^2)))</f>
        <v>0.00365889314138206</v>
      </c>
      <c r="H650" s="0" t="n">
        <f aca="false">IF(G650&gt;0,G650-Pi,G650)</f>
        <v>-3.13793375685862</v>
      </c>
      <c r="J650" s="0" t="n">
        <f aca="false">Vin/Vramp</f>
        <v>9</v>
      </c>
      <c r="M650" s="0" t="n">
        <f aca="false">1/(2*Pi*_Rfb1*(Cc1ea_u+Cc2ea_u)*A650)</f>
        <v>0.000796571287656438</v>
      </c>
      <c r="N650" s="0" t="n">
        <f aca="false">-Pi/2</f>
        <v>-1.570796325</v>
      </c>
      <c r="O650" s="0" t="n">
        <f aca="false">SQRT(1+(A650/Fz1_u)^2)</f>
        <v>180.777546754728</v>
      </c>
      <c r="P650" s="0" t="n">
        <f aca="false">ATAN2(Fz1_u,A650)</f>
        <v>1.56526463816487</v>
      </c>
      <c r="Q650" s="0" t="n">
        <f aca="false">SQRT(1+(A650/Fz2_u)^2)</f>
        <v>205128.789146264</v>
      </c>
      <c r="R650" s="0" t="n">
        <f aca="false">ATAN2(Fz2_u,A650)</f>
        <v>1.57079145180878</v>
      </c>
      <c r="S650" s="0" t="n">
        <f aca="false">1/SQRT(1+(A650/Fp1_u)^2)</f>
        <v>0.00182389662427123</v>
      </c>
      <c r="T650" s="0" t="n">
        <f aca="false">-ATAN2(Fp1_u,A650)</f>
        <v>-1.5689724291594</v>
      </c>
      <c r="U650" s="0" t="n">
        <f aca="false">1/SQRT(1+(A650/Fp2_u)^2)</f>
        <v>0.0497241201050158</v>
      </c>
      <c r="V650" s="0" t="n">
        <f aca="false">-ATAN2(Fp2_u,A650)</f>
        <v>-1.52105169347556</v>
      </c>
      <c r="X650" s="0" t="n">
        <f aca="false">20*LOG(C650*J650*O650*Q650*F650*M650*S650*U650)</f>
        <v>-61.714959497628</v>
      </c>
      <c r="Y650" s="0" t="n">
        <f aca="false">(180/Pi)*(D650+H650+N650+P650+R650+T650+V650)</f>
        <v>-264.490840636911</v>
      </c>
      <c r="Z650" s="0" t="n">
        <f aca="false">Y650+180</f>
        <v>-84.4908406369108</v>
      </c>
      <c r="AC650" s="0" t="n">
        <v>1</v>
      </c>
      <c r="AD650" s="0" t="n">
        <f aca="false">Rcea1_u*Cc1ea_u*A650*2*Pi</f>
        <v>180.77478090336</v>
      </c>
      <c r="AE650" s="0" t="n">
        <f aca="false">-Rcea1_u*Cc1ea_u*Cc2ea_u*(A650*2*Pi)^2</f>
        <v>-1.26078400504081</v>
      </c>
      <c r="AF650" s="0" t="n">
        <f aca="false">(Cc2ea_u+Cc1ea_u)*A650*2*Pi</f>
        <v>0.062769021147</v>
      </c>
      <c r="AG650" s="0" t="n">
        <f aca="false">AC650*AE650/(AE650^2+AF650^2)+AD650*AF650/(AE650^2+AF650^2)</f>
        <v>6.32956958775817</v>
      </c>
      <c r="AH650" s="0" t="n">
        <f aca="false">AD650*AE650/(AE650^2+AF650^2)-AC650*AF650/(AE650^2+AF650^2)</f>
        <v>-143.067709690857</v>
      </c>
      <c r="AJ650" s="0" t="n">
        <f aca="false">_Rfb1</f>
        <v>20000</v>
      </c>
      <c r="AK650" s="0" t="n">
        <f aca="false">_Rfb1*Rcea2_u*Cc3ea_u*A650*2*Pi</f>
        <v>10965515.5165248</v>
      </c>
      <c r="AL650" s="0" t="n">
        <v>25</v>
      </c>
      <c r="AM650" s="0" t="n">
        <f aca="false">(_Rfb1+Rcea2_u)*Cc3ea_u*A650*2*Pi</f>
        <v>205128.789143826</v>
      </c>
      <c r="AN650" s="0" t="n">
        <f aca="false">AJ650*AL650/(AL650^2+AM650^2)+AK650*AM650/(AL650^2+AM650^2)</f>
        <v>53.456747036389</v>
      </c>
      <c r="AO650" s="0" t="n">
        <f aca="false">AK650*AL650/(AL650^2+AM650^2)-AJ650*AM650/(AL650^2+AM650^2)</f>
        <v>-0.0909846999145707</v>
      </c>
      <c r="AQ650" s="0" t="n">
        <f aca="false">Eadcg/(1+(Eadcg*A650/GBP)^2)</f>
        <v>0.00020791085632535</v>
      </c>
      <c r="AR650" s="0" t="n">
        <f aca="false">-(A650*Eadcg*Eadcg/GBP)/(1+(Eadcg*A650/GBP)^2)</f>
        <v>-0.810810757497601</v>
      </c>
      <c r="AT650" s="0" t="n">
        <f aca="false">-AR650*AH650+AG650*AQ650</f>
        <v>-115.999522081657</v>
      </c>
      <c r="AU650" s="0" t="n">
        <f aca="false">AQ650*AH650+AG650*AR650</f>
        <v>-5.16182844211831</v>
      </c>
      <c r="AV650" s="0" t="n">
        <f aca="false">ATAN2(AT650,AU650)</f>
        <v>-3.09712328549978</v>
      </c>
      <c r="AW650" s="0" t="n">
        <f aca="false">AG650-AH650*AO650/_Rfb2+AG650*AN650/_Rfb2+AN650-AO650*AR650+AQ650*AN650</f>
        <v>59.8700630411922</v>
      </c>
      <c r="AX650" s="0" t="n">
        <f aca="false">AH650+AH650*AN650/_Rfb2+AG650*AO650/_Rfb2+AO650+AO650*AQ650+AN650*AR650</f>
        <v>-189.943848482415</v>
      </c>
      <c r="AY650" s="0" t="n">
        <f aca="false">ATAN2(AW650,AX650)</f>
        <v>-1.26545470600473</v>
      </c>
      <c r="BA650" s="0" t="n">
        <f aca="false">SQRT(AT650^2+AU650^2)/SQRT(AW650^2+AX650^2)</f>
        <v>0.583032121962868</v>
      </c>
      <c r="BB650" s="0" t="n">
        <f aca="false">20*LOG(BA650)</f>
        <v>-4.68615034540572</v>
      </c>
      <c r="BC650" s="0" t="n">
        <f aca="false">AV650-AY650</f>
        <v>-1.83166857949505</v>
      </c>
      <c r="BD650" s="0" t="n">
        <f aca="false">BC650*180/Pi-180</f>
        <v>-284.946879191708</v>
      </c>
      <c r="BF650" s="0" t="n">
        <f aca="false">20*LOG(BA650*J650*F650*C650)</f>
        <v>-74.9603714330622</v>
      </c>
      <c r="BG650" s="0" t="n">
        <f aca="false">(180/Pi)*(D650+H650+BC650)</f>
        <v>-282.075157282824</v>
      </c>
      <c r="BH650" s="0" t="n">
        <f aca="false">IF(BG650&gt;180,BG650-180,BG650+180)</f>
        <v>-102.075157282824</v>
      </c>
      <c r="BI650" s="0" t="n">
        <f aca="false">IF(BH650&gt;180,BH650-360,BH650)</f>
        <v>-102.075157282824</v>
      </c>
      <c r="BJ650" s="0" t="n">
        <f aca="false">SUM((BF651&lt;0)*(BF650&gt;0))*A650</f>
        <v>0</v>
      </c>
      <c r="BK650" s="0" t="n">
        <f aca="false">IF(BJ650&gt;0,BI650,0)</f>
        <v>0</v>
      </c>
      <c r="BM650" s="0" t="n">
        <f aca="false">20*LOG(J650*F650*C650)</f>
        <v>-70.2742210876565</v>
      </c>
      <c r="BN650" s="0" t="n">
        <f aca="false">(H650+D650)*180/Pi</f>
        <v>-177.128278091115</v>
      </c>
      <c r="BQ650" s="347" t="n">
        <f aca="false">20*LOG(BA650*7)</f>
        <v>12.2158104548794</v>
      </c>
    </row>
    <row r="651" customFormat="false" ht="12.75" hidden="false" customHeight="false" outlineLevel="0" collapsed="false">
      <c r="A651" s="0" t="n">
        <f aca="false">A650+100000</f>
        <v>7500000</v>
      </c>
      <c r="B651" s="0" t="n">
        <f aca="false">A651/1000</f>
        <v>7500</v>
      </c>
      <c r="C651" s="0" t="n">
        <f aca="false">SQRT((A651/Fesr)^2+1)</f>
        <v>1.00110971475916</v>
      </c>
      <c r="D651" s="0" t="n">
        <f aca="false">ATAN(A651/Fesr)</f>
        <v>0.0470890540919999</v>
      </c>
      <c r="F651" s="0" t="n">
        <f aca="false">(Ro/(Ro+Rdcr))/SQRT((A651/(Q*Fo))^2+(1-(A651^2/Fo^2))^2)</f>
        <v>3.31068682966929E-005</v>
      </c>
      <c r="G651" s="0" t="n">
        <f aca="false">-ATAN(A651*Fo/(Q*(Fo^2-A651^2)))</f>
        <v>0.00361010504922627</v>
      </c>
      <c r="H651" s="0" t="n">
        <f aca="false">IF(G651&gt;0,G651-Pi,G651)</f>
        <v>-3.13798254495077</v>
      </c>
      <c r="J651" s="0" t="n">
        <f aca="false">Vin/Vramp</f>
        <v>9</v>
      </c>
      <c r="M651" s="0" t="n">
        <f aca="false">1/(2*Pi*_Rfb1*(Cc1ea_u+Cc2ea_u)*A651)</f>
        <v>0.000785950337154352</v>
      </c>
      <c r="N651" s="0" t="n">
        <f aca="false">-Pi/2</f>
        <v>-1.570796325</v>
      </c>
      <c r="O651" s="0" t="n">
        <f aca="false">SQRT(1+(A651/Fz1_u)^2)</f>
        <v>183.220412321903</v>
      </c>
      <c r="P651" s="0" t="n">
        <f aca="false">ATAN2(Fz1_u,A651)</f>
        <v>1.56533839253863</v>
      </c>
      <c r="Q651" s="0" t="n">
        <f aca="false">SQRT(1+(A651/Fz2_u)^2)</f>
        <v>207900.799810337</v>
      </c>
      <c r="R651" s="0" t="n">
        <f aca="false">ATAN2(Fz2_u,A651)</f>
        <v>1.57079151680859</v>
      </c>
      <c r="S651" s="0" t="n">
        <f aca="false">1/SQRT(1+(A651/Fp1_u)^2)</f>
        <v>0.00179957808190181</v>
      </c>
      <c r="T651" s="0" t="n">
        <f aca="false">-ATAN2(Fp1_u,A651)</f>
        <v>-1.56899674774168</v>
      </c>
      <c r="U651" s="0" t="n">
        <f aca="false">1/SQRT(1+(A651/Fp2_u)^2)</f>
        <v>0.0490627385075828</v>
      </c>
      <c r="V651" s="0" t="n">
        <f aca="false">-ATAN2(Fp2_u,A651)</f>
        <v>-1.52171388335437</v>
      </c>
      <c r="X651" s="0" t="n">
        <f aca="false">20*LOG(C651*J651*O651*Q651*F651*M651*S651*U651)</f>
        <v>-62.0642022494463</v>
      </c>
      <c r="Y651" s="0" t="n">
        <f aca="false">(180/Pi)*(D651+H651+N651+P651+R651+T651+V651)</f>
        <v>-264.49281919773</v>
      </c>
      <c r="Z651" s="0" t="n">
        <f aca="false">Y651+180</f>
        <v>-84.4928191977301</v>
      </c>
      <c r="AC651" s="0" t="n">
        <v>1</v>
      </c>
      <c r="AD651" s="0" t="n">
        <f aca="false">Rcea1_u*Cc1ea_u*A651*2*Pi</f>
        <v>183.217683348</v>
      </c>
      <c r="AE651" s="0" t="n">
        <f aca="false">-Rcea1_u*Cc1ea_u*Cc2ea_u*(A651*2*Pi)^2</f>
        <v>-1.29508948655123</v>
      </c>
      <c r="AF651" s="0" t="n">
        <f aca="false">(Cc2ea_u+Cc1ea_u)*A651*2*Pi</f>
        <v>0.0636172511625</v>
      </c>
      <c r="AG651" s="0" t="n">
        <f aca="false">AC651*AE651/(AE651^2+AF651^2)+AD651*AF651/(AE651^2+AF651^2)</f>
        <v>6.16230991325044</v>
      </c>
      <c r="AH651" s="0" t="n">
        <f aca="false">AD651*AE651/(AE651^2+AF651^2)-AC651*AF651/(AE651^2+AF651^2)</f>
        <v>-141.16835634066</v>
      </c>
      <c r="AJ651" s="0" t="n">
        <f aca="false">_Rfb1</f>
        <v>20000</v>
      </c>
      <c r="AK651" s="0" t="n">
        <f aca="false">_Rfb1*Rcea2_u*Cc3ea_u*A651*2*Pi</f>
        <v>11113698.15864</v>
      </c>
      <c r="AL651" s="0" t="n">
        <v>26</v>
      </c>
      <c r="AM651" s="0" t="n">
        <f aca="false">(_Rfb1+Rcea2_u)*Cc3ea_u*A651*2*Pi</f>
        <v>207900.799807932</v>
      </c>
      <c r="AN651" s="0" t="n">
        <f aca="false">AJ651*AL651/(AL651^2+AM651^2)+AK651*AM651/(AL651^2+AM651^2)</f>
        <v>53.4567471423048</v>
      </c>
      <c r="AO651" s="0" t="n">
        <f aca="false">AK651*AL651/(AL651^2+AM651^2)-AJ651*AM651/(AL651^2+AM651^2)</f>
        <v>-0.0895144443479435</v>
      </c>
      <c r="AQ651" s="0" t="n">
        <f aca="false">Eadcg/(1+(Eadcg*A651/GBP)^2)</f>
        <v>0.000202403529105885</v>
      </c>
      <c r="AR651" s="0" t="n">
        <f aca="false">-(A651*Eadcg*Eadcg/GBP)/(1+(Eadcg*A651/GBP)^2)</f>
        <v>-0.799999948791011</v>
      </c>
      <c r="AT651" s="0" t="n">
        <f aca="false">-AR651*AH651+AG651*AQ651</f>
        <v>-112.933430570166</v>
      </c>
      <c r="AU651" s="0" t="n">
        <f aca="false">AQ651*AH651+AG651*AR651</f>
        <v>-4.95842058855612</v>
      </c>
      <c r="AV651" s="0" t="n">
        <f aca="false">ATAN2(AT651,AU651)</f>
        <v>-3.09771513998335</v>
      </c>
      <c r="AW651" s="0" t="n">
        <f aca="false">AG651-AH651*AO651/_Rfb2+AG651*AN651/_Rfb2+AN651-AO651*AR651+AQ651*AN651</f>
        <v>59.7008165350775</v>
      </c>
      <c r="AX651" s="0" t="n">
        <f aca="false">AH651+AH651*AN651/_Rfb2+AG651*AO651/_Rfb2+AO651+AO651*AQ651+AN651*AR651</f>
        <v>-187.419412614741</v>
      </c>
      <c r="AY651" s="0" t="n">
        <f aca="false">ATAN2(AW651,AX651)</f>
        <v>-1.26241717887472</v>
      </c>
      <c r="BA651" s="0" t="n">
        <f aca="false">SQRT(AT651^2+AU651^2)/SQRT(AW651^2+AX651^2)</f>
        <v>0.57469854066766</v>
      </c>
      <c r="BB651" s="0" t="n">
        <f aca="false">20*LOG(BA651)</f>
        <v>-4.81119811338267</v>
      </c>
      <c r="BC651" s="0" t="n">
        <f aca="false">AV651-AY651</f>
        <v>-1.83529796110864</v>
      </c>
      <c r="BD651" s="0" t="n">
        <f aca="false">BC651*180/Pi-180</f>
        <v>-285.154827440647</v>
      </c>
      <c r="BF651" s="0" t="n">
        <f aca="false">20*LOG(BA651*J651*F651*C651)</f>
        <v>-75.318352386008</v>
      </c>
      <c r="BG651" s="0" t="n">
        <f aca="false">(180/Pi)*(D651+H651+BC651)</f>
        <v>-282.249979593673</v>
      </c>
      <c r="BH651" s="0" t="n">
        <f aca="false">IF(BG651&gt;180,BG651-180,BG651+180)</f>
        <v>-102.249979593673</v>
      </c>
      <c r="BI651" s="0" t="n">
        <f aca="false">IF(BH651&gt;180,BH651-360,BH651)</f>
        <v>-102.249979593673</v>
      </c>
      <c r="BJ651" s="0" t="n">
        <f aca="false">SUM((BF652&lt;0)*(BF651&gt;0))*A651</f>
        <v>0</v>
      </c>
      <c r="BK651" s="0" t="n">
        <f aca="false">IF(BJ651&gt;0,BI651,0)</f>
        <v>0</v>
      </c>
      <c r="BM651" s="0" t="n">
        <f aca="false">20*LOG(J651*F651*C651)</f>
        <v>-70.5071542726254</v>
      </c>
      <c r="BN651" s="0" t="n">
        <f aca="false">(H651+D651)*180/Pi</f>
        <v>-177.095152153026</v>
      </c>
      <c r="BQ651" s="347" t="n">
        <f aca="false">20*LOG(BA651*7)</f>
        <v>12.0907626869025</v>
      </c>
    </row>
    <row r="652" customFormat="false" ht="12.75" hidden="false" customHeight="false" outlineLevel="0" collapsed="false">
      <c r="A652" s="0" t="n">
        <f aca="false">A651+100000</f>
        <v>7600000</v>
      </c>
      <c r="B652" s="0" t="n">
        <f aca="false">A652/1000</f>
        <v>7600</v>
      </c>
      <c r="C652" s="0" t="n">
        <f aca="false">SQRT((A652/Fesr)^2+1)</f>
        <v>1.00113948748195</v>
      </c>
      <c r="D652" s="0" t="n">
        <f aca="false">ATAN(A652/Fesr)</f>
        <v>0.0477159618281424</v>
      </c>
      <c r="F652" s="0" t="n">
        <f aca="false">(Ro/(Ro+Rdcr))/SQRT((A652/(Q*Fo))^2+(1-(A652^2/Fo^2))^2)</f>
        <v>3.22413440927779E-005</v>
      </c>
      <c r="G652" s="0" t="n">
        <f aca="false">-ATAN(A652*Fo/(Q*(Fo^2-A652^2)))</f>
        <v>0.0035626009645342</v>
      </c>
      <c r="H652" s="0" t="n">
        <f aca="false">IF(G652&gt;0,G652-Pi,G652)</f>
        <v>-3.13803004903547</v>
      </c>
      <c r="J652" s="0" t="n">
        <f aca="false">Vin/Vramp</f>
        <v>9</v>
      </c>
      <c r="M652" s="0" t="n">
        <f aca="false">1/(2*Pi*_Rfb1*(Cc1ea_u+Cc2ea_u)*A652)</f>
        <v>0.00077560888534969</v>
      </c>
      <c r="N652" s="0" t="n">
        <f aca="false">-Pi/2</f>
        <v>-1.570796325</v>
      </c>
      <c r="O652" s="0" t="n">
        <f aca="false">SQRT(1+(A652/Fz1_u)^2)</f>
        <v>185.663278859516</v>
      </c>
      <c r="P652" s="0" t="n">
        <f aca="false">ATAN2(Fz1_u,A652)</f>
        <v>1.56541020606489</v>
      </c>
      <c r="Q652" s="0" t="n">
        <f aca="false">SQRT(1+(A652/Fz2_u)^2)</f>
        <v>210672.810474411</v>
      </c>
      <c r="R652" s="0" t="n">
        <f aca="false">ATAN2(Fz2_u,A652)</f>
        <v>1.57079158009788</v>
      </c>
      <c r="S652" s="0" t="n">
        <f aca="false">1/SQRT(1+(A652/Fp1_u)^2)</f>
        <v>0.00177589949810548</v>
      </c>
      <c r="T652" s="0" t="n">
        <f aca="false">-ATAN2(Fp1_u,A652)</f>
        <v>-1.56902042636331</v>
      </c>
      <c r="U652" s="0" t="n">
        <f aca="false">1/SQRT(1+(A652/Fp2_u)^2)</f>
        <v>0.048418699661723</v>
      </c>
      <c r="V652" s="0" t="n">
        <f aca="false">-ATAN2(Fp2_u,A652)</f>
        <v>-1.52235868858516</v>
      </c>
      <c r="X652" s="0" t="n">
        <f aca="false">20*LOG(C652*J652*O652*Q652*F652*M652*S652*U652)</f>
        <v>-62.4088194733251</v>
      </c>
      <c r="Y652" s="0" t="n">
        <f aca="false">(180/Pi)*(D652+H652+N652+P652+R652+T652+V652)</f>
        <v>-264.493804879109</v>
      </c>
      <c r="Z652" s="0" t="n">
        <f aca="false">Y652+180</f>
        <v>-84.4938048791088</v>
      </c>
      <c r="AC652" s="0" t="n">
        <v>1</v>
      </c>
      <c r="AD652" s="0" t="n">
        <f aca="false">Rcea1_u*Cc1ea_u*A652*2*Pi</f>
        <v>185.66058579264</v>
      </c>
      <c r="AE652" s="0" t="n">
        <f aca="false">-Rcea1_u*Cc1ea_u*Cc2ea_u*(A652*2*Pi)^2</f>
        <v>-1.32985544432354</v>
      </c>
      <c r="AF652" s="0" t="n">
        <f aca="false">(Cc2ea_u+Cc1ea_u)*A652*2*Pi</f>
        <v>0.064465481178</v>
      </c>
      <c r="AG652" s="0" t="n">
        <f aca="false">AC652*AE652/(AE652^2+AF652^2)+AD652*AF652/(AE652^2+AF652^2)</f>
        <v>6.00158842094628</v>
      </c>
      <c r="AH652" s="0" t="n">
        <f aca="false">AD652*AE652/(AE652^2+AF652^2)-AC652*AF652/(AE652^2+AF652^2)</f>
        <v>-139.318669031351</v>
      </c>
      <c r="AJ652" s="0" t="n">
        <f aca="false">_Rfb1</f>
        <v>20000</v>
      </c>
      <c r="AK652" s="0" t="n">
        <f aca="false">_Rfb1*Rcea2_u*Cc3ea_u*A652*2*Pi</f>
        <v>11261880.8007552</v>
      </c>
      <c r="AL652" s="0" t="n">
        <v>27</v>
      </c>
      <c r="AM652" s="0" t="n">
        <f aca="false">(_Rfb1+Rcea2_u)*Cc3ea_u*A652*2*Pi</f>
        <v>210672.810472038</v>
      </c>
      <c r="AN652" s="0" t="n">
        <f aca="false">AJ652*AL652/(AL652^2+AM652^2)+AK652*AM652/(AL652^2+AM652^2)</f>
        <v>53.4567472364343</v>
      </c>
      <c r="AO652" s="0" t="n">
        <f aca="false">AK652*AL652/(AL652^2+AM652^2)-AJ652*AM652/(AL652^2+AM652^2)</f>
        <v>-0.0880828797177853</v>
      </c>
      <c r="AQ652" s="0" t="n">
        <f aca="false">Eadcg/(1+(Eadcg*A652/GBP)^2)</f>
        <v>0.000197112162937297</v>
      </c>
      <c r="AR652" s="0" t="n">
        <f aca="false">-(A652*Eadcg*Eadcg/GBP)/(1+(Eadcg*A652/GBP)^2)</f>
        <v>-0.789473634996464</v>
      </c>
      <c r="AT652" s="0" t="n">
        <f aca="false">-AR652*AH652+AG652*AQ652</f>
        <v>-109.987233076975</v>
      </c>
      <c r="AU652" s="0" t="n">
        <f aca="false">AQ652*AH652+AG652*AR652</f>
        <v>-4.76555723062746</v>
      </c>
      <c r="AV652" s="0" t="n">
        <f aca="false">ATAN2(AT652,AU652)</f>
        <v>-3.09829146069329</v>
      </c>
      <c r="AW652" s="0" t="n">
        <f aca="false">AG652-AH652*AO652/_Rfb2+AG652*AN652/_Rfb2+AN652-AO652*AR652+AQ652*AN652</f>
        <v>59.5381827337712</v>
      </c>
      <c r="AX652" s="0" t="n">
        <f aca="false">AH652+AH652*AN652/_Rfb2+AG652*AO652/_Rfb2+AO652+AO652*AQ652+AN652*AR652</f>
        <v>-184.961085009923</v>
      </c>
      <c r="AY652" s="0" t="n">
        <f aca="false">ATAN2(AW652,AX652)</f>
        <v>-1.25937469440532</v>
      </c>
      <c r="BA652" s="0" t="n">
        <f aca="false">SQRT(AT652^2+AU652^2)/SQRT(AW652^2+AX652^2)</f>
        <v>0.566578416513683</v>
      </c>
      <c r="BB652" s="0" t="n">
        <f aca="false">20*LOG(BA652)</f>
        <v>-4.934799474093</v>
      </c>
      <c r="BC652" s="0" t="n">
        <f aca="false">AV652-AY652</f>
        <v>-1.83891676628797</v>
      </c>
      <c r="BD652" s="0" t="n">
        <f aca="false">BC652*180/Pi-180</f>
        <v>-285.36216970454</v>
      </c>
      <c r="BF652" s="0" t="n">
        <f aca="false">20*LOG(BA652*J652*F652*C652)</f>
        <v>-75.6717946857458</v>
      </c>
      <c r="BG652" s="0" t="n">
        <f aca="false">(180/Pi)*(D652+H652+BC652)</f>
        <v>-282.424124473666</v>
      </c>
      <c r="BH652" s="0" t="n">
        <f aca="false">IF(BG652&gt;180,BG652-180,BG652+180)</f>
        <v>-102.424124473666</v>
      </c>
      <c r="BI652" s="0" t="n">
        <f aca="false">IF(BH652&gt;180,BH652-360,BH652)</f>
        <v>-102.424124473666</v>
      </c>
      <c r="BJ652" s="0" t="n">
        <f aca="false">SUM((BF653&lt;0)*(BF652&gt;0))*A652</f>
        <v>0</v>
      </c>
      <c r="BK652" s="0" t="n">
        <f aca="false">IF(BJ652&gt;0,BI652,0)</f>
        <v>0</v>
      </c>
      <c r="BM652" s="0" t="n">
        <f aca="false">20*LOG(J652*F652*C652)</f>
        <v>-70.7369952116528</v>
      </c>
      <c r="BN652" s="0" t="n">
        <f aca="false">(H652+D652)*180/Pi</f>
        <v>-177.061954769126</v>
      </c>
      <c r="BQ652" s="347" t="n">
        <f aca="false">20*LOG(BA652*7)</f>
        <v>11.9671613261921</v>
      </c>
    </row>
    <row r="653" customFormat="false" ht="12.75" hidden="false" customHeight="false" outlineLevel="0" collapsed="false">
      <c r="A653" s="0" t="n">
        <f aca="false">A652+100000</f>
        <v>7700000</v>
      </c>
      <c r="B653" s="0" t="n">
        <f aca="false">A653/1000</f>
        <v>7700</v>
      </c>
      <c r="C653" s="0" t="n">
        <f aca="false">SQRT((A653/Fesr)^2+1)</f>
        <v>1.00116965364238</v>
      </c>
      <c r="D653" s="0" t="n">
        <f aca="false">ATAN(A653/Fesr)</f>
        <v>0.0483428320320302</v>
      </c>
      <c r="F653" s="0" t="n">
        <f aca="false">(Ro/(Ro+Rdcr))/SQRT((A653/(Q*Fo))^2+(1-(A653^2/Fo^2))^2)</f>
        <v>3.14093233006649E-005</v>
      </c>
      <c r="G653" s="0" t="n">
        <f aca="false">-ATAN(A653*Fo/(Q*(Fo^2-A653^2)))</f>
        <v>0.00351633085542215</v>
      </c>
      <c r="H653" s="0" t="n">
        <f aca="false">IF(G653&gt;0,G653-Pi,G653)</f>
        <v>-3.13807631914458</v>
      </c>
      <c r="J653" s="0" t="n">
        <f aca="false">Vin/Vramp</f>
        <v>9</v>
      </c>
      <c r="M653" s="0" t="n">
        <f aca="false">1/(2*Pi*_Rfb1*(Cc1ea_u+Cc2ea_u)*A653)</f>
        <v>0.000765536042682811</v>
      </c>
      <c r="N653" s="0" t="n">
        <f aca="false">-Pi/2</f>
        <v>-1.570796325</v>
      </c>
      <c r="O653" s="0" t="n">
        <f aca="false">SQRT(1+(A653/Fz1_u)^2)</f>
        <v>188.106146329759</v>
      </c>
      <c r="P653" s="0" t="n">
        <f aca="false">ATAN2(Fz1_u,A653)</f>
        <v>1.56548015435817</v>
      </c>
      <c r="Q653" s="0" t="n">
        <f aca="false">SQRT(1+(A653/Fz2_u)^2)</f>
        <v>213444.821138486</v>
      </c>
      <c r="R653" s="0" t="n">
        <f aca="false">ATAN2(Fz2_u,A653)</f>
        <v>1.5707916417433</v>
      </c>
      <c r="S653" s="0" t="n">
        <f aca="false">1/SQRT(1+(A653/Fp1_u)^2)</f>
        <v>0.00175283593958762</v>
      </c>
      <c r="T653" s="0" t="n">
        <f aca="false">-ATAN2(Fp1_u,A653)</f>
        <v>-1.56904348995773</v>
      </c>
      <c r="U653" s="0" t="n">
        <f aca="false">1/SQRT(1+(A653/Fp2_u)^2)</f>
        <v>0.0477913310262828</v>
      </c>
      <c r="V653" s="0" t="n">
        <f aca="false">-ATAN2(Fp2_u,A653)</f>
        <v>-1.52298678438779</v>
      </c>
      <c r="X653" s="0" t="n">
        <f aca="false">20*LOG(C653*J653*O653*Q653*F653*M653*S653*U653)</f>
        <v>-62.7489317418797</v>
      </c>
      <c r="Y653" s="0" t="n">
        <f aca="false">(180/Pi)*(D653+H653+N653+P653+R653+T653+V653)</f>
        <v>-264.493836355324</v>
      </c>
      <c r="Z653" s="0" t="n">
        <f aca="false">Y653+180</f>
        <v>-84.4938363553238</v>
      </c>
      <c r="AC653" s="0" t="n">
        <v>1</v>
      </c>
      <c r="AD653" s="0" t="n">
        <f aca="false">Rcea1_u*Cc1ea_u*A653*2*Pi</f>
        <v>188.10348823728</v>
      </c>
      <c r="AE653" s="0" t="n">
        <f aca="false">-Rcea1_u*Cc1ea_u*Cc2ea_u*(A653*2*Pi)^2</f>
        <v>-1.36508187835774</v>
      </c>
      <c r="AF653" s="0" t="n">
        <f aca="false">(Cc2ea_u+Cc1ea_u)*A653*2*Pi</f>
        <v>0.0653137111935</v>
      </c>
      <c r="AG653" s="0" t="n">
        <f aca="false">AC653*AE653/(AE653^2+AF653^2)+AD653*AF653/(AE653^2+AF653^2)</f>
        <v>5.84706898243519</v>
      </c>
      <c r="AH653" s="0" t="n">
        <f aca="false">AD653*AE653/(AE653^2+AF653^2)-AC653*AF653/(AE653^2+AF653^2)</f>
        <v>-137.516728804774</v>
      </c>
      <c r="AJ653" s="0" t="n">
        <f aca="false">_Rfb1</f>
        <v>20000</v>
      </c>
      <c r="AK653" s="0" t="n">
        <f aca="false">_Rfb1*Rcea2_u*Cc3ea_u*A653*2*Pi</f>
        <v>11410063.4428704</v>
      </c>
      <c r="AL653" s="0" t="n">
        <v>28</v>
      </c>
      <c r="AM653" s="0" t="n">
        <f aca="false">(_Rfb1+Rcea2_u)*Cc3ea_u*A653*2*Pi</f>
        <v>213444.821136143</v>
      </c>
      <c r="AN653" s="0" t="n">
        <f aca="false">AJ653*AL653/(AL653^2+AM653^2)+AK653*AM653/(AL653^2+AM653^2)</f>
        <v>53.4567473195828</v>
      </c>
      <c r="AO653" s="0" t="n">
        <f aca="false">AK653*AL653/(AL653^2+AM653^2)-AJ653*AM653/(AL653^2+AM653^2)</f>
        <v>-0.0866884985850728</v>
      </c>
      <c r="AQ653" s="0" t="n">
        <f aca="false">Eadcg/(1+(Eadcg*A653/GBP)^2)</f>
        <v>0.000192025612237698</v>
      </c>
      <c r="AR653" s="0" t="n">
        <f aca="false">-(A653*Eadcg*Eadcg/GBP)/(1+(Eadcg*A653/GBP)^2)</f>
        <v>-0.779220731899354</v>
      </c>
      <c r="AT653" s="0" t="n">
        <f aca="false">-AR653*AH653+AG653*AQ653</f>
        <v>-107.15476328066</v>
      </c>
      <c r="AU653" s="0" t="n">
        <f aca="false">AQ653*AH653+AG653*AR653</f>
        <v>-4.58256410600082</v>
      </c>
      <c r="AV653" s="0" t="n">
        <f aca="false">ATAN2(AT653,AU653)</f>
        <v>-3.0988528507404</v>
      </c>
      <c r="AW653" s="0" t="n">
        <f aca="false">AG653-AH653*AO653/_Rfb2+AG653*AN653/_Rfb2+AN653-AO653*AR653+AQ653*AN653</f>
        <v>59.3818217680172</v>
      </c>
      <c r="AX653" s="0" t="n">
        <f aca="false">AH653+AH653*AN653/_Rfb2+AG653*AO653/_Rfb2+AO653+AO653*AQ653+AN653*AR653</f>
        <v>-182.566306474999</v>
      </c>
      <c r="AY653" s="0" t="n">
        <f aca="false">ATAN2(AW653,AX653)</f>
        <v>-1.25632777416273</v>
      </c>
      <c r="BA653" s="0" t="n">
        <f aca="false">SQRT(AT653^2+AU653^2)/SQRT(AW653^2+AX653^2)</f>
        <v>0.558663492845682</v>
      </c>
      <c r="BB653" s="0" t="n">
        <f aca="false">20*LOG(BA653)</f>
        <v>-5.05699415374159</v>
      </c>
      <c r="BC653" s="0" t="n">
        <f aca="false">AV653-AY653</f>
        <v>-1.84252507657767</v>
      </c>
      <c r="BD653" s="0" t="n">
        <f aca="false">BC653*180/Pi-180</f>
        <v>-285.56891065555</v>
      </c>
      <c r="BF653" s="0" t="n">
        <f aca="false">20*LOG(BA653*J653*F653*C653)</f>
        <v>-76.0208188228981</v>
      </c>
      <c r="BG653" s="0" t="n">
        <f aca="false">(180/Pi)*(D653+H653+BC653)</f>
        <v>-282.597599489622</v>
      </c>
      <c r="BH653" s="0" t="n">
        <f aca="false">IF(BG653&gt;180,BG653-180,BG653+180)</f>
        <v>-102.597599489622</v>
      </c>
      <c r="BI653" s="0" t="n">
        <f aca="false">IF(BH653&gt;180,BH653-360,BH653)</f>
        <v>-102.597599489622</v>
      </c>
      <c r="BJ653" s="0" t="n">
        <f aca="false">SUM((BF654&lt;0)*(BF653&gt;0))*A653</f>
        <v>0</v>
      </c>
      <c r="BK653" s="0" t="n">
        <f aca="false">IF(BJ653&gt;0,BI653,0)</f>
        <v>0</v>
      </c>
      <c r="BM653" s="0" t="n">
        <f aca="false">20*LOG(J653*F653*C653)</f>
        <v>-70.9638246691566</v>
      </c>
      <c r="BN653" s="0" t="n">
        <f aca="false">(H653+D653)*180/Pi</f>
        <v>-177.028688834072</v>
      </c>
      <c r="BQ653" s="347" t="n">
        <f aca="false">20*LOG(BA653*7)</f>
        <v>11.8449666465435</v>
      </c>
    </row>
    <row r="654" customFormat="false" ht="12.75" hidden="false" customHeight="false" outlineLevel="0" collapsed="false">
      <c r="A654" s="0" t="n">
        <f aca="false">A653+100000</f>
        <v>7800000</v>
      </c>
      <c r="B654" s="0" t="n">
        <f aca="false">A654/1000</f>
        <v>7800</v>
      </c>
      <c r="C654" s="0" t="n">
        <f aca="false">SQRT((A654/Fesr)^2+1)</f>
        <v>1.00120021320491</v>
      </c>
      <c r="D654" s="0" t="n">
        <f aca="false">ATAN(A654/Fesr)</f>
        <v>0.0489696642144005</v>
      </c>
      <c r="F654" s="0" t="n">
        <f aca="false">(Ro/(Ro+Rdcr))/SQRT((A654/(Q*Fo))^2+(1-(A654^2/Fo^2))^2)</f>
        <v>3.06090987870491E-005</v>
      </c>
      <c r="G654" s="0" t="n">
        <f aca="false">-ATAN(A654*Fo/(Q*(Fo^2-A654^2)))</f>
        <v>0.00347124725609733</v>
      </c>
      <c r="H654" s="0" t="n">
        <f aca="false">IF(G654&gt;0,G654-Pi,G654)</f>
        <v>-3.1381214027439</v>
      </c>
      <c r="J654" s="0" t="n">
        <f aca="false">Vin/Vramp</f>
        <v>9</v>
      </c>
      <c r="M654" s="0" t="n">
        <f aca="false">1/(2*Pi*_Rfb1*(Cc1ea_u+Cc2ea_u)*A654)</f>
        <v>0.000755721478033031</v>
      </c>
      <c r="N654" s="0" t="n">
        <f aca="false">-Pi/2</f>
        <v>-1.570796325</v>
      </c>
      <c r="O654" s="0" t="n">
        <f aca="false">SQRT(1+(A654/Fz1_u)^2)</f>
        <v>190.549014696762</v>
      </c>
      <c r="P654" s="0" t="n">
        <f aca="false">ATAN2(Fz1_u,A654)</f>
        <v>1.56554830915551</v>
      </c>
      <c r="Q654" s="0" t="n">
        <f aca="false">SQRT(1+(A654/Fz2_u)^2)</f>
        <v>216216.831802562</v>
      </c>
      <c r="R654" s="0" t="n">
        <f aca="false">ATAN2(Fz2_u,A654)</f>
        <v>1.57079170180806</v>
      </c>
      <c r="S654" s="0" t="n">
        <f aca="false">1/SQRT(1+(A654/Fp1_u)^2)</f>
        <v>0.0017303637516743</v>
      </c>
      <c r="T654" s="0" t="n">
        <f aca="false">-ATAN2(Fp1_u,A654)</f>
        <v>-1.56906596217972</v>
      </c>
      <c r="U654" s="0" t="n">
        <f aca="false">1/SQRT(1+(A654/Fp2_u)^2)</f>
        <v>0.047179994351996</v>
      </c>
      <c r="V654" s="0" t="n">
        <f aca="false">-ATAN2(Fp2_u,A654)</f>
        <v>-1.52359881148744</v>
      </c>
      <c r="X654" s="0" t="n">
        <f aca="false">20*LOG(C654*J654*O654*Q654*F654*M654*S654*U654)</f>
        <v>-63.0846549739315</v>
      </c>
      <c r="Y654" s="0" t="n">
        <f aca="false">(180/Pi)*(D654+H654+N654+P654+R654+T654+V654)</f>
        <v>-264.492950326312</v>
      </c>
      <c r="Z654" s="0" t="n">
        <f aca="false">Y654+180</f>
        <v>-84.4929503263118</v>
      </c>
      <c r="AC654" s="0" t="n">
        <v>1</v>
      </c>
      <c r="AD654" s="0" t="n">
        <f aca="false">Rcea1_u*Cc1ea_u*A654*2*Pi</f>
        <v>190.54639068192</v>
      </c>
      <c r="AE654" s="0" t="n">
        <f aca="false">-Rcea1_u*Cc1ea_u*Cc2ea_u*(A654*2*Pi)^2</f>
        <v>-1.40076878865382</v>
      </c>
      <c r="AF654" s="0" t="n">
        <f aca="false">(Cc2ea_u+Cc1ea_u)*A654*2*Pi</f>
        <v>0.066161941209</v>
      </c>
      <c r="AG654" s="0" t="n">
        <f aca="false">AC654*AE654/(AE654^2+AF654^2)+AD654*AF654/(AE654^2+AF654^2)</f>
        <v>5.6984367796592</v>
      </c>
      <c r="AH654" s="0" t="n">
        <f aca="false">AD654*AE654/(AE654^2+AF654^2)-AC654*AF654/(AE654^2+AF654^2)</f>
        <v>-135.760714104346</v>
      </c>
      <c r="AJ654" s="0" t="n">
        <f aca="false">_Rfb1</f>
        <v>20000</v>
      </c>
      <c r="AK654" s="0" t="n">
        <f aca="false">_Rfb1*Rcea2_u*Cc3ea_u*A654*2*Pi</f>
        <v>11558246.0849856</v>
      </c>
      <c r="AL654" s="0" t="n">
        <v>29</v>
      </c>
      <c r="AM654" s="0" t="n">
        <f aca="false">(_Rfb1+Rcea2_u)*Cc3ea_u*A654*2*Pi</f>
        <v>216216.831800249</v>
      </c>
      <c r="AN654" s="0" t="n">
        <f aca="false">AJ654*AL654/(AL654^2+AM654^2)+AK654*AM654/(AL654^2+AM654^2)</f>
        <v>53.4567473924966</v>
      </c>
      <c r="AO654" s="0" t="n">
        <f aca="false">AK654*AL654/(AL654^2+AM654^2)-AJ654*AM654/(AL654^2+AM654^2)</f>
        <v>-0.0853298708153411</v>
      </c>
      <c r="AQ654" s="0" t="n">
        <f aca="false">Eadcg/(1+(Eadcg*A654/GBP)^2)</f>
        <v>0.00018713344127528</v>
      </c>
      <c r="AR654" s="0" t="n">
        <f aca="false">-(A654*Eadcg*Eadcg/GBP)/(1+(Eadcg*A654/GBP)^2)</f>
        <v>-0.769230723706164</v>
      </c>
      <c r="AT654" s="0" t="n">
        <f aca="false">-AR654*AH654+AG654*AQ654</f>
        <v>-104.430245993267</v>
      </c>
      <c r="AU654" s="0" t="n">
        <f aca="false">AQ654*AH654+AG654*AR654</f>
        <v>-4.40881801763141</v>
      </c>
      <c r="AV654" s="0" t="n">
        <f aca="false">ATAN2(AT654,AU654)</f>
        <v>-3.09939988243847</v>
      </c>
      <c r="AW654" s="0" t="n">
        <f aca="false">AG654-AH654*AO654/_Rfb2+AG654*AN654/_Rfb2+AN654-AO654*AR654+AQ654*AN654</f>
        <v>59.2314153120435</v>
      </c>
      <c r="AX654" s="0" t="n">
        <f aca="false">AH654+AH654*AN654/_Rfb2+AG654*AO654/_Rfb2+AO654+AO654*AQ654+AN654*AR654</f>
        <v>-180.2326480279</v>
      </c>
      <c r="AY654" s="0" t="n">
        <f aca="false">ATAN2(AW654,AX654)</f>
        <v>-1.25327691545539</v>
      </c>
      <c r="BA654" s="0" t="n">
        <f aca="false">SQRT(AT654^2+AU654^2)/SQRT(AW654^2+AX654^2)</f>
        <v>0.550945936512594</v>
      </c>
      <c r="BB654" s="0" t="n">
        <f aca="false">20*LOG(BA654)</f>
        <v>-5.17782031429707</v>
      </c>
      <c r="BC654" s="0" t="n">
        <f aca="false">AV654-AY654</f>
        <v>-1.84612296698308</v>
      </c>
      <c r="BD654" s="0" t="n">
        <f aca="false">BC654*180/Pi-180</f>
        <v>-285.775054591166</v>
      </c>
      <c r="BF654" s="0" t="n">
        <f aca="false">20*LOG(BA654*J654*F654*C654)</f>
        <v>-76.3655405970205</v>
      </c>
      <c r="BG654" s="0" t="n">
        <f aca="false">(180/Pi)*(D654+H654+BC654)</f>
        <v>-282.770411686654</v>
      </c>
      <c r="BH654" s="0" t="n">
        <f aca="false">IF(BG654&gt;180,BG654-180,BG654+180)</f>
        <v>-102.770411686654</v>
      </c>
      <c r="BI654" s="0" t="n">
        <f aca="false">IF(BH654&gt;180,BH654-360,BH654)</f>
        <v>-102.770411686654</v>
      </c>
      <c r="BJ654" s="0" t="n">
        <f aca="false">SUM((BF655&lt;0)*(BF654&gt;0))*A654</f>
        <v>0</v>
      </c>
      <c r="BK654" s="0" t="n">
        <f aca="false">IF(BJ654&gt;0,BI654,0)</f>
        <v>0</v>
      </c>
      <c r="BM654" s="0" t="n">
        <f aca="false">20*LOG(J654*F654*C654)</f>
        <v>-71.1877202827234</v>
      </c>
      <c r="BN654" s="0" t="n">
        <f aca="false">(H654+D654)*180/Pi</f>
        <v>-176.995357095488</v>
      </c>
      <c r="BQ654" s="347" t="n">
        <f aca="false">20*LOG(BA654*7)</f>
        <v>11.7241404859881</v>
      </c>
    </row>
    <row r="655" customFormat="false" ht="12.75" hidden="false" customHeight="false" outlineLevel="0" collapsed="false">
      <c r="A655" s="0" t="n">
        <f aca="false">A654+100000</f>
        <v>7900000</v>
      </c>
      <c r="B655" s="0" t="n">
        <f aca="false">A655/1000</f>
        <v>7900</v>
      </c>
      <c r="C655" s="0" t="n">
        <f aca="false">SQRT((A655/Fesr)^2+1)</f>
        <v>1.0012311661335</v>
      </c>
      <c r="D655" s="0" t="n">
        <f aca="false">ATAN(A655/Fesr)</f>
        <v>0.0495964578861697</v>
      </c>
      <c r="F655" s="0" t="n">
        <f aca="false">(Ro/(Ro+Rdcr))/SQRT((A655/(Q*Fo))^2+(1-(A655^2/Fo^2))^2)</f>
        <v>2.98390707820266E-005</v>
      </c>
      <c r="G655" s="0" t="n">
        <f aca="false">-ATAN(A655*Fo/(Q*(Fo^2-A655^2)))</f>
        <v>0.00342730510442074</v>
      </c>
      <c r="H655" s="0" t="n">
        <f aca="false">IF(G655&gt;0,G655-Pi,G655)</f>
        <v>-3.13816534489558</v>
      </c>
      <c r="J655" s="0" t="n">
        <f aca="false">Vin/Vramp</f>
        <v>9</v>
      </c>
      <c r="M655" s="0" t="n">
        <f aca="false">1/(2*Pi*_Rfb1*(Cc1ea_u+Cc2ea_u)*A655)</f>
        <v>0.000746155383374385</v>
      </c>
      <c r="N655" s="0" t="n">
        <f aca="false">-Pi/2</f>
        <v>-1.570796325</v>
      </c>
      <c r="O655" s="0" t="n">
        <f aca="false">SQRT(1+(A655/Fz1_u)^2)</f>
        <v>192.991883926473</v>
      </c>
      <c r="P655" s="0" t="n">
        <f aca="false">ATAN2(Fz1_u,A655)</f>
        <v>1.56561473856187</v>
      </c>
      <c r="Q655" s="0" t="n">
        <f aca="false">SQRT(1+(A655/Fz2_u)^2)</f>
        <v>218988.842466638</v>
      </c>
      <c r="R655" s="0" t="n">
        <f aca="false">ATAN2(Fz2_u,A655)</f>
        <v>1.5707917603522</v>
      </c>
      <c r="S655" s="0" t="n">
        <f aca="false">1/SQRT(1+(A655/Fp1_u)^2)</f>
        <v>0.00170846047738761</v>
      </c>
      <c r="T655" s="0" t="n">
        <f aca="false">-ATAN2(Fp1_u,A655)</f>
        <v>-1.56908786548639</v>
      </c>
      <c r="U655" s="0" t="n">
        <f aca="false">1/SQRT(1+(A655/Fp2_u)^2)</f>
        <v>0.0465840835257618</v>
      </c>
      <c r="V655" s="0" t="n">
        <f aca="false">-ATAN2(Fp2_u,A655)</f>
        <v>-1.52419537828792</v>
      </c>
      <c r="X655" s="0" t="n">
        <f aca="false">20*LOG(C655*J655*O655*Q655*F655*M655*S655*U655)</f>
        <v>-63.4161006708041</v>
      </c>
      <c r="Y655" s="0" t="n">
        <f aca="false">(180/Pi)*(D655+H655+N655+P655+R655+T655+V655)</f>
        <v>-264.491181642068</v>
      </c>
      <c r="Z655" s="0" t="n">
        <f aca="false">Y655+180</f>
        <v>-84.4911816420684</v>
      </c>
      <c r="AC655" s="0" t="n">
        <v>1</v>
      </c>
      <c r="AD655" s="0" t="n">
        <f aca="false">Rcea1_u*Cc1ea_u*A655*2*Pi</f>
        <v>192.98929312656</v>
      </c>
      <c r="AE655" s="0" t="n">
        <f aca="false">-Rcea1_u*Cc1ea_u*Cc2ea_u*(A655*2*Pi)^2</f>
        <v>-1.43691617521178</v>
      </c>
      <c r="AF655" s="0" t="n">
        <f aca="false">(Cc2ea_u+Cc1ea_u)*A655*2*Pi</f>
        <v>0.0670101712245</v>
      </c>
      <c r="AG655" s="0" t="n">
        <f aca="false">AC655*AE655/(AE655^2+AF655^2)+AD655*AF655/(AE655^2+AF655^2)</f>
        <v>5.55539670511399</v>
      </c>
      <c r="AH655" s="0" t="n">
        <f aca="false">AD655*AE655/(AE655^2+AF655^2)-AC655*AF655/(AE655^2+AF655^2)</f>
        <v>-134.048894684996</v>
      </c>
      <c r="AJ655" s="0" t="n">
        <f aca="false">_Rfb1</f>
        <v>20000</v>
      </c>
      <c r="AK655" s="0" t="n">
        <f aca="false">_Rfb1*Rcea2_u*Cc3ea_u*A655*2*Pi</f>
        <v>11706428.7271008</v>
      </c>
      <c r="AL655" s="0" t="n">
        <v>30</v>
      </c>
      <c r="AM655" s="0" t="n">
        <f aca="false">(_Rfb1+Rcea2_u)*Cc3ea_u*A655*2*Pi</f>
        <v>218988.842464355</v>
      </c>
      <c r="AN655" s="0" t="n">
        <f aca="false">AJ655*AL655/(AL655^2+AM655^2)+AK655*AM655/(AL655^2+AM655^2)</f>
        <v>53.4567474558683</v>
      </c>
      <c r="AO655" s="0" t="n">
        <f aca="false">AK655*AL655/(AL655^2+AM655^2)-AJ655*AM655/(AL655^2+AM655^2)</f>
        <v>-0.0840056386859907</v>
      </c>
      <c r="AQ655" s="0" t="n">
        <f aca="false">Eadcg/(1+(Eadcg*A655/GBP)^2)</f>
        <v>0.000182425870599876</v>
      </c>
      <c r="AR655" s="0" t="n">
        <f aca="false">-(A655*Eadcg*Eadcg/GBP)/(1+(Eadcg*A655/GBP)^2)</f>
        <v>-0.759493627068462</v>
      </c>
      <c r="AT655" s="0" t="n">
        <f aca="false">-AR655*AH655+AG655*AQ655</f>
        <v>-101.808267780745</v>
      </c>
      <c r="AU655" s="0" t="n">
        <f aca="false">AQ655*AH655+AG655*AR655</f>
        <v>-4.24374237968707</v>
      </c>
      <c r="AV655" s="0" t="n">
        <f aca="false">ATAN2(AT655,AU655)</f>
        <v>-3.09993309924365</v>
      </c>
      <c r="AW655" s="0" t="n">
        <f aca="false">AG655-AH655*AO655/_Rfb2+AG655*AN655/_Rfb2+AN655-AO655*AR655+AQ655*AN655</f>
        <v>59.0866649665077</v>
      </c>
      <c r="AX655" s="0" t="n">
        <f aca="false">AH655+AH655*AN655/_Rfb2+AG655*AO655/_Rfb2+AO655+AO655*AQ655+AN655*AR655</f>
        <v>-177.957802732577</v>
      </c>
      <c r="AY655" s="0" t="n">
        <f aca="false">ATAN2(AW655,AX655)</f>
        <v>-1.25022259279899</v>
      </c>
      <c r="BA655" s="0" t="n">
        <f aca="false">SQRT(AT655^2+AU655^2)/SQRT(AW655^2+AX655^2)</f>
        <v>0.543418311062884</v>
      </c>
      <c r="BB655" s="0" t="n">
        <f aca="false">20*LOG(BA655)</f>
        <v>-5.29731463306317</v>
      </c>
      <c r="BC655" s="0" t="n">
        <f aca="false">AV655-AY655</f>
        <v>-1.84971050644466</v>
      </c>
      <c r="BD655" s="0" t="n">
        <f aca="false">BC655*180/Pi-180</f>
        <v>-285.980605461386</v>
      </c>
      <c r="BF655" s="0" t="n">
        <f aca="false">20*LOG(BA655*J655*F655*C655)</f>
        <v>-76.7060713555333</v>
      </c>
      <c r="BG655" s="0" t="n">
        <f aca="false">(180/Pi)*(D655+H655+BC655)</f>
        <v>-282.942567624651</v>
      </c>
      <c r="BH655" s="0" t="n">
        <f aca="false">IF(BG655&gt;180,BG655-180,BG655+180)</f>
        <v>-102.942567624651</v>
      </c>
      <c r="BI655" s="0" t="n">
        <f aca="false">IF(BH655&gt;180,BH655-360,BH655)</f>
        <v>-102.942567624651</v>
      </c>
      <c r="BJ655" s="0" t="n">
        <f aca="false">SUM((BF656&lt;0)*(BF655&gt;0))*A655</f>
        <v>0</v>
      </c>
      <c r="BK655" s="0" t="n">
        <f aca="false">IF(BJ655&gt;0,BI655,0)</f>
        <v>0</v>
      </c>
      <c r="BM655" s="0" t="n">
        <f aca="false">20*LOG(J655*F655*C655)</f>
        <v>-71.4087567224702</v>
      </c>
      <c r="BN655" s="0" t="n">
        <f aca="false">(H655+D655)*180/Pi</f>
        <v>-176.961962163266</v>
      </c>
      <c r="BQ655" s="347" t="n">
        <f aca="false">20*LOG(BA655*7)</f>
        <v>11.604646167222</v>
      </c>
    </row>
    <row r="656" customFormat="false" ht="12.75" hidden="false" customHeight="false" outlineLevel="0" collapsed="false">
      <c r="A656" s="0" t="n">
        <f aca="false">A655+100000</f>
        <v>8000000</v>
      </c>
      <c r="B656" s="0" t="n">
        <f aca="false">A656/1000</f>
        <v>8000</v>
      </c>
      <c r="C656" s="0" t="n">
        <f aca="false">SQRT((A656/Fesr)^2+1)</f>
        <v>1.00126251239168</v>
      </c>
      <c r="D656" s="0" t="n">
        <f aca="false">ATAN(A656/Fesr)</f>
        <v>0.0502232125584352</v>
      </c>
      <c r="F656" s="0" t="n">
        <f aca="false">(Ro/(Ro+Rdcr))/SQRT((A656/(Q*Fo))^2+(1-(A656^2/Fo^2))^2)</f>
        <v>2.90977388771495E-005</v>
      </c>
      <c r="G656" s="0" t="n">
        <f aca="false">-ATAN(A656*Fo/(Q*(Fo^2-A656^2)))</f>
        <v>0.00338446159165504</v>
      </c>
      <c r="H656" s="0" t="n">
        <f aca="false">IF(G656&gt;0,G656-Pi,G656)</f>
        <v>-3.13820818840834</v>
      </c>
      <c r="J656" s="0" t="n">
        <f aca="false">Vin/Vramp</f>
        <v>9</v>
      </c>
      <c r="M656" s="0" t="n">
        <f aca="false">1/(2*Pi*_Rfb1*(Cc1ea_u+Cc2ea_u)*A656)</f>
        <v>0.000736828441082205</v>
      </c>
      <c r="N656" s="0" t="n">
        <f aca="false">-Pi/2</f>
        <v>-1.570796325</v>
      </c>
      <c r="O656" s="0" t="n">
        <f aca="false">SQRT(1+(A656/Fz1_u)^2)</f>
        <v>195.434753986541</v>
      </c>
      <c r="P656" s="0" t="n">
        <f aca="false">ATAN2(Fz1_u,A656)</f>
        <v>1.5656795072771</v>
      </c>
      <c r="Q656" s="0" t="n">
        <f aca="false">SQRT(1+(A656/Fz2_u)^2)</f>
        <v>221760.853130715</v>
      </c>
      <c r="R656" s="0" t="n">
        <f aca="false">ATAN2(Fz2_u,A656)</f>
        <v>1.57079181743274</v>
      </c>
      <c r="S656" s="0" t="n">
        <f aca="false">1/SQRT(1+(A656/Fp1_u)^2)</f>
        <v>0.00168710478259035</v>
      </c>
      <c r="T656" s="0" t="n">
        <f aca="false">-ATAN2(Fp1_u,A656)</f>
        <v>-1.56910922121196</v>
      </c>
      <c r="U656" s="0" t="n">
        <f aca="false">1/SQRT(1+(A656/Fp2_u)^2)</f>
        <v>0.0460030225753503</v>
      </c>
      <c r="V656" s="0" t="n">
        <f aca="false">-ATAN2(Fp2_u,A656)</f>
        <v>-1.52477706288299</v>
      </c>
      <c r="X656" s="0" t="n">
        <f aca="false">20*LOG(C656*J656*O656*Q656*F656*M656*S656*U656)</f>
        <v>-63.7433761378211</v>
      </c>
      <c r="Y656" s="0" t="n">
        <f aca="false">(180/Pi)*(D656+H656+N656+P656+R656+T656+V656)</f>
        <v>-264.488563417764</v>
      </c>
      <c r="Z656" s="0" t="n">
        <f aca="false">Y656+180</f>
        <v>-84.4885634177637</v>
      </c>
      <c r="AC656" s="0" t="n">
        <v>1</v>
      </c>
      <c r="AD656" s="0" t="n">
        <f aca="false">Rcea1_u*Cc1ea_u*A656*2*Pi</f>
        <v>195.4321955712</v>
      </c>
      <c r="AE656" s="0" t="n">
        <f aca="false">-Rcea1_u*Cc1ea_u*Cc2ea_u*(A656*2*Pi)^2</f>
        <v>-1.47352403803163</v>
      </c>
      <c r="AF656" s="0" t="n">
        <f aca="false">(Cc2ea_u+Cc1ea_u)*A656*2*Pi</f>
        <v>0.06785840124</v>
      </c>
      <c r="AG656" s="0" t="n">
        <f aca="false">AC656*AE656/(AE656^2+AF656^2)+AD656*AF656/(AE656^2+AF656^2)</f>
        <v>5.41767190033455</v>
      </c>
      <c r="AH656" s="0" t="n">
        <f aca="false">AD656*AE656/(AE656^2+AF656^2)-AC656*AF656/(AE656^2+AF656^2)</f>
        <v>-132.379625973508</v>
      </c>
      <c r="AJ656" s="0" t="n">
        <f aca="false">_Rfb1</f>
        <v>20000</v>
      </c>
      <c r="AK656" s="0" t="n">
        <f aca="false">_Rfb1*Rcea2_u*Cc3ea_u*A656*2*Pi</f>
        <v>11854611.369216</v>
      </c>
      <c r="AL656" s="0" t="n">
        <v>31</v>
      </c>
      <c r="AM656" s="0" t="n">
        <f aca="false">(_Rfb1+Rcea2_u)*Cc3ea_u*A656*2*Pi</f>
        <v>221760.853128461</v>
      </c>
      <c r="AN656" s="0" t="n">
        <f aca="false">AJ656*AL656/(AL656^2+AM656^2)+AK656*AM656/(AL656^2+AM656^2)</f>
        <v>53.4567475103407</v>
      </c>
      <c r="AO656" s="0" t="n">
        <f aca="false">AK656*AL656/(AL656^2+AM656^2)-AJ656*AM656/(AL656^2+AM656^2)</f>
        <v>-0.0827145123605466</v>
      </c>
      <c r="AQ656" s="0" t="n">
        <f aca="false">Eadcg/(1+(Eadcg*A656/GBP)^2)</f>
        <v>0.000177893728132138</v>
      </c>
      <c r="AR656" s="0" t="n">
        <f aca="false">-(A656*Eadcg*Eadcg/GBP)/(1+(Eadcg*A656/GBP)^2)</f>
        <v>-0.749999957805093</v>
      </c>
      <c r="AT656" s="0" t="n">
        <f aca="false">-AR656*AH656+AG656*AQ656</f>
        <v>-99.2837501245331</v>
      </c>
      <c r="AU656" s="0" t="n">
        <f aca="false">AQ656*AH656+AG656*AR656</f>
        <v>-4.08680320184592</v>
      </c>
      <c r="AV656" s="0" t="n">
        <f aca="false">ATAN2(AT656,AU656)</f>
        <v>-3.10045301754928</v>
      </c>
      <c r="AW656" s="0" t="n">
        <f aca="false">AG656-AH656*AO656/_Rfb2+AG656*AN656/_Rfb2+AN656-AO656*AR656+AQ656*AN656</f>
        <v>58.947290781201</v>
      </c>
      <c r="AX656" s="0" t="n">
        <f aca="false">AH656+AH656*AN656/_Rfb2+AG656*AO656/_Rfb2+AO656+AO656*AQ656+AN656*AR656</f>
        <v>-175.739578139986</v>
      </c>
      <c r="AY656" s="0" t="n">
        <f aca="false">ATAN2(AW656,AX656)</f>
        <v>-1.24716525927251</v>
      </c>
      <c r="BA656" s="0" t="n">
        <f aca="false">SQRT(AT656^2+AU656^2)/SQRT(AW656^2+AX656^2)</f>
        <v>0.536073551949156</v>
      </c>
      <c r="BB656" s="0" t="n">
        <f aca="false">20*LOG(BA656)</f>
        <v>-5.41551237725772</v>
      </c>
      <c r="BC656" s="0" t="n">
        <f aca="false">AV656-AY656</f>
        <v>-1.85328775827677</v>
      </c>
      <c r="BD656" s="0" t="n">
        <f aca="false">BC656*180/Pi-180</f>
        <v>-286.185566893855</v>
      </c>
      <c r="BF656" s="0" t="n">
        <f aca="false">20*LOG(BA656*J656*F656*C656)</f>
        <v>-77.0425182176362</v>
      </c>
      <c r="BG656" s="0" t="n">
        <f aca="false">(180/Pi)*(D656+H656+BC656)</f>
        <v>-283.114073412033</v>
      </c>
      <c r="BH656" s="0" t="n">
        <f aca="false">IF(BG656&gt;180,BG656-180,BG656+180)</f>
        <v>-103.114073412033</v>
      </c>
      <c r="BI656" s="0" t="n">
        <f aca="false">IF(BH656&gt;180,BH656-360,BH656)</f>
        <v>-103.114073412033</v>
      </c>
      <c r="BJ656" s="0" t="n">
        <f aca="false">SUM((BF657&lt;0)*(BF656&gt;0))*A656</f>
        <v>0</v>
      </c>
      <c r="BK656" s="0" t="n">
        <f aca="false">IF(BJ656&gt;0,BI656,0)</f>
        <v>0</v>
      </c>
      <c r="BM656" s="0" t="n">
        <f aca="false">20*LOG(J656*F656*C656)</f>
        <v>-71.6270058403785</v>
      </c>
      <c r="BN656" s="0" t="n">
        <f aca="false">(H656+D656)*180/Pi</f>
        <v>-176.928506518178</v>
      </c>
      <c r="BQ656" s="347" t="n">
        <f aca="false">20*LOG(BA656*7)</f>
        <v>11.4864484230274</v>
      </c>
    </row>
    <row r="657" customFormat="false" ht="12.75" hidden="false" customHeight="false" outlineLevel="0" collapsed="false">
      <c r="A657" s="0" t="n">
        <f aca="false">A656+100000</f>
        <v>8100000</v>
      </c>
      <c r="B657" s="0" t="n">
        <f aca="false">A657/1000</f>
        <v>8100</v>
      </c>
      <c r="C657" s="0" t="n">
        <f aca="false">SQRT((A657/Fesr)^2+1)</f>
        <v>1.00129425194251</v>
      </c>
      <c r="D657" s="0" t="n">
        <f aca="false">ATAN(A657/Fesr)</f>
        <v>0.0508499277424776</v>
      </c>
      <c r="F657" s="0" t="n">
        <f aca="false">(Ro/(Ro+Rdcr))/SQRT((A657/(Q*Fo))^2+(1-(A657^2/Fo^2))^2)</f>
        <v>2.83836947107366E-005</v>
      </c>
      <c r="G657" s="0" t="n">
        <f aca="false">-ATAN(A657*Fo/(Q*(Fo^2-A657^2)))</f>
        <v>0.00334267602334427</v>
      </c>
      <c r="H657" s="0" t="n">
        <f aca="false">IF(G657&gt;0,G657-Pi,G657)</f>
        <v>-3.13824997397666</v>
      </c>
      <c r="J657" s="0" t="n">
        <f aca="false">Vin/Vramp</f>
        <v>9</v>
      </c>
      <c r="M657" s="0" t="n">
        <f aca="false">1/(2*Pi*_Rfb1*(Cc1ea_u+Cc2ea_u)*A657)</f>
        <v>0.000727731793661437</v>
      </c>
      <c r="N657" s="0" t="n">
        <f aca="false">-Pi/2</f>
        <v>-1.570796325</v>
      </c>
      <c r="O657" s="0" t="n">
        <f aca="false">SQRT(1+(A657/Fz1_u)^2)</f>
        <v>197.877624846212</v>
      </c>
      <c r="P657" s="0" t="n">
        <f aca="false">ATAN2(Fz1_u,A657)</f>
        <v>1.56574267680616</v>
      </c>
      <c r="Q657" s="0" t="n">
        <f aca="false">SQRT(1+(A657/Fz2_u)^2)</f>
        <v>224532.863794793</v>
      </c>
      <c r="R657" s="0" t="n">
        <f aca="false">ATAN2(Fz2_u,A657)</f>
        <v>1.57079187310387</v>
      </c>
      <c r="S657" s="0" t="n">
        <f aca="false">1/SQRT(1+(A657/Fp1_u)^2)</f>
        <v>0.00166627638667546</v>
      </c>
      <c r="T657" s="0" t="n">
        <f aca="false">-ATAN2(Fp1_u,A657)</f>
        <v>-1.56913004963716</v>
      </c>
      <c r="U657" s="0" t="n">
        <f aca="false">1/SQRT(1+(A657/Fp2_u)^2)</f>
        <v>0.0454362638207904</v>
      </c>
      <c r="V657" s="0" t="n">
        <f aca="false">-ATAN2(Fp2_u,A657)</f>
        <v>-1.52534441491934</v>
      </c>
      <c r="X657" s="0" t="n">
        <f aca="false">20*LOG(C657*J657*O657*Q657*F657*M657*S657*U657)</f>
        <v>-64.066584692101</v>
      </c>
      <c r="Y657" s="0" t="n">
        <f aca="false">(180/Pi)*(D657+H657+N657+P657+R657+T657+V657)</f>
        <v>-264.485127140374</v>
      </c>
      <c r="Z657" s="0" t="n">
        <f aca="false">Y657+180</f>
        <v>-84.4851271403743</v>
      </c>
      <c r="AC657" s="0" t="n">
        <v>1</v>
      </c>
      <c r="AD657" s="0" t="n">
        <f aca="false">Rcea1_u*Cc1ea_u*A657*2*Pi</f>
        <v>197.87509801584</v>
      </c>
      <c r="AE657" s="0" t="n">
        <f aca="false">-Rcea1_u*Cc1ea_u*Cc2ea_u*(A657*2*Pi)^2</f>
        <v>-1.51059237711336</v>
      </c>
      <c r="AF657" s="0" t="n">
        <f aca="false">(Cc2ea_u+Cc1ea_u)*A657*2*Pi</f>
        <v>0.0687066312555</v>
      </c>
      <c r="AG657" s="0" t="n">
        <f aca="false">AC657*AE657/(AE657^2+AF657^2)+AD657*AF657/(AE657^2+AF657^2)</f>
        <v>5.28500241918072</v>
      </c>
      <c r="AH657" s="0" t="n">
        <f aca="false">AD657*AE657/(AE657^2+AF657^2)-AC657*AF657/(AE657^2+AF657^2)</f>
        <v>-130.751343840933</v>
      </c>
      <c r="AJ657" s="0" t="n">
        <f aca="false">_Rfb1</f>
        <v>20000</v>
      </c>
      <c r="AK657" s="0" t="n">
        <f aca="false">_Rfb1*Rcea2_u*Cc3ea_u*A657*2*Pi</f>
        <v>12002794.0113312</v>
      </c>
      <c r="AL657" s="0" t="n">
        <v>32</v>
      </c>
      <c r="AM657" s="0" t="n">
        <f aca="false">(_Rfb1+Rcea2_u)*Cc3ea_u*A657*2*Pi</f>
        <v>224532.863792567</v>
      </c>
      <c r="AN657" s="0" t="n">
        <f aca="false">AJ657*AL657/(AL657^2+AM657^2)+AK657*AM657/(AL657^2+AM657^2)</f>
        <v>53.456747556511</v>
      </c>
      <c r="AO657" s="0" t="n">
        <f aca="false">AK657*AL657/(AL657^2+AM657^2)-AJ657*AM657/(AL657^2+AM657^2)</f>
        <v>-0.0814552656981572</v>
      </c>
      <c r="AQ657" s="0" t="n">
        <f aca="false">Eadcg/(1+(Eadcg*A657/GBP)^2)</f>
        <v>0.000173528404453204</v>
      </c>
      <c r="AR657" s="0" t="n">
        <f aca="false">-(A657*Eadcg*Eadcg/GBP)/(1+(Eadcg*A657/GBP)^2)</f>
        <v>-0.740740700089394</v>
      </c>
      <c r="AT657" s="0" t="n">
        <f aca="false">-AR657*AH657+AG657*AQ657</f>
        <v>-96.8519248763243</v>
      </c>
      <c r="AU657" s="0" t="n">
        <f aca="false">AQ657*AH657+AG657*AR657</f>
        <v>-3.9375054640349</v>
      </c>
      <c r="AV657" s="0" t="n">
        <f aca="false">ATAN2(AT657,AU657)</f>
        <v>-3.10096012834839</v>
      </c>
      <c r="AW657" s="0" t="n">
        <f aca="false">AG657-AH657*AO657/_Rfb2+AG657*AN657/_Rfb2+AN657-AO657*AR657+AQ657*AN657</f>
        <v>58.8130299038804</v>
      </c>
      <c r="AX657" s="0" t="n">
        <f aca="false">AH657+AH657*AN657/_Rfb2+AG657*AO657/_Rfb2+AO657+AO657*AQ657+AN657*AR657</f>
        <v>-173.57588928319</v>
      </c>
      <c r="AY657" s="0" t="n">
        <f aca="false">ATAN2(AW657,AX657)</f>
        <v>-1.24410534777457</v>
      </c>
      <c r="BA657" s="0" t="n">
        <f aca="false">SQRT(AT657^2+AU657^2)/SQRT(AW657^2+AX657^2)</f>
        <v>0.528904943568519</v>
      </c>
      <c r="BB657" s="0" t="n">
        <f aca="false">20*LOG(BA657)</f>
        <v>-5.53244747397103</v>
      </c>
      <c r="BC657" s="0" t="n">
        <f aca="false">AV657-AY657</f>
        <v>-1.85685478057382</v>
      </c>
      <c r="BD657" s="0" t="n">
        <f aca="false">BC657*180/Pi-180</f>
        <v>-286.389942217139</v>
      </c>
      <c r="BF657" s="0" t="n">
        <f aca="false">20*LOG(BA657*J657*F657*C657)</f>
        <v>-77.3749842843245</v>
      </c>
      <c r="BG657" s="0" t="n">
        <f aca="false">(180/Pi)*(D657+H657+BC657)</f>
        <v>-283.284934736984</v>
      </c>
      <c r="BH657" s="0" t="n">
        <f aca="false">IF(BG657&gt;180,BG657-180,BG657+180)</f>
        <v>-103.284934736984</v>
      </c>
      <c r="BI657" s="0" t="n">
        <f aca="false">IF(BH657&gt;180,BH657-360,BH657)</f>
        <v>-103.284934736984</v>
      </c>
      <c r="BJ657" s="0" t="n">
        <f aca="false">SUM((BF658&lt;0)*(BF657&gt;0))*A657</f>
        <v>0</v>
      </c>
      <c r="BK657" s="0" t="n">
        <f aca="false">IF(BJ657&gt;0,BI657,0)</f>
        <v>0</v>
      </c>
      <c r="BM657" s="0" t="n">
        <f aca="false">20*LOG(J657*F657*C657)</f>
        <v>-71.8425368103535</v>
      </c>
      <c r="BN657" s="0" t="n">
        <f aca="false">(H657+D657)*180/Pi</f>
        <v>-176.894992519846</v>
      </c>
      <c r="BQ657" s="347" t="n">
        <f aca="false">20*LOG(BA657*7)</f>
        <v>11.3695133263141</v>
      </c>
    </row>
    <row r="658" customFormat="false" ht="12.75" hidden="false" customHeight="false" outlineLevel="0" collapsed="false">
      <c r="A658" s="0" t="n">
        <f aca="false">A657+100000</f>
        <v>8200000</v>
      </c>
      <c r="B658" s="0" t="n">
        <f aca="false">A658/1000</f>
        <v>8200</v>
      </c>
      <c r="C658" s="0" t="n">
        <f aca="false">SQRT((A658/Fesr)^2+1)</f>
        <v>1.00132638474857</v>
      </c>
      <c r="D658" s="0" t="n">
        <f aca="false">ATAN(A658/Fesr)</f>
        <v>0.0514766029497634</v>
      </c>
      <c r="F658" s="0" t="n">
        <f aca="false">(Ro/(Ro+Rdcr))/SQRT((A658/(Q*Fo))^2+(1-(A658^2/Fo^2))^2)</f>
        <v>2.76956152737989E-005</v>
      </c>
      <c r="G658" s="0" t="n">
        <f aca="false">-ATAN(A658*Fo/(Q*(Fo^2-A658^2)))</f>
        <v>0.00330190969037489</v>
      </c>
      <c r="H658" s="0" t="n">
        <f aca="false">IF(G658&gt;0,G658-Pi,G658)</f>
        <v>-3.13829074030963</v>
      </c>
      <c r="J658" s="0" t="n">
        <f aca="false">Vin/Vramp</f>
        <v>9</v>
      </c>
      <c r="M658" s="0" t="n">
        <f aca="false">1/(2*Pi*_Rfb1*(Cc1ea_u+Cc2ea_u)*A658)</f>
        <v>0.000718857015689957</v>
      </c>
      <c r="N658" s="0" t="n">
        <f aca="false">-Pi/2</f>
        <v>-1.570796325</v>
      </c>
      <c r="O658" s="0" t="n">
        <f aca="false">SQRT(1+(A658/Fz1_u)^2)</f>
        <v>200.320496476234</v>
      </c>
      <c r="P658" s="0" t="n">
        <f aca="false">ATAN2(Fz1_u,A658)</f>
        <v>1.56580430565387</v>
      </c>
      <c r="Q658" s="0" t="n">
        <f aca="false">SQRT(1+(A658/Fz2_u)^2)</f>
        <v>227304.874458872</v>
      </c>
      <c r="R658" s="0" t="n">
        <f aca="false">ATAN2(Fz2_u,A658)</f>
        <v>1.57079192741718</v>
      </c>
      <c r="S658" s="0" t="n">
        <f aca="false">1/SQRT(1+(A658/Fp1_u)^2)</f>
        <v>0.0016459559983269</v>
      </c>
      <c r="T658" s="0" t="n">
        <f aca="false">-ATAN2(Fp1_u,A658)</f>
        <v>-1.56915037005337</v>
      </c>
      <c r="U658" s="0" t="n">
        <f aca="false">1/SQRT(1+(A658/Fp2_u)^2)</f>
        <v>0.0448832861600271</v>
      </c>
      <c r="V658" s="0" t="n">
        <f aca="false">-ATAN2(Fp2_u,A658)</f>
        <v>-1.52589795732393</v>
      </c>
      <c r="X658" s="0" t="n">
        <f aca="false">20*LOG(C658*J658*O658*Q658*F658*M658*S658*U658)</f>
        <v>-64.3858258576546</v>
      </c>
      <c r="Y658" s="0" t="n">
        <f aca="false">(180/Pi)*(D658+H658+N658+P658+R658+T658+V658)</f>
        <v>-264.480902767551</v>
      </c>
      <c r="Z658" s="0" t="n">
        <f aca="false">Y658+180</f>
        <v>-84.4809027675508</v>
      </c>
      <c r="AC658" s="0" t="n">
        <v>1</v>
      </c>
      <c r="AD658" s="0" t="n">
        <f aca="false">Rcea1_u*Cc1ea_u*A658*2*Pi</f>
        <v>200.31800046048</v>
      </c>
      <c r="AE658" s="0" t="n">
        <f aca="false">-Rcea1_u*Cc1ea_u*Cc2ea_u*(A658*2*Pi)^2</f>
        <v>-1.54812119245698</v>
      </c>
      <c r="AF658" s="0" t="n">
        <f aca="false">(Cc2ea_u+Cc1ea_u)*A658*2*Pi</f>
        <v>0.069554861271</v>
      </c>
      <c r="AG658" s="0" t="n">
        <f aca="false">AC658*AE658/(AE658^2+AF658^2)+AD658*AF658/(AE658^2+AF658^2)</f>
        <v>5.15714400389858</v>
      </c>
      <c r="AH658" s="0" t="n">
        <f aca="false">AD658*AE658/(AE658^2+AF658^2)-AC658*AF658/(AE658^2+AF658^2)</f>
        <v>-129.162559752434</v>
      </c>
      <c r="AJ658" s="0" t="n">
        <f aca="false">_Rfb1</f>
        <v>20000</v>
      </c>
      <c r="AK658" s="0" t="n">
        <f aca="false">_Rfb1*Rcea2_u*Cc3ea_u*A658*2*Pi</f>
        <v>12150976.6534464</v>
      </c>
      <c r="AL658" s="0" t="n">
        <v>33</v>
      </c>
      <c r="AM658" s="0" t="n">
        <f aca="false">(_Rfb1+Rcea2_u)*Cc3ea_u*A658*2*Pi</f>
        <v>227304.874456672</v>
      </c>
      <c r="AN658" s="0" t="n">
        <f aca="false">AJ658*AL658/(AL658^2+AM658^2)+AK658*AM658/(AL658^2+AM658^2)</f>
        <v>53.4567475949343</v>
      </c>
      <c r="AO658" s="0" t="n">
        <f aca="false">AK658*AL658/(AL658^2+AM658^2)-AJ658*AM658/(AL658^2+AM658^2)</f>
        <v>-0.0802267323697152</v>
      </c>
      <c r="AQ658" s="0" t="n">
        <f aca="false">Eadcg/(1+(Eadcg*A658/GBP)^2)</f>
        <v>0.000169321811887584</v>
      </c>
      <c r="AR658" s="0" t="n">
        <f aca="false">-(A658*Eadcg*Eadcg/GBP)/(1+(Eadcg*A658/GBP)^2)</f>
        <v>-0.731707277891005</v>
      </c>
      <c r="AT658" s="0" t="n">
        <f aca="false">-AR658*AH658+AG658*AQ658</f>
        <v>-94.5083117849211</v>
      </c>
      <c r="AU658" s="0" t="n">
        <f aca="false">AQ658*AH658+AG658*AR658</f>
        <v>-3.79538983942987</v>
      </c>
      <c r="AV658" s="0" t="n">
        <f aca="false">ATAN2(AT658,AU658)</f>
        <v>-3.10145489877535</v>
      </c>
      <c r="AW658" s="0" t="n">
        <f aca="false">AG658-AH658*AO658/_Rfb2+AG658*AN658/_Rfb2+AN658-AO658*AR658+AQ658*AN658</f>
        <v>58.6836353430831</v>
      </c>
      <c r="AX658" s="0" t="n">
        <f aca="false">AH658+AH658*AN658/_Rfb2+AG658*AO658/_Rfb2+AO658+AO658*AQ658+AN658*AR658</f>
        <v>-171.464752179832</v>
      </c>
      <c r="AY658" s="0" t="n">
        <f aca="false">ATAN2(AW658,AX658)</f>
        <v>-1.24104327218869</v>
      </c>
      <c r="BA658" s="0" t="n">
        <f aca="false">SQRT(AT658^2+AU658^2)/SQRT(AW658^2+AX658^2)</f>
        <v>0.521906097982091</v>
      </c>
      <c r="BB658" s="0" t="n">
        <f aca="false">20*LOG(BA658)</f>
        <v>-5.64815257584342</v>
      </c>
      <c r="BC658" s="0" t="n">
        <f aca="false">AV658-AY658</f>
        <v>-1.86041162658666</v>
      </c>
      <c r="BD658" s="0" t="n">
        <f aca="false">BC658*180/Pi-180</f>
        <v>-286.593734482285</v>
      </c>
      <c r="BF658" s="0" t="n">
        <f aca="false">20*LOG(BA658*J658*F658*C658)</f>
        <v>-77.70356883553</v>
      </c>
      <c r="BG658" s="0" t="n">
        <f aca="false">(180/Pi)*(D658+H658+BC658)</f>
        <v>-283.455156896415</v>
      </c>
      <c r="BH658" s="0" t="n">
        <f aca="false">IF(BG658&gt;180,BG658-180,BG658+180)</f>
        <v>-103.455156896415</v>
      </c>
      <c r="BI658" s="0" t="n">
        <f aca="false">IF(BH658&gt;180,BH658-360,BH658)</f>
        <v>-103.455156896415</v>
      </c>
      <c r="BJ658" s="0" t="n">
        <f aca="false">SUM((BF659&lt;0)*(BF658&gt;0))*A658</f>
        <v>0</v>
      </c>
      <c r="BK658" s="0" t="n">
        <f aca="false">IF(BJ658&gt;0,BI658,0)</f>
        <v>0</v>
      </c>
      <c r="BM658" s="0" t="n">
        <f aca="false">20*LOG(J658*F658*C658)</f>
        <v>-72.0554162596866</v>
      </c>
      <c r="BN658" s="0" t="n">
        <f aca="false">(H658+D658)*180/Pi</f>
        <v>-176.86142241413</v>
      </c>
      <c r="BQ658" s="347" t="n">
        <f aca="false">20*LOG(BA658*7)</f>
        <v>11.2538082244417</v>
      </c>
    </row>
    <row r="659" customFormat="false" ht="12.75" hidden="false" customHeight="false" outlineLevel="0" collapsed="false">
      <c r="A659" s="0" t="n">
        <f aca="false">A658+100000</f>
        <v>8300000</v>
      </c>
      <c r="B659" s="0" t="n">
        <f aca="false">A659/1000</f>
        <v>8300</v>
      </c>
      <c r="C659" s="0" t="n">
        <f aca="false">SQRT((A659/Fesr)^2+1)</f>
        <v>1.00135891077203</v>
      </c>
      <c r="D659" s="0" t="n">
        <f aca="false">ATAN(A659/Fesr)</f>
        <v>0.052103237691947</v>
      </c>
      <c r="F659" s="0" t="n">
        <f aca="false">(Ro/(Ro+Rdcr))/SQRT((A659/(Q*Fo))^2+(1-(A659^2/Fo^2))^2)</f>
        <v>2.70322567771226E-005</v>
      </c>
      <c r="G659" s="0" t="n">
        <f aca="false">-ATAN(A659*Fo/(Q*(Fo^2-A659^2)))</f>
        <v>0.00326212574935928</v>
      </c>
      <c r="H659" s="0" t="n">
        <f aca="false">IF(G659&gt;0,G659-Pi,G659)</f>
        <v>-3.13833052425064</v>
      </c>
      <c r="J659" s="0" t="n">
        <f aca="false">Vin/Vramp</f>
        <v>9</v>
      </c>
      <c r="M659" s="0" t="n">
        <f aca="false">1/(2*Pi*_Rfb1*(Cc1ea_u+Cc2ea_u)*A659)</f>
        <v>0.000710196087790077</v>
      </c>
      <c r="N659" s="0" t="n">
        <f aca="false">-Pi/2</f>
        <v>-1.570796325</v>
      </c>
      <c r="O659" s="0" t="n">
        <f aca="false">SQRT(1+(A659/Fz1_u)^2)</f>
        <v>202.763368848763</v>
      </c>
      <c r="P659" s="0" t="n">
        <f aca="false">ATAN2(Fz1_u,A659)</f>
        <v>1.56586444950566</v>
      </c>
      <c r="Q659" s="0" t="n">
        <f aca="false">SQRT(1+(A659/Fz2_u)^2)</f>
        <v>230076.885122951</v>
      </c>
      <c r="R659" s="0" t="n">
        <f aca="false">ATAN2(Fz2_u,A659)</f>
        <v>1.57079198042173</v>
      </c>
      <c r="S659" s="0" t="n">
        <f aca="false">1/SQRT(1+(A659/Fp1_u)^2)</f>
        <v>0.00162612525592432</v>
      </c>
      <c r="T659" s="0" t="n">
        <f aca="false">-ATAN2(Fp1_u,A659)</f>
        <v>-1.56917020082232</v>
      </c>
      <c r="U659" s="0" t="n">
        <f aca="false">1/SQRT(1+(A659/Fp2_u)^2)</f>
        <v>0.0443435934776157</v>
      </c>
      <c r="V659" s="0" t="n">
        <f aca="false">-ATAN2(Fp2_u,A659)</f>
        <v>-1.52643818790714</v>
      </c>
      <c r="X659" s="0" t="n">
        <f aca="false">20*LOG(C659*J659*O659*Q659*F659*M659*S659*U659)</f>
        <v>-64.7011955487053</v>
      </c>
      <c r="Y659" s="0" t="n">
        <f aca="false">(180/Pi)*(D659+H659+N659+P659+R659+T659+V659)</f>
        <v>-264.475918819372</v>
      </c>
      <c r="Z659" s="0" t="n">
        <f aca="false">Y659+180</f>
        <v>-84.4759188193719</v>
      </c>
      <c r="AC659" s="0" t="n">
        <v>1</v>
      </c>
      <c r="AD659" s="0" t="n">
        <f aca="false">Rcea1_u*Cc1ea_u*A659*2*Pi</f>
        <v>202.76090290512</v>
      </c>
      <c r="AE659" s="0" t="n">
        <f aca="false">-Rcea1_u*Cc1ea_u*Cc2ea_u*(A659*2*Pi)^2</f>
        <v>-1.58611048406248</v>
      </c>
      <c r="AF659" s="0" t="n">
        <f aca="false">(Cc2ea_u+Cc1ea_u)*A659*2*Pi</f>
        <v>0.0704030912865</v>
      </c>
      <c r="AG659" s="0" t="n">
        <f aca="false">AC659*AE659/(AE659^2+AF659^2)+AD659*AF659/(AE659^2+AF659^2)</f>
        <v>5.03386696322059</v>
      </c>
      <c r="AH659" s="0" t="n">
        <f aca="false">AD659*AE659/(AE659^2+AF659^2)-AC659*AF659/(AE659^2+AF659^2)</f>
        <v>-127.611856263231</v>
      </c>
      <c r="AJ659" s="0" t="n">
        <f aca="false">_Rfb1</f>
        <v>20000</v>
      </c>
      <c r="AK659" s="0" t="n">
        <f aca="false">_Rfb1*Rcea2_u*Cc3ea_u*A659*2*Pi</f>
        <v>12299159.2955616</v>
      </c>
      <c r="AL659" s="0" t="n">
        <v>34</v>
      </c>
      <c r="AM659" s="0" t="n">
        <f aca="false">(_Rfb1+Rcea2_u)*Cc3ea_u*A659*2*Pi</f>
        <v>230076.885120778</v>
      </c>
      <c r="AN659" s="0" t="n">
        <f aca="false">AJ659*AL659/(AL659^2+AM659^2)+AK659*AM659/(AL659^2+AM659^2)</f>
        <v>53.4567476261271</v>
      </c>
      <c r="AO659" s="0" t="n">
        <f aca="false">AK659*AL659/(AL659^2+AM659^2)-AJ659*AM659/(AL659^2+AM659^2)</f>
        <v>-0.0790278022547413</v>
      </c>
      <c r="AQ659" s="0" t="n">
        <f aca="false">Eadcg/(1+(Eadcg*A659/GBP)^2)</f>
        <v>0.000165266347015871</v>
      </c>
      <c r="AR659" s="0" t="n">
        <f aca="false">-(A659*Eadcg*Eadcg/GBP)/(1+(Eadcg*A659/GBP)^2)</f>
        <v>-0.722891528482123</v>
      </c>
      <c r="AT659" s="0" t="n">
        <f aca="false">-AR659*AH659+AG659*AQ659</f>
        <v>-92.2486978977633</v>
      </c>
      <c r="AU659" s="0" t="n">
        <f aca="false">AQ659*AH659+AG659*AR659</f>
        <v>-3.66002972853873</v>
      </c>
      <c r="AV659" s="0" t="n">
        <f aca="false">ATAN2(AT659,AU659)</f>
        <v>-3.10193777353659</v>
      </c>
      <c r="AW659" s="0" t="n">
        <f aca="false">AG659-AH659*AO659/_Rfb2+AG659*AN659/_Rfb2+AN659-AO659*AR659+AQ659*AN659</f>
        <v>58.5588748340691</v>
      </c>
      <c r="AX659" s="0" t="n">
        <f aca="false">AH659+AH659*AN659/_Rfb2+AG659*AO659/_Rfb2+AO659+AO659*AQ659+AN659*AR659</f>
        <v>-169.404277799669</v>
      </c>
      <c r="AY659" s="0" t="n">
        <f aca="false">ATAN2(AW659,AX659)</f>
        <v>-1.23797942846498</v>
      </c>
      <c r="BA659" s="0" t="n">
        <f aca="false">SQRT(AT659^2+AU659^2)/SQRT(AW659^2+AX659^2)</f>
        <v>0.515070935172129</v>
      </c>
      <c r="BB659" s="0" t="n">
        <f aca="false">20*LOG(BA659)</f>
        <v>-5.76265912277269</v>
      </c>
      <c r="BC659" s="0" t="n">
        <f aca="false">AV659-AY659</f>
        <v>-1.86395834507162</v>
      </c>
      <c r="BD659" s="0" t="n">
        <f aca="false">BC659*180/Pi-180</f>
        <v>-286.796946482827</v>
      </c>
      <c r="BF659" s="0" t="n">
        <f aca="false">20*LOG(BA659*J659*F659*C659)</f>
        <v>-78.028367515323</v>
      </c>
      <c r="BG659" s="0" t="n">
        <f aca="false">(180/Pi)*(D659+H659+BC659)</f>
        <v>-283.624744822807</v>
      </c>
      <c r="BH659" s="0" t="n">
        <f aca="false">IF(BG659&gt;180,BG659-180,BG659+180)</f>
        <v>-103.624744822807</v>
      </c>
      <c r="BI659" s="0" t="n">
        <f aca="false">IF(BH659&gt;180,BH659-360,BH659)</f>
        <v>-103.624744822807</v>
      </c>
      <c r="BJ659" s="0" t="n">
        <f aca="false">SUM((BF660&lt;0)*(BF659&gt;0))*A659</f>
        <v>0</v>
      </c>
      <c r="BK659" s="0" t="n">
        <f aca="false">IF(BJ659&gt;0,BI659,0)</f>
        <v>0</v>
      </c>
      <c r="BM659" s="0" t="n">
        <f aca="false">20*LOG(J659*F659*C659)</f>
        <v>-72.2657083925503</v>
      </c>
      <c r="BN659" s="0" t="n">
        <f aca="false">(H659+D659)*180/Pi</f>
        <v>-176.82779833998</v>
      </c>
      <c r="BQ659" s="347" t="n">
        <f aca="false">20*LOG(BA659*7)</f>
        <v>11.1393016775124</v>
      </c>
    </row>
    <row r="660" customFormat="false" ht="12.75" hidden="false" customHeight="false" outlineLevel="0" collapsed="false">
      <c r="A660" s="0" t="n">
        <f aca="false">A659+100000</f>
        <v>8400000</v>
      </c>
      <c r="B660" s="0" t="n">
        <f aca="false">A660/1000</f>
        <v>8400</v>
      </c>
      <c r="C660" s="0" t="n">
        <f aca="false">SQRT((A660/Fesr)^2+1)</f>
        <v>1.00139182997456</v>
      </c>
      <c r="D660" s="0" t="n">
        <f aca="false">ATAN(A660/Fesr)</f>
        <v>0.0527298314808728</v>
      </c>
      <c r="F660" s="0" t="n">
        <f aca="false">(Ro/(Ro+Rdcr))/SQRT((A660/(Q*Fo))^2+(1-(A660^2/Fo^2))^2)</f>
        <v>2.63924490263853E-005</v>
      </c>
      <c r="G660" s="0" t="n">
        <f aca="false">-ATAN(A660*Fo/(Q*(Fo^2-A660^2)))</f>
        <v>0.00322328911156477</v>
      </c>
      <c r="H660" s="0" t="n">
        <f aca="false">IF(G660&gt;0,G660-Pi,G660)</f>
        <v>-3.13836936088844</v>
      </c>
      <c r="J660" s="0" t="n">
        <f aca="false">Vin/Vramp</f>
        <v>9</v>
      </c>
      <c r="M660" s="0" t="n">
        <f aca="false">1/(2*Pi*_Rfb1*(Cc1ea_u+Cc2ea_u)*A660)</f>
        <v>0.000701741372459243</v>
      </c>
      <c r="N660" s="0" t="n">
        <f aca="false">-Pi/2</f>
        <v>-1.570796325</v>
      </c>
      <c r="O660" s="0" t="n">
        <f aca="false">SQRT(1+(A660/Fz1_u)^2)</f>
        <v>205.206241937282</v>
      </c>
      <c r="P660" s="0" t="n">
        <f aca="false">ATAN2(Fz1_u,A660)</f>
        <v>1.56592316139541</v>
      </c>
      <c r="Q660" s="0" t="n">
        <f aca="false">SQRT(1+(A660/Fz2_u)^2)</f>
        <v>232848.895787031</v>
      </c>
      <c r="R660" s="0" t="n">
        <f aca="false">ATAN2(Fz2_u,A660)</f>
        <v>1.57079203216427</v>
      </c>
      <c r="S660" s="0" t="n">
        <f aca="false">1/SQRT(1+(A660/Fp1_u)^2)</f>
        <v>0.00160676667220446</v>
      </c>
      <c r="T660" s="0" t="n">
        <f aca="false">-ATAN2(Fp1_u,A660)</f>
        <v>-1.56918955943133</v>
      </c>
      <c r="U660" s="0" t="n">
        <f aca="false">1/SQRT(1+(A660/Fp2_u)^2)</f>
        <v>0.0438167131662847</v>
      </c>
      <c r="V660" s="0" t="n">
        <f aca="false">-ATAN2(Fp2_u,A660)</f>
        <v>-1.52696558085179</v>
      </c>
      <c r="X660" s="0" t="n">
        <f aca="false">20*LOG(C660*J660*O660*Q660*F660*M660*S660*U660)</f>
        <v>-65.0127862420713</v>
      </c>
      <c r="Y660" s="0" t="n">
        <f aca="false">(180/Pi)*(D660+H660+N660+P660+R660+T660+V660)</f>
        <v>-264.470202463576</v>
      </c>
      <c r="Z660" s="0" t="n">
        <f aca="false">Y660+180</f>
        <v>-84.4702024635756</v>
      </c>
      <c r="AC660" s="0" t="n">
        <v>1</v>
      </c>
      <c r="AD660" s="0" t="n">
        <f aca="false">Rcea1_u*Cc1ea_u*A660*2*Pi</f>
        <v>205.20380534976</v>
      </c>
      <c r="AE660" s="0" t="n">
        <f aca="false">-Rcea1_u*Cc1ea_u*Cc2ea_u*(A660*2*Pi)^2</f>
        <v>-1.62456025192987</v>
      </c>
      <c r="AF660" s="0" t="n">
        <f aca="false">(Cc2ea_u+Cc1ea_u)*A660*2*Pi</f>
        <v>0.071251321302</v>
      </c>
      <c r="AG660" s="0" t="n">
        <f aca="false">AC660*AE660/(AE660^2+AF660^2)+AD660*AF660/(AE660^2+AF660^2)</f>
        <v>4.91495514290296</v>
      </c>
      <c r="AH660" s="0" t="n">
        <f aca="false">AD660*AE660/(AE660^2+AF660^2)-AC660*AF660/(AE660^2+AF660^2)</f>
        <v>-126.097882832192</v>
      </c>
      <c r="AJ660" s="0" t="n">
        <f aca="false">_Rfb1</f>
        <v>20000</v>
      </c>
      <c r="AK660" s="0" t="n">
        <f aca="false">_Rfb1*Rcea2_u*Cc3ea_u*A660*2*Pi</f>
        <v>12447341.9376768</v>
      </c>
      <c r="AL660" s="0" t="n">
        <v>35</v>
      </c>
      <c r="AM660" s="0" t="n">
        <f aca="false">(_Rfb1+Rcea2_u)*Cc3ea_u*A660*2*Pi</f>
        <v>232848.895784884</v>
      </c>
      <c r="AN660" s="0" t="n">
        <f aca="false">AJ660*AL660/(AL660^2+AM660^2)+AK660*AM660/(AL660^2+AM660^2)</f>
        <v>53.4567476505701</v>
      </c>
      <c r="AO660" s="0" t="n">
        <f aca="false">AK660*AL660/(AL660^2+AM660^2)-AJ660*AM660/(AL660^2+AM660^2)</f>
        <v>-0.0778574180956324</v>
      </c>
      <c r="AQ660" s="0" t="n">
        <f aca="false">Eadcg/(1+(Eadcg*A660/GBP)^2)</f>
        <v>0.000161354856292619</v>
      </c>
      <c r="AR660" s="0" t="n">
        <f aca="false">-(A660*Eadcg*Eadcg/GBP)/(1+(Eadcg*A660/GBP)^2)</f>
        <v>-0.714285677836167</v>
      </c>
      <c r="AT660" s="0" t="n">
        <f aca="false">-AR660*AH660+AG660*AQ660</f>
        <v>-90.0691186606167</v>
      </c>
      <c r="AU660" s="0" t="n">
        <f aca="false">AQ660*AH660+AG660*AR660</f>
        <v>-3.53102857154598</v>
      </c>
      <c r="AV660" s="0" t="n">
        <f aca="false">ATAN2(AT660,AU660)</f>
        <v>-3.10240917623968</v>
      </c>
      <c r="AW660" s="0" t="n">
        <f aca="false">AG660-AH660*AO660/_Rfb2+AG660*AN660/_Rfb2+AN660-AO660*AR660+AQ660*AN660</f>
        <v>58.4385297981906</v>
      </c>
      <c r="AX660" s="0" t="n">
        <f aca="false">AH660+AH660*AN660/_Rfb2+AG660*AO660/_Rfb2+AO660+AO660*AQ660+AN660*AR660</f>
        <v>-167.392666458861</v>
      </c>
      <c r="AY660" s="0" t="n">
        <f aca="false">ATAN2(AW660,AX660)</f>
        <v>-1.23491419562523</v>
      </c>
      <c r="BA660" s="0" t="n">
        <f aca="false">SQRT(AT660^2+AU660^2)/SQRT(AW660^2+AX660^2)</f>
        <v>0.508393664708721</v>
      </c>
      <c r="BB660" s="0" t="n">
        <f aca="false">20*LOG(BA660)</f>
        <v>-5.87599739993678</v>
      </c>
      <c r="BC660" s="0" t="n">
        <f aca="false">AV660-AY660</f>
        <v>-1.86749498061445</v>
      </c>
      <c r="BD660" s="0" t="n">
        <f aca="false">BC660*180/Pi-180</f>
        <v>-286.999580773338</v>
      </c>
      <c r="BF660" s="0" t="n">
        <f aca="false">20*LOG(BA660*J660*F660*C660)</f>
        <v>-78.3494725060329</v>
      </c>
      <c r="BG660" s="0" t="n">
        <f aca="false">(180/Pi)*(D660+H660+BC660)</f>
        <v>-283.793703109142</v>
      </c>
      <c r="BH660" s="0" t="n">
        <f aca="false">IF(BG660&gt;180,BG660-180,BG660+180)</f>
        <v>-103.793703109142</v>
      </c>
      <c r="BI660" s="0" t="n">
        <f aca="false">IF(BH660&gt;180,BH660-360,BH660)</f>
        <v>-103.793703109142</v>
      </c>
      <c r="BJ660" s="0" t="n">
        <f aca="false">SUM((BF661&lt;0)*(BF660&gt;0))*A660</f>
        <v>0</v>
      </c>
      <c r="BK660" s="0" t="n">
        <f aca="false">IF(BJ660&gt;0,BI660,0)</f>
        <v>0</v>
      </c>
      <c r="BM660" s="0" t="n">
        <f aca="false">20*LOG(J660*F660*C660)</f>
        <v>-72.4734751060961</v>
      </c>
      <c r="BN660" s="0" t="n">
        <f aca="false">(H660+D660)*180/Pi</f>
        <v>-176.794122335804</v>
      </c>
      <c r="BQ660" s="347" t="n">
        <f aca="false">20*LOG(BA660*7)</f>
        <v>11.0259634003484</v>
      </c>
    </row>
    <row r="661" customFormat="false" ht="12.75" hidden="false" customHeight="false" outlineLevel="0" collapsed="false">
      <c r="A661" s="0" t="n">
        <f aca="false">A660+100000</f>
        <v>8500000</v>
      </c>
      <c r="B661" s="0" t="n">
        <f aca="false">A661/1000</f>
        <v>8500</v>
      </c>
      <c r="C661" s="0" t="n">
        <f aca="false">SQRT((A661/Fesr)^2+1)</f>
        <v>1.00142514231739</v>
      </c>
      <c r="D661" s="0" t="n">
        <f aca="false">ATAN(A661/Fesr)</f>
        <v>0.053356383828578</v>
      </c>
      <c r="F661" s="0" t="n">
        <f aca="false">(Ro/(Ro+Rdcr))/SQRT((A661/(Q*Fo))^2+(1-(A661^2/Fo^2))^2)</f>
        <v>2.57750902577713E-005</v>
      </c>
      <c r="G661" s="0" t="n">
        <f aca="false">-ATAN(A661*Fo/(Q*(Fo^2-A661^2)))</f>
        <v>0.00318536633968419</v>
      </c>
      <c r="H661" s="0" t="n">
        <f aca="false">IF(G661&gt;0,G661-Pi,G661)</f>
        <v>-3.13840728366032</v>
      </c>
      <c r="J661" s="0" t="n">
        <f aca="false">Vin/Vramp</f>
        <v>9</v>
      </c>
      <c r="M661" s="0" t="n">
        <f aca="false">1/(2*Pi*_Rfb1*(Cc1ea_u+Cc2ea_u)*A661)</f>
        <v>0.000693485591606782</v>
      </c>
      <c r="N661" s="0" t="n">
        <f aca="false">-Pi/2</f>
        <v>-1.570796325</v>
      </c>
      <c r="O661" s="0" t="n">
        <f aca="false">SQRT(1+(A661/Fz1_u)^2)</f>
        <v>207.649115716521</v>
      </c>
      <c r="P661" s="0" t="n">
        <f aca="false">ATAN2(Fz1_u,A661)</f>
        <v>1.56598049186135</v>
      </c>
      <c r="Q661" s="0" t="n">
        <f aca="false">SQRT(1+(A661/Fz2_u)^2)</f>
        <v>235620.906451112</v>
      </c>
      <c r="R661" s="0" t="n">
        <f aca="false">ATAN2(Fz2_u,A661)</f>
        <v>1.57079208268933</v>
      </c>
      <c r="S661" s="0" t="n">
        <f aca="false">1/SQRT(1+(A661/Fp1_u)^2)</f>
        <v>0.00158786358282878</v>
      </c>
      <c r="T661" s="0" t="n">
        <f aca="false">-ATAN2(Fp1_u,A661)</f>
        <v>-1.56920846254482</v>
      </c>
      <c r="U661" s="0" t="n">
        <f aca="false">1/SQRT(1+(A661/Fp2_u)^2)</f>
        <v>0.0433021947521446</v>
      </c>
      <c r="V661" s="0" t="n">
        <f aca="false">-ATAN2(Fp2_u,A661)</f>
        <v>-1.52748058809772</v>
      </c>
      <c r="X661" s="0" t="n">
        <f aca="false">20*LOG(C661*J661*O661*Q661*F661*M661*S661*U661)</f>
        <v>-65.3206871393873</v>
      </c>
      <c r="Y661" s="0" t="n">
        <f aca="false">(180/Pi)*(D661+H661+N661+P661+R661+T661+V661)</f>
        <v>-264.463779594801</v>
      </c>
      <c r="Z661" s="0" t="n">
        <f aca="false">Y661+180</f>
        <v>-84.4637795948008</v>
      </c>
      <c r="AC661" s="0" t="n">
        <v>1</v>
      </c>
      <c r="AD661" s="0" t="n">
        <f aca="false">Rcea1_u*Cc1ea_u*A661*2*Pi</f>
        <v>207.6467077944</v>
      </c>
      <c r="AE661" s="0" t="n">
        <f aca="false">-Rcea1_u*Cc1ea_u*Cc2ea_u*(A661*2*Pi)^2</f>
        <v>-1.66347049605914</v>
      </c>
      <c r="AF661" s="0" t="n">
        <f aca="false">(Cc2ea_u+Cc1ea_u)*A661*2*Pi</f>
        <v>0.0720995513175</v>
      </c>
      <c r="AG661" s="0" t="n">
        <f aca="false">AC661*AE661/(AE661^2+AF661^2)+AD661*AF661/(AE661^2+AF661^2)</f>
        <v>4.80020498010281</v>
      </c>
      <c r="AH661" s="0" t="n">
        <f aca="false">AD661*AE661/(AE661^2+AF661^2)-AC661*AF661/(AE661^2+AF661^2)</f>
        <v>-124.619351927317</v>
      </c>
      <c r="AJ661" s="0" t="n">
        <f aca="false">_Rfb1</f>
        <v>20000</v>
      </c>
      <c r="AK661" s="0" t="n">
        <f aca="false">_Rfb1*Rcea2_u*Cc3ea_u*A661*2*Pi</f>
        <v>12595524.579792</v>
      </c>
      <c r="AL661" s="0" t="n">
        <v>36</v>
      </c>
      <c r="AM661" s="0" t="n">
        <f aca="false">(_Rfb1+Rcea2_u)*Cc3ea_u*A661*2*Pi</f>
        <v>235620.90644899</v>
      </c>
      <c r="AN661" s="0" t="n">
        <f aca="false">AJ661*AL661/(AL661^2+AM661^2)+AK661*AM661/(AL661^2+AM661^2)</f>
        <v>53.456747668711</v>
      </c>
      <c r="AO661" s="0" t="n">
        <f aca="false">AK661*AL661/(AL661^2+AM661^2)-AJ661*AM661/(AL661^2+AM661^2)</f>
        <v>-0.0767145723880816</v>
      </c>
      <c r="AQ661" s="0" t="n">
        <f aca="false">Eadcg/(1+(Eadcg*A661/GBP)^2)</f>
        <v>0.00015758060447885</v>
      </c>
      <c r="AR661" s="0" t="n">
        <f aca="false">-(A661*Eadcg*Eadcg/GBP)/(1+(Eadcg*A661/GBP)^2)</f>
        <v>-0.705882317763008</v>
      </c>
      <c r="AT661" s="0" t="n">
        <f aca="false">-AR661*AH661+AG661*AQ661</f>
        <v>-87.9658405573761</v>
      </c>
      <c r="AU661" s="0" t="n">
        <f aca="false">AQ661*AH661+AG661*AR661</f>
        <v>-3.40801740989897</v>
      </c>
      <c r="AV661" s="0" t="n">
        <f aca="false">ATAN2(AT661,AU661)</f>
        <v>-3.10286951062906</v>
      </c>
      <c r="AW661" s="0" t="n">
        <f aca="false">AG661-AH661*AO661/_Rfb2+AG661*AN661/_Rfb2+AN661-AO661*AR661+AQ661*AN661</f>
        <v>58.3223943869997</v>
      </c>
      <c r="AX661" s="0" t="n">
        <f aca="false">AH661+AH661*AN661/_Rfb2+AG661*AO661/_Rfb2+AO661+AO661*AQ661+AN661*AR661</f>
        <v>-165.428202606226</v>
      </c>
      <c r="AY661" s="0" t="n">
        <f aca="false">ATAN2(AW661,AX661)</f>
        <v>-1.23184793669776</v>
      </c>
      <c r="BA661" s="0" t="n">
        <f aca="false">SQRT(AT661^2+AU661^2)/SQRT(AW661^2+AX661^2)</f>
        <v>0.501868768710036</v>
      </c>
      <c r="BB661" s="0" t="n">
        <f aca="false">20*LOG(BA661)</f>
        <v>-5.98819659239257</v>
      </c>
      <c r="BC661" s="0" t="n">
        <f aca="false">AV661-AY661</f>
        <v>-1.87102157393131</v>
      </c>
      <c r="BD661" s="0" t="n">
        <f aca="false">BC661*180/Pi-180</f>
        <v>-287.201639686684</v>
      </c>
      <c r="BF661" s="0" t="n">
        <f aca="false">20*LOG(BA661*J661*F661*C661)</f>
        <v>-78.6669726920736</v>
      </c>
      <c r="BG661" s="0" t="n">
        <f aca="false">(180/Pi)*(D661+H661+BC661)</f>
        <v>-283.962036032058</v>
      </c>
      <c r="BH661" s="0" t="n">
        <f aca="false">IF(BG661&gt;180,BG661-180,BG661+180)</f>
        <v>-103.962036032058</v>
      </c>
      <c r="BI661" s="0" t="n">
        <f aca="false">IF(BH661&gt;180,BH661-360,BH661)</f>
        <v>-103.962036032058</v>
      </c>
      <c r="BJ661" s="0" t="n">
        <f aca="false">SUM((BF662&lt;0)*(BF661&gt;0))*A661</f>
        <v>0</v>
      </c>
      <c r="BK661" s="0" t="n">
        <f aca="false">IF(BJ661&gt;0,BI661,0)</f>
        <v>0</v>
      </c>
      <c r="BM661" s="0" t="n">
        <f aca="false">20*LOG(J661*F661*C661)</f>
        <v>-72.6787760996811</v>
      </c>
      <c r="BN661" s="0" t="n">
        <f aca="false">(H661+D661)*180/Pi</f>
        <v>-176.760396345374</v>
      </c>
      <c r="BQ661" s="347" t="n">
        <f aca="false">20*LOG(BA661*7)</f>
        <v>10.9137642078926</v>
      </c>
    </row>
    <row r="662" customFormat="false" ht="12.75" hidden="false" customHeight="false" outlineLevel="0" collapsed="false">
      <c r="A662" s="0" t="n">
        <f aca="false">A661+100000</f>
        <v>8600000</v>
      </c>
      <c r="B662" s="0" t="n">
        <f aca="false">A662/1000</f>
        <v>8600</v>
      </c>
      <c r="C662" s="0" t="n">
        <f aca="false">SQRT((A662/Fesr)^2+1)</f>
        <v>1.00145884776128</v>
      </c>
      <c r="D662" s="0" t="n">
        <f aca="false">ATAN(A662/Fesr)</f>
        <v>0.053982894247294</v>
      </c>
      <c r="F662" s="0" t="n">
        <f aca="false">(Ro/(Ro+Rdcr))/SQRT((A662/(Q*Fo))^2+(1-(A662^2/Fo^2))^2)</f>
        <v>2.51791423914988E-005</v>
      </c>
      <c r="G662" s="0" t="n">
        <f aca="false">-ATAN(A662*Fo/(Q*(Fo^2-A662^2)))</f>
        <v>0.0031483255518097</v>
      </c>
      <c r="H662" s="0" t="n">
        <f aca="false">IF(G662&gt;0,G662-Pi,G662)</f>
        <v>-3.13844432444819</v>
      </c>
      <c r="J662" s="0" t="n">
        <f aca="false">Vin/Vramp</f>
        <v>9</v>
      </c>
      <c r="M662" s="0" t="n">
        <f aca="false">1/(2*Pi*_Rfb1*(Cc1ea_u+Cc2ea_u)*A662)</f>
        <v>0.000685421805657865</v>
      </c>
      <c r="N662" s="0" t="n">
        <f aca="false">-Pi/2</f>
        <v>-1.570796325</v>
      </c>
      <c r="O662" s="0" t="n">
        <f aca="false">SQRT(1+(A662/Fz1_u)^2)</f>
        <v>210.091990162385</v>
      </c>
      <c r="P662" s="0" t="n">
        <f aca="false">ATAN2(Fz1_u,A662)</f>
        <v>1.5660364890912</v>
      </c>
      <c r="Q662" s="0" t="n">
        <f aca="false">SQRT(1+(A662/Fz2_u)^2)</f>
        <v>238392.917115193</v>
      </c>
      <c r="R662" s="0" t="n">
        <f aca="false">ATAN2(Fz2_u,A662)</f>
        <v>1.5707921320394</v>
      </c>
      <c r="S662" s="0" t="n">
        <f aca="false">1/SQRT(1+(A662/Fp1_u)^2)</f>
        <v>0.00156940009853938</v>
      </c>
      <c r="T662" s="0" t="n">
        <f aca="false">-ATAN2(Fp1_u,A662)</f>
        <v>-1.56922692605211</v>
      </c>
      <c r="U662" s="0" t="n">
        <f aca="false">1/SQRT(1+(A662/Fp2_u)^2)</f>
        <v>0.0427996086151716</v>
      </c>
      <c r="V662" s="0" t="n">
        <f aca="false">-ATAN2(Fp2_u,A662)</f>
        <v>-1.52798364063</v>
      </c>
      <c r="X662" s="0" t="n">
        <f aca="false">20*LOG(C662*J662*O662*Q662*F662*M662*S662*U662)</f>
        <v>-65.6249843198724</v>
      </c>
      <c r="Y662" s="0" t="n">
        <f aca="false">(180/Pi)*(D662+H662+N662+P662+R662+T662+V662)</f>
        <v>-264.456674908325</v>
      </c>
      <c r="Z662" s="0" t="n">
        <f aca="false">Y662+180</f>
        <v>-84.4566749083253</v>
      </c>
      <c r="AC662" s="0" t="n">
        <v>1</v>
      </c>
      <c r="AD662" s="0" t="n">
        <f aca="false">Rcea1_u*Cc1ea_u*A662*2*Pi</f>
        <v>210.08961023904</v>
      </c>
      <c r="AE662" s="0" t="n">
        <f aca="false">-Rcea1_u*Cc1ea_u*Cc2ea_u*(A662*2*Pi)^2</f>
        <v>-1.7028412164503</v>
      </c>
      <c r="AF662" s="0" t="n">
        <f aca="false">(Cc2ea_u+Cc1ea_u)*A662*2*Pi</f>
        <v>0.072947781333</v>
      </c>
      <c r="AG662" s="0" t="n">
        <f aca="false">AC662*AE662/(AE662^2+AF662^2)+AD662*AF662/(AE662^2+AF662^2)</f>
        <v>4.68942463388639</v>
      </c>
      <c r="AH662" s="0" t="n">
        <f aca="false">AD662*AE662/(AE662^2+AF662^2)-AC662*AF662/(AE662^2+AF662^2)</f>
        <v>-123.175035399662</v>
      </c>
      <c r="AJ662" s="0" t="n">
        <f aca="false">_Rfb1</f>
        <v>20000</v>
      </c>
      <c r="AK662" s="0" t="n">
        <f aca="false">_Rfb1*Rcea2_u*Cc3ea_u*A662*2*Pi</f>
        <v>12743707.2219072</v>
      </c>
      <c r="AL662" s="0" t="n">
        <v>37</v>
      </c>
      <c r="AM662" s="0" t="n">
        <f aca="false">(_Rfb1+Rcea2_u)*Cc3ea_u*A662*2*Pi</f>
        <v>238392.917113095</v>
      </c>
      <c r="AN662" s="0" t="n">
        <f aca="false">AJ662*AL662/(AL662^2+AM662^2)+AK662*AM662/(AL662^2+AM662^2)</f>
        <v>53.4567476809672</v>
      </c>
      <c r="AO662" s="0" t="n">
        <f aca="false">AK662*AL662/(AL662^2+AM662^2)-AJ662*AM662/(AL662^2+AM662^2)</f>
        <v>-0.0755983044884442</v>
      </c>
      <c r="AQ662" s="0" t="n">
        <f aca="false">Eadcg/(1+(Eadcg*A662/GBP)^2)</f>
        <v>0.000153937245628925</v>
      </c>
      <c r="AR662" s="0" t="n">
        <f aca="false">-(A662*Eadcg*Eadcg/GBP)/(1+(Eadcg*A662/GBP)^2)</f>
        <v>-0.697674384639415</v>
      </c>
      <c r="AT662" s="0" t="n">
        <f aca="false">-AR662*AH662+AG662*AQ662</f>
        <v>-85.9353451482858</v>
      </c>
      <c r="AU662" s="0" t="n">
        <f aca="false">AQ662*AH662+AG662*AR662</f>
        <v>-3.29065267143927</v>
      </c>
      <c r="AV662" s="0" t="n">
        <f aca="false">ATAN2(AT662,AU662)</f>
        <v>-3.10331916173603</v>
      </c>
      <c r="AW662" s="0" t="n">
        <f aca="false">AG662-AH662*AO662/_Rfb2+AG662*AN662/_Rfb2+AN662-AO662*AR662+AQ662*AN662</f>
        <v>58.2102746033041</v>
      </c>
      <c r="AX662" s="0" t="n">
        <f aca="false">AH662+AH662*AN662/_Rfb2+AG662*AO662/_Rfb2+AO662+AO662*AQ662+AN662*AR662</f>
        <v>-163.509249969916</v>
      </c>
      <c r="AY662" s="0" t="n">
        <f aca="false">ATAN2(AW662,AX662)</f>
        <v>-1.22878099958751</v>
      </c>
      <c r="BA662" s="0" t="n">
        <f aca="false">SQRT(AT662^2+AU662^2)/SQRT(AW662^2+AX662^2)</f>
        <v>0.495490985990906</v>
      </c>
      <c r="BB662" s="0" t="n">
        <f aca="false">20*LOG(BA662)</f>
        <v>-6.09928483649108</v>
      </c>
      <c r="BC662" s="0" t="n">
        <f aca="false">AV662-AY662</f>
        <v>-1.87453816214852</v>
      </c>
      <c r="BD662" s="0" t="n">
        <f aca="false">BC662*180/Pi-180</f>
        <v>-287.403125350046</v>
      </c>
      <c r="BF662" s="0" t="n">
        <f aca="false">20*LOG(BA662*J662*F662*C662)</f>
        <v>-78.9809538141971</v>
      </c>
      <c r="BG662" s="0" t="n">
        <f aca="false">(180/Pi)*(D662+H662+BC662)</f>
        <v>-284.129747573383</v>
      </c>
      <c r="BH662" s="0" t="n">
        <f aca="false">IF(BG662&gt;180,BG662-180,BG662+180)</f>
        <v>-104.129747573383</v>
      </c>
      <c r="BI662" s="0" t="n">
        <f aca="false">IF(BH662&gt;180,BH662-360,BH662)</f>
        <v>-104.129747573383</v>
      </c>
      <c r="BJ662" s="0" t="n">
        <f aca="false">SUM((BF663&lt;0)*(BF662&gt;0))*A662</f>
        <v>0</v>
      </c>
      <c r="BK662" s="0" t="n">
        <f aca="false">IF(BJ662&gt;0,BI662,0)</f>
        <v>0</v>
      </c>
      <c r="BM662" s="0" t="n">
        <f aca="false">20*LOG(J662*F662*C662)</f>
        <v>-72.881668977706</v>
      </c>
      <c r="BN662" s="0" t="n">
        <f aca="false">(H662+D662)*180/Pi</f>
        <v>-176.726622223337</v>
      </c>
      <c r="BQ662" s="347" t="n">
        <f aca="false">20*LOG(BA662*7)</f>
        <v>10.8026759637941</v>
      </c>
    </row>
    <row r="663" customFormat="false" ht="12.75" hidden="false" customHeight="false" outlineLevel="0" collapsed="false">
      <c r="A663" s="0" t="n">
        <f aca="false">A662+100000</f>
        <v>8700000</v>
      </c>
      <c r="B663" s="0" t="n">
        <f aca="false">A663/1000</f>
        <v>8700</v>
      </c>
      <c r="C663" s="0" t="n">
        <f aca="false">SQRT((A663/Fesr)^2+1)</f>
        <v>1.00149294626655</v>
      </c>
      <c r="D663" s="0" t="n">
        <f aca="false">ATAN(A663/Fesr)</f>
        <v>0.0546093622494496</v>
      </c>
      <c r="F663" s="0" t="n">
        <f aca="false">(Ro/(Ro+Rdcr))/SQRT((A663/(Q*Fo))^2+(1-(A663^2/Fo^2))^2)</f>
        <v>2.46036266650511E-005</v>
      </c>
      <c r="G663" s="0" t="n">
        <f aca="false">-ATAN(A663*Fo/(Q*(Fo^2-A663^2)))</f>
        <v>0.00311213633203008</v>
      </c>
      <c r="H663" s="0" t="n">
        <f aca="false">IF(G663&gt;0,G663-Pi,G663)</f>
        <v>-3.13848051366797</v>
      </c>
      <c r="J663" s="0" t="n">
        <f aca="false">Vin/Vramp</f>
        <v>9</v>
      </c>
      <c r="M663" s="0" t="n">
        <f aca="false">1/(2*Pi*_Rfb1*(Cc1ea_u+Cc2ea_u)*A663)</f>
        <v>0.00067754339409858</v>
      </c>
      <c r="N663" s="0" t="n">
        <f aca="false">-Pi/2</f>
        <v>-1.570796325</v>
      </c>
      <c r="O663" s="0" t="n">
        <f aca="false">SQRT(1+(A663/Fz1_u)^2)</f>
        <v>212.534865251889</v>
      </c>
      <c r="P663" s="0" t="n">
        <f aca="false">ATAN2(Fz1_u,A663)</f>
        <v>1.56609119905725</v>
      </c>
      <c r="Q663" s="0" t="n">
        <f aca="false">SQRT(1+(A663/Fz2_u)^2)</f>
        <v>241164.927779274</v>
      </c>
      <c r="R663" s="0" t="n">
        <f aca="false">ATAN2(Fz2_u,A663)</f>
        <v>1.57079218025498</v>
      </c>
      <c r="S663" s="0" t="n">
        <f aca="false">1/SQRT(1+(A663/Fp1_u)^2)</f>
        <v>0.00155136106061442</v>
      </c>
      <c r="T663" s="0" t="n">
        <f aca="false">-ATAN2(Fp1_u,A663)</f>
        <v>-1.569244965112</v>
      </c>
      <c r="U663" s="0" t="n">
        <f aca="false">1/SQRT(1+(A663/Fp2_u)^2)</f>
        <v>0.0423085447973581</v>
      </c>
      <c r="V663" s="0" t="n">
        <f aca="false">-ATAN2(Fp2_u,A663)</f>
        <v>-1.52847514967888</v>
      </c>
      <c r="X663" s="0" t="n">
        <f aca="false">20*LOG(C663*J663*O663*Q663*F663*M663*S663*U663)</f>
        <v>-65.9257608842989</v>
      </c>
      <c r="Y663" s="0" t="n">
        <f aca="false">(180/Pi)*(D663+H663+N663+P663+R663+T663+V663)</f>
        <v>-264.44891196874</v>
      </c>
      <c r="Z663" s="0" t="n">
        <f aca="false">Y663+180</f>
        <v>-84.4489119687402</v>
      </c>
      <c r="AC663" s="0" t="n">
        <v>1</v>
      </c>
      <c r="AD663" s="0" t="n">
        <f aca="false">Rcea1_u*Cc1ea_u*A663*2*Pi</f>
        <v>212.53251268368</v>
      </c>
      <c r="AE663" s="0" t="n">
        <f aca="false">-Rcea1_u*Cc1ea_u*Cc2ea_u*(A663*2*Pi)^2</f>
        <v>-1.74267241310334</v>
      </c>
      <c r="AF663" s="0" t="n">
        <f aca="false">(Cc2ea_u+Cc1ea_u)*A663*2*Pi</f>
        <v>0.0737960113485</v>
      </c>
      <c r="AG663" s="0" t="n">
        <f aca="false">AC663*AE663/(AE663^2+AF663^2)+AD663*AF663/(AE663^2+AF663^2)</f>
        <v>4.58243318494736</v>
      </c>
      <c r="AH663" s="0" t="n">
        <f aca="false">AD663*AE663/(AE663^2+AF663^2)-AC663*AF663/(AE663^2+AF663^2)</f>
        <v>-121.763761104409</v>
      </c>
      <c r="AJ663" s="0" t="n">
        <f aca="false">_Rfb1</f>
        <v>20000</v>
      </c>
      <c r="AK663" s="0" t="n">
        <f aca="false">_Rfb1*Rcea2_u*Cc3ea_u*A663*2*Pi</f>
        <v>12891889.8640224</v>
      </c>
      <c r="AL663" s="0" t="n">
        <v>38</v>
      </c>
      <c r="AM663" s="0" t="n">
        <f aca="false">(_Rfb1+Rcea2_u)*Cc3ea_u*A663*2*Pi</f>
        <v>241164.927777201</v>
      </c>
      <c r="AN663" s="0" t="n">
        <f aca="false">AJ663*AL663/(AL663^2+AM663^2)+AK663*AM663/(AL663^2+AM663^2)</f>
        <v>53.4567476877277</v>
      </c>
      <c r="AO663" s="0" t="n">
        <f aca="false">AK663*AL663/(AL663^2+AM663^2)-AJ663*AM663/(AL663^2+AM663^2)</f>
        <v>-0.0745076979205972</v>
      </c>
      <c r="AQ663" s="0" t="n">
        <f aca="false">Eadcg/(1+(Eadcg*A663/GBP)^2)</f>
        <v>0.000150418796398255</v>
      </c>
      <c r="AR663" s="0" t="n">
        <f aca="false">-(A663*Eadcg*Eadcg/GBP)/(1+(Eadcg*A663/GBP)^2)</f>
        <v>-0.689655139606361</v>
      </c>
      <c r="AT663" s="0" t="n">
        <f aca="false">-AR663*AH663+AG663*AQ663</f>
        <v>-83.9743143793728</v>
      </c>
      <c r="AU663" s="0" t="n">
        <f aca="false">AQ663*AH663+AG663*AR663</f>
        <v>-3.17861415629194</v>
      </c>
      <c r="AV663" s="0" t="n">
        <f aca="false">ATAN2(AT663,AU663)</f>
        <v>-3.10375849694973</v>
      </c>
      <c r="AW663" s="0" t="n">
        <f aca="false">AG663-AH663*AO663/_Rfb2+AG663*AN663/_Rfb2+AN663-AO663*AR663+AQ663*AN663</f>
        <v>58.1019874921756</v>
      </c>
      <c r="AX663" s="0" t="n">
        <f aca="false">AH663+AH663*AN663/_Rfb2+AG663*AO663/_Rfb2+AO663+AO663*AQ663+AN663*AR663</f>
        <v>-161.634247035807</v>
      </c>
      <c r="AY663" s="0" t="n">
        <f aca="false">ATAN2(AW663,AX663)</f>
        <v>-1.22571371788684</v>
      </c>
      <c r="BA663" s="0" t="n">
        <f aca="false">SQRT(AT663^2+AU663^2)/SQRT(AW663^2+AX663^2)</f>
        <v>0.489255297304177</v>
      </c>
      <c r="BB663" s="0" t="n">
        <f aca="false">20*LOG(BA663)</f>
        <v>-6.2092892683295</v>
      </c>
      <c r="BC663" s="0" t="n">
        <f aca="false">AV663-AY663</f>
        <v>-1.87804477906289</v>
      </c>
      <c r="BD663" s="0" t="n">
        <f aca="false">BC663*180/Pi-180</f>
        <v>-287.604039699838</v>
      </c>
      <c r="BF663" s="0" t="n">
        <f aca="false">20*LOG(BA663*J663*F663*C663)</f>
        <v>-79.2914986148376</v>
      </c>
      <c r="BG663" s="0" t="n">
        <f aca="false">(180/Pi)*(D663+H663+BC663)</f>
        <v>-284.29684144017</v>
      </c>
      <c r="BH663" s="0" t="n">
        <f aca="false">IF(BG663&gt;180,BG663-180,BG663+180)</f>
        <v>-104.29684144017</v>
      </c>
      <c r="BI663" s="0" t="n">
        <f aca="false">IF(BH663&gt;180,BH663-360,BH663)</f>
        <v>-104.29684144017</v>
      </c>
      <c r="BJ663" s="0" t="n">
        <f aca="false">SUM((BF664&lt;0)*(BF663&gt;0))*A663</f>
        <v>0</v>
      </c>
      <c r="BK663" s="0" t="n">
        <f aca="false">IF(BJ663&gt;0,BI663,0)</f>
        <v>0</v>
      </c>
      <c r="BM663" s="0" t="n">
        <f aca="false">20*LOG(J663*F663*C663)</f>
        <v>-73.0822093465081</v>
      </c>
      <c r="BN663" s="0" t="n">
        <f aca="false">(H663+D663)*180/Pi</f>
        <v>-176.692801740332</v>
      </c>
      <c r="BQ663" s="347" t="n">
        <f aca="false">20*LOG(BA663*7)</f>
        <v>10.6926715319556</v>
      </c>
    </row>
    <row r="664" customFormat="false" ht="12.75" hidden="false" customHeight="false" outlineLevel="0" collapsed="false">
      <c r="A664" s="0" t="n">
        <f aca="false">A663+100000</f>
        <v>8800000</v>
      </c>
      <c r="B664" s="0" t="n">
        <f aca="false">A664/1000</f>
        <v>8800</v>
      </c>
      <c r="C664" s="0" t="n">
        <f aca="false">SQRT((A664/Fesr)^2+1)</f>
        <v>1.00152743779304</v>
      </c>
      <c r="D664" s="0" t="n">
        <f aca="false">ATAN(A664/Fesr)</f>
        <v>0.0552357873476724</v>
      </c>
      <c r="F664" s="0" t="n">
        <f aca="false">(Ro/(Ro+Rdcr))/SQRT((A664/(Q*Fo))^2+(1-(A664^2/Fo^2))^2)</f>
        <v>2.40476196117899E-005</v>
      </c>
      <c r="G664" s="0" t="n">
        <f aca="false">-ATAN(A664*Fo/(Q*(Fo^2-A664^2)))</f>
        <v>0.00307676964712464</v>
      </c>
      <c r="H664" s="0" t="n">
        <f aca="false">IF(G664&gt;0,G664-Pi,G664)</f>
        <v>-3.13851588035288</v>
      </c>
      <c r="J664" s="0" t="n">
        <f aca="false">Vin/Vramp</f>
        <v>9</v>
      </c>
      <c r="M664" s="0" t="n">
        <f aca="false">1/(2*Pi*_Rfb1*(Cc1ea_u+Cc2ea_u)*A664)</f>
        <v>0.00066984403734746</v>
      </c>
      <c r="N664" s="0" t="n">
        <f aca="false">-Pi/2</f>
        <v>-1.570796325</v>
      </c>
      <c r="O664" s="0" t="n">
        <f aca="false">SQRT(1+(A664/Fz1_u)^2)</f>
        <v>214.97774096309</v>
      </c>
      <c r="P664" s="0" t="n">
        <f aca="false">ATAN2(Fz1_u,A664)</f>
        <v>1.56614466564219</v>
      </c>
      <c r="Q664" s="0" t="n">
        <f aca="false">SQRT(1+(A664/Fz2_u)^2)</f>
        <v>243936.938443357</v>
      </c>
      <c r="R664" s="0" t="n">
        <f aca="false">ATAN2(Fz2_u,A664)</f>
        <v>1.57079222737475</v>
      </c>
      <c r="S664" s="0" t="n">
        <f aca="false">1/SQRT(1+(A664/Fp1_u)^2)</f>
        <v>0.00153373199936076</v>
      </c>
      <c r="T664" s="0" t="n">
        <f aca="false">-ATAN2(Fp1_u,A664)</f>
        <v>-1.56926259419423</v>
      </c>
      <c r="U664" s="0" t="n">
        <f aca="false">1/SQRT(1+(A664/Fp2_u)^2)</f>
        <v>0.0418286118916077</v>
      </c>
      <c r="V664" s="0" t="n">
        <f aca="false">-ATAN2(Fp2_u,A664)</f>
        <v>-1.5289555078381</v>
      </c>
      <c r="X664" s="0" t="n">
        <f aca="false">20*LOG(C664*J664*O664*Q664*F664*M664*S664*U664)</f>
        <v>-66.2230970907625</v>
      </c>
      <c r="Y664" s="0" t="n">
        <f aca="false">(180/Pi)*(D664+H664+N664+P664+R664+T664+V664)</f>
        <v>-264.440513273962</v>
      </c>
      <c r="Z664" s="0" t="n">
        <f aca="false">Y664+180</f>
        <v>-84.4405132739616</v>
      </c>
      <c r="AC664" s="0" t="n">
        <v>1</v>
      </c>
      <c r="AD664" s="0" t="n">
        <f aca="false">Rcea1_u*Cc1ea_u*A664*2*Pi</f>
        <v>214.97541512832</v>
      </c>
      <c r="AE664" s="0" t="n">
        <f aca="false">-Rcea1_u*Cc1ea_u*Cc2ea_u*(A664*2*Pi)^2</f>
        <v>-1.78296408601827</v>
      </c>
      <c r="AF664" s="0" t="n">
        <f aca="false">(Cc2ea_u+Cc1ea_u)*A664*2*Pi</f>
        <v>0.074644241364</v>
      </c>
      <c r="AG664" s="0" t="n">
        <f aca="false">AC664*AE664/(AE664^2+AF664^2)+AD664*AF664/(AE664^2+AF664^2)</f>
        <v>4.47905989831359</v>
      </c>
      <c r="AH664" s="0" t="n">
        <f aca="false">AD664*AE664/(AE664^2+AF664^2)-AC664*AF664/(AE664^2+AF664^2)</f>
        <v>-120.38440974968</v>
      </c>
      <c r="AJ664" s="0" t="n">
        <f aca="false">_Rfb1</f>
        <v>20000</v>
      </c>
      <c r="AK664" s="0" t="n">
        <f aca="false">_Rfb1*Rcea2_u*Cc3ea_u*A664*2*Pi</f>
        <v>13040072.5061376</v>
      </c>
      <c r="AL664" s="0" t="n">
        <v>39</v>
      </c>
      <c r="AM664" s="0" t="n">
        <f aca="false">(_Rfb1+Rcea2_u)*Cc3ea_u*A664*2*Pi</f>
        <v>243936.938441307</v>
      </c>
      <c r="AN664" s="0" t="n">
        <f aca="false">AJ664*AL664/(AL664^2+AM664^2)+AK664*AM664/(AL664^2+AM664^2)</f>
        <v>53.4567476893557</v>
      </c>
      <c r="AO664" s="0" t="n">
        <f aca="false">AK664*AL664/(AL664^2+AM664^2)-AJ664*AM664/(AL664^2+AM664^2)</f>
        <v>-0.0734418778664211</v>
      </c>
      <c r="AQ664" s="0" t="n">
        <f aca="false">Eadcg/(1+(Eadcg*A664/GBP)^2)</f>
        <v>0.000147019611462076</v>
      </c>
      <c r="AR664" s="0" t="n">
        <f aca="false">-(A664*Eadcg*Eadcg/GBP)/(1+(Eadcg*A664/GBP)^2)</f>
        <v>-0.681818150116523</v>
      </c>
      <c r="AT664" s="0" t="n">
        <f aca="false">-AR664*AH664+AG664*AQ664</f>
        <v>-82.0796170487502</v>
      </c>
      <c r="AU664" s="0" t="n">
        <f aca="false">AQ664*AH664+AG664*AR664</f>
        <v>-3.07160320327676</v>
      </c>
      <c r="AV664" s="0" t="n">
        <f aca="false">ATAN2(AT664,AU664)</f>
        <v>-3.10418786701554</v>
      </c>
      <c r="AW664" s="0" t="n">
        <f aca="false">AG664-AH664*AO664/_Rfb2+AG664*AN664/_Rfb2+AN664-AO664*AR664+AQ664*AN664</f>
        <v>57.997360395625</v>
      </c>
      <c r="AX664" s="0" t="n">
        <f aca="false">AH664+AH664*AN664/_Rfb2+AG664*AO664/_Rfb2+AO664+AO664*AQ664+AN664*AR664</f>
        <v>-159.801702831476</v>
      </c>
      <c r="AY664" s="0" t="n">
        <f aca="false">ATAN2(AW664,AX664)</f>
        <v>-1.2226464116315</v>
      </c>
      <c r="BA664" s="0" t="n">
        <f aca="false">SQRT(AT664^2+AU664^2)/SQRT(AW664^2+AX664^2)</f>
        <v>0.483156911587965</v>
      </c>
      <c r="BB664" s="0" t="n">
        <f aca="false">20*LOG(BA664)</f>
        <v>-6.31823606944298</v>
      </c>
      <c r="BC664" s="0" t="n">
        <f aca="false">AV664-AY664</f>
        <v>-1.88154145538404</v>
      </c>
      <c r="BD664" s="0" t="n">
        <f aca="false">BC664*180/Pi-180</f>
        <v>-287.804384495592</v>
      </c>
      <c r="BF664" s="0" t="n">
        <f aca="false">20*LOG(BA664*J664*F664*C664)</f>
        <v>-79.5986869751583</v>
      </c>
      <c r="BG664" s="0" t="n">
        <f aca="false">(180/Pi)*(D664+H664+BC664)</f>
        <v>-284.463321083357</v>
      </c>
      <c r="BH664" s="0" t="n">
        <f aca="false">IF(BG664&gt;180,BG664-180,BG664+180)</f>
        <v>-104.463321083357</v>
      </c>
      <c r="BI664" s="0" t="n">
        <f aca="false">IF(BH664&gt;180,BH664-360,BH664)</f>
        <v>-104.463321083357</v>
      </c>
      <c r="BJ664" s="0" t="n">
        <f aca="false">SUM((BF665&lt;0)*(BF664&gt;0))*A664</f>
        <v>0</v>
      </c>
      <c r="BK664" s="0" t="n">
        <f aca="false">IF(BJ664&gt;0,BI664,0)</f>
        <v>0</v>
      </c>
      <c r="BM664" s="0" t="n">
        <f aca="false">20*LOG(J664*F664*C664)</f>
        <v>-73.2804509057153</v>
      </c>
      <c r="BN664" s="0" t="n">
        <f aca="false">(H664+D664)*180/Pi</f>
        <v>-176.658936587764</v>
      </c>
      <c r="BQ664" s="347" t="n">
        <f aca="false">20*LOG(BA664*7)</f>
        <v>10.5837247308422</v>
      </c>
    </row>
    <row r="665" customFormat="false" ht="12.75" hidden="false" customHeight="false" outlineLevel="0" collapsed="false">
      <c r="A665" s="0" t="n">
        <f aca="false">A664+100000</f>
        <v>8900000</v>
      </c>
      <c r="B665" s="0" t="n">
        <f aca="false">A665/1000</f>
        <v>8900</v>
      </c>
      <c r="C665" s="0" t="n">
        <f aca="false">SQRT((A665/Fesr)^2+1)</f>
        <v>1.00156232230016</v>
      </c>
      <c r="D665" s="0" t="n">
        <f aca="false">ATAN(A665/Fesr)</f>
        <v>0.0558621690547918</v>
      </c>
      <c r="F665" s="0" t="n">
        <f aca="false">(Ro/(Ro+Rdcr))/SQRT((A665/(Q*Fo))^2+(1-(A665^2/Fo^2))^2)</f>
        <v>2.35102493540798E-005</v>
      </c>
      <c r="G665" s="0" t="n">
        <f aca="false">-ATAN(A665*Fo/(Q*(Fo^2-A665^2)))</f>
        <v>0.00304219776887408</v>
      </c>
      <c r="H665" s="0" t="n">
        <f aca="false">IF(G665&gt;0,G665-Pi,G665)</f>
        <v>-3.13855045223113</v>
      </c>
      <c r="J665" s="0" t="n">
        <f aca="false">Vin/Vramp</f>
        <v>9</v>
      </c>
      <c r="M665" s="0" t="n">
        <f aca="false">1/(2*Pi*_Rfb1*(Cc1ea_u+Cc2ea_u)*A665)</f>
        <v>0.000662317699849173</v>
      </c>
      <c r="N665" s="0" t="n">
        <f aca="false">-Pi/2</f>
        <v>-1.570796325</v>
      </c>
      <c r="O665" s="0" t="n">
        <f aca="false">SQRT(1+(A665/Fz1_u)^2)</f>
        <v>217.420617275033</v>
      </c>
      <c r="P665" s="0" t="n">
        <f aca="false">ATAN2(Fz1_u,A665)</f>
        <v>1.56619693075655</v>
      </c>
      <c r="Q665" s="0" t="n">
        <f aca="false">SQRT(1+(A665/Fz2_u)^2)</f>
        <v>246708.949107439</v>
      </c>
      <c r="R665" s="0" t="n">
        <f aca="false">ATAN2(Fz2_u,A665)</f>
        <v>1.57079227343565</v>
      </c>
      <c r="S665" s="0" t="n">
        <f aca="false">1/SQRT(1+(A665/Fp1_u)^2)</f>
        <v>0.0015164990954047</v>
      </c>
      <c r="T665" s="0" t="n">
        <f aca="false">-ATAN2(Fp1_u,A665)</f>
        <v>-1.56927982711822</v>
      </c>
      <c r="U665" s="0" t="n">
        <f aca="false">1/SQRT(1+(A665/Fp2_u)^2)</f>
        <v>0.0413594360050694</v>
      </c>
      <c r="V665" s="0" t="n">
        <f aca="false">-ATAN2(Fp2_u,A665)</f>
        <v>-1.52942509010823</v>
      </c>
      <c r="X665" s="0" t="n">
        <f aca="false">20*LOG(C665*J665*O665*Q665*F665*M665*S665*U665)</f>
        <v>-66.5170704828079</v>
      </c>
      <c r="Y665" s="0" t="n">
        <f aca="false">(180/Pi)*(D665+H665+N665+P665+R665+T665+V665)</f>
        <v>-264.431500314945</v>
      </c>
      <c r="Z665" s="0" t="n">
        <f aca="false">Y665+180</f>
        <v>-84.4315003149453</v>
      </c>
      <c r="AC665" s="0" t="n">
        <v>1</v>
      </c>
      <c r="AD665" s="0" t="n">
        <f aca="false">Rcea1_u*Cc1ea_u*A665*2*Pi</f>
        <v>217.41831757296</v>
      </c>
      <c r="AE665" s="0" t="n">
        <f aca="false">-Rcea1_u*Cc1ea_u*Cc2ea_u*(A665*2*Pi)^2</f>
        <v>-1.82371623519508</v>
      </c>
      <c r="AF665" s="0" t="n">
        <f aca="false">(Cc2ea_u+Cc1ea_u)*A665*2*Pi</f>
        <v>0.0754924713795</v>
      </c>
      <c r="AG665" s="0" t="n">
        <f aca="false">AC665*AE665/(AE665^2+AF665^2)+AD665*AF665/(AE665^2+AF665^2)</f>
        <v>4.37914354344302</v>
      </c>
      <c r="AH665" s="0" t="n">
        <f aca="false">AD665*AE665/(AE665^2+AF665^2)-AC665*AF665/(AE665^2+AF665^2)</f>
        <v>-119.035911955414</v>
      </c>
      <c r="AJ665" s="0" t="n">
        <f aca="false">_Rfb1</f>
        <v>20000</v>
      </c>
      <c r="AK665" s="0" t="n">
        <f aca="false">_Rfb1*Rcea2_u*Cc3ea_u*A665*2*Pi</f>
        <v>13188255.1482528</v>
      </c>
      <c r="AL665" s="0" t="n">
        <v>40</v>
      </c>
      <c r="AM665" s="0" t="n">
        <f aca="false">(_Rfb1+Rcea2_u)*Cc3ea_u*A665*2*Pi</f>
        <v>246708.949105413</v>
      </c>
      <c r="AN665" s="0" t="n">
        <f aca="false">AJ665*AL665/(AL665^2+AM665^2)+AK665*AM665/(AL665^2+AM665^2)</f>
        <v>53.4567476861901</v>
      </c>
      <c r="AO665" s="0" t="n">
        <f aca="false">AK665*AL665/(AL665^2+AM665^2)-AJ665*AM665/(AL665^2+AM665^2)</f>
        <v>-0.0724000088254623</v>
      </c>
      <c r="AQ665" s="0" t="n">
        <f aca="false">Eadcg/(1+(Eadcg*A665/GBP)^2)</f>
        <v>0.000143734360856611</v>
      </c>
      <c r="AR665" s="0" t="n">
        <f aca="false">-(A665*Eadcg*Eadcg/GBP)/(1+(Eadcg*A665/GBP)^2)</f>
        <v>-0.674157272725762</v>
      </c>
      <c r="AT665" s="0" t="n">
        <f aca="false">-AR665*AH665+AG665*AQ665</f>
        <v>-80.2482963268872</v>
      </c>
      <c r="AU665" s="0" t="n">
        <f aca="false">AQ665*AH665+AG665*AR665</f>
        <v>-2.96934101884607</v>
      </c>
      <c r="AV665" s="0" t="n">
        <f aca="false">ATAN2(AT665,AU665)</f>
        <v>-3.1046076069664</v>
      </c>
      <c r="AW665" s="0" t="n">
        <f aca="false">AG665-AH665*AO665/_Rfb2+AG665*AN665/_Rfb2+AN665-AO665*AR665+AQ665*AN665</f>
        <v>57.8962302652834</v>
      </c>
      <c r="AX665" s="0" t="n">
        <f aca="false">AH665+AH665*AN665/_Rfb2+AG665*AO665/_Rfb2+AO665+AO665*AQ665+AN665*AR665</f>
        <v>-158.010192991981</v>
      </c>
      <c r="AY665" s="0" t="n">
        <f aca="false">ATAN2(AW665,AX665)</f>
        <v>-1.21957938800621</v>
      </c>
      <c r="BA665" s="0" t="n">
        <f aca="false">SQRT(AT665^2+AU665^2)/SQRT(AW665^2+AX665^2)</f>
        <v>0.477191253139746</v>
      </c>
      <c r="BB665" s="0" t="n">
        <f aca="false">20*LOG(BA665)</f>
        <v>-6.42615050992315</v>
      </c>
      <c r="BC665" s="0" t="n">
        <f aca="false">AV665-AY665</f>
        <v>-1.8850282189602</v>
      </c>
      <c r="BD665" s="0" t="n">
        <f aca="false">BC665*180/Pi-180</f>
        <v>-288.004161332894</v>
      </c>
      <c r="BF665" s="0" t="n">
        <f aca="false">20*LOG(BA665*J665*F665*C665)</f>
        <v>-79.9025960443622</v>
      </c>
      <c r="BG665" s="0" t="n">
        <f aca="false">(180/Pi)*(D665+H665+BC665)</f>
        <v>-284.629189715151</v>
      </c>
      <c r="BH665" s="0" t="n">
        <f aca="false">IF(BG665&gt;180,BG665-180,BG665+180)</f>
        <v>-104.629189715151</v>
      </c>
      <c r="BI665" s="0" t="n">
        <f aca="false">IF(BH665&gt;180,BH665-360,BH665)</f>
        <v>-104.629189715151</v>
      </c>
      <c r="BJ665" s="0" t="n">
        <f aca="false">SUM((BF666&lt;0)*(BF665&gt;0))*A665</f>
        <v>0</v>
      </c>
      <c r="BK665" s="0" t="n">
        <f aca="false">IF(BJ665&gt;0,BI665,0)</f>
        <v>0</v>
      </c>
      <c r="BM665" s="0" t="n">
        <f aca="false">20*LOG(J665*F665*C665)</f>
        <v>-73.476445534439</v>
      </c>
      <c r="BN665" s="0" t="n">
        <f aca="false">(H665+D665)*180/Pi</f>
        <v>-176.625028382257</v>
      </c>
      <c r="BQ665" s="347" t="n">
        <f aca="false">20*LOG(BA665*7)</f>
        <v>10.475810290362</v>
      </c>
    </row>
    <row r="666" customFormat="false" ht="12.75" hidden="false" customHeight="false" outlineLevel="0" collapsed="false">
      <c r="A666" s="0" t="n">
        <f aca="false">A665+100000</f>
        <v>9000000</v>
      </c>
      <c r="B666" s="0" t="n">
        <f aca="false">A666/1000</f>
        <v>9000</v>
      </c>
      <c r="C666" s="0" t="n">
        <f aca="false">SQRT((A666/Fesr)^2+1)</f>
        <v>1.00159759974685</v>
      </c>
      <c r="D666" s="0" t="n">
        <f aca="false">ATAN(A666/Fesr)</f>
        <v>0.0564885068838406</v>
      </c>
      <c r="F666" s="0" t="n">
        <f aca="false">(Ro/(Ro+Rdcr))/SQRT((A666/(Q*Fo))^2+(1-(A666^2/Fo^2))^2)</f>
        <v>2.29906921831228E-005</v>
      </c>
      <c r="G666" s="0" t="n">
        <f aca="false">-ATAN(A666*Fo/(Q*(Fo^2-A666^2)))</f>
        <v>0.00300839420155143</v>
      </c>
      <c r="H666" s="0" t="n">
        <f aca="false">IF(G666&gt;0,G666-Pi,G666)</f>
        <v>-3.13858425579845</v>
      </c>
      <c r="J666" s="0" t="n">
        <f aca="false">Vin/Vramp</f>
        <v>9</v>
      </c>
      <c r="M666" s="0" t="n">
        <f aca="false">1/(2*Pi*_Rfb1*(Cc1ea_u+Cc2ea_u)*A666)</f>
        <v>0.000654958614295294</v>
      </c>
      <c r="N666" s="0" t="n">
        <f aca="false">-Pi/2</f>
        <v>-1.570796325</v>
      </c>
      <c r="O666" s="0" t="n">
        <f aca="false">SQRT(1+(A666/Fz1_u)^2)</f>
        <v>219.863494167694</v>
      </c>
      <c r="P666" s="0" t="n">
        <f aca="false">ATAN2(Fz1_u,A666)</f>
        <v>1.56624803444822</v>
      </c>
      <c r="Q666" s="0" t="n">
        <f aca="false">SQRT(1+(A666/Fz2_u)^2)</f>
        <v>249480.959771523</v>
      </c>
      <c r="R666" s="0" t="n">
        <f aca="false">ATAN2(Fz2_u,A666)</f>
        <v>1.57079231847298</v>
      </c>
      <c r="S666" s="0" t="n">
        <f aca="false">1/SQRT(1+(A666/Fp1_u)^2)</f>
        <v>0.00149964914356339</v>
      </c>
      <c r="T666" s="0" t="n">
        <f aca="false">-ATAN2(Fp1_u,A666)</f>
        <v>-1.56929667708923</v>
      </c>
      <c r="U666" s="0" t="n">
        <f aca="false">1/SQRT(1+(A666/Fp2_u)^2)</f>
        <v>0.0409006597911623</v>
      </c>
      <c r="V666" s="0" t="n">
        <f aca="false">-ATAN2(Fp2_u,A666)</f>
        <v>-1.52988425487069</v>
      </c>
      <c r="X666" s="0" t="n">
        <f aca="false">20*LOG(C666*J666*O666*Q666*F666*M666*S666*U666)</f>
        <v>-66.8077560104193</v>
      </c>
      <c r="Y666" s="0" t="n">
        <f aca="false">(180/Pi)*(D666+H666+N666+P666+R666+T666+V666)</f>
        <v>-264.421893631435</v>
      </c>
      <c r="Z666" s="0" t="n">
        <f aca="false">Y666+180</f>
        <v>-84.4218936314352</v>
      </c>
      <c r="AC666" s="0" t="n">
        <v>1</v>
      </c>
      <c r="AD666" s="0" t="n">
        <f aca="false">Rcea1_u*Cc1ea_u*A666*2*Pi</f>
        <v>219.8612200176</v>
      </c>
      <c r="AE666" s="0" t="n">
        <f aca="false">-Rcea1_u*Cc1ea_u*Cc2ea_u*(A666*2*Pi)^2</f>
        <v>-1.86492886063378</v>
      </c>
      <c r="AF666" s="0" t="n">
        <f aca="false">(Cc2ea_u+Cc1ea_u)*A666*2*Pi</f>
        <v>0.076340701395</v>
      </c>
      <c r="AG666" s="0" t="n">
        <f aca="false">AC666*AE666/(AE666^2+AF666^2)+AD666*AF666/(AE666^2+AF666^2)</f>
        <v>4.28253176666214</v>
      </c>
      <c r="AH666" s="0" t="n">
        <f aca="false">AD666*AE666/(AE666^2+AF666^2)-AC666*AF666/(AE666^2+AF666^2)</f>
        <v>-117.71724550618</v>
      </c>
      <c r="AJ666" s="0" t="n">
        <f aca="false">_Rfb1</f>
        <v>20000</v>
      </c>
      <c r="AK666" s="0" t="n">
        <f aca="false">_Rfb1*Rcea2_u*Cc3ea_u*A666*2*Pi</f>
        <v>13336437.790368</v>
      </c>
      <c r="AL666" s="0" t="n">
        <v>41</v>
      </c>
      <c r="AM666" s="0" t="n">
        <f aca="false">(_Rfb1+Rcea2_u)*Cc3ea_u*A666*2*Pi</f>
        <v>249480.959769518</v>
      </c>
      <c r="AN666" s="0" t="n">
        <f aca="false">AJ666*AL666/(AL666^2+AM666^2)+AK666*AM666/(AL666^2+AM666^2)</f>
        <v>53.4567476785474</v>
      </c>
      <c r="AO666" s="0" t="n">
        <f aca="false">AK666*AL666/(AL666^2+AM666^2)-AJ666*AM666/(AL666^2+AM666^2)</f>
        <v>-0.0713812924306193</v>
      </c>
      <c r="AQ666" s="0" t="n">
        <f aca="false">Eadcg/(1+(Eadcg*A666/GBP)^2)</f>
        <v>0.000140558009072704</v>
      </c>
      <c r="AR666" s="0" t="n">
        <f aca="false">-(A666*Eadcg*Eadcg/GBP)/(1+(Eadcg*A666/GBP)^2)</f>
        <v>-0.666666637031834</v>
      </c>
      <c r="AT666" s="0" t="n">
        <f aca="false">-AR666*AH666+AG666*AQ666</f>
        <v>-78.4775582381168</v>
      </c>
      <c r="AU666" s="0" t="n">
        <f aca="false">AQ666*AH666+AG666*AR666</f>
        <v>-2.87156715252452</v>
      </c>
      <c r="AV666" s="0" t="n">
        <f aca="false">ATAN2(AT666,AU666)</f>
        <v>-3.1050180369924</v>
      </c>
      <c r="AW666" s="0" t="n">
        <f aca="false">AG666-AH666*AO666/_Rfb2+AG666*AN666/_Rfb2+AN666-AO666*AR666+AQ666*AN666</f>
        <v>57.7984430279907</v>
      </c>
      <c r="AX666" s="0" t="n">
        <f aca="false">AH666+AH666*AN666/_Rfb2+AG666*AO666/_Rfb2+AO666+AO666*AQ666+AN666*AR666</f>
        <v>-156.25835608573</v>
      </c>
      <c r="AY666" s="0" t="n">
        <f aca="false">ATAN2(AW666,AX666)</f>
        <v>-1.21651294200368</v>
      </c>
      <c r="BA666" s="0" t="n">
        <f aca="false">SQRT(AT666^2+AU666^2)/SQRT(AW666^2+AX666^2)</f>
        <v>0.471353949645218</v>
      </c>
      <c r="BB666" s="0" t="n">
        <f aca="false">20*LOG(BA666)</f>
        <v>-6.53305698913553</v>
      </c>
      <c r="BC666" s="0" t="n">
        <f aca="false">AV666-AY666</f>
        <v>-1.88850509498872</v>
      </c>
      <c r="BD666" s="0" t="n">
        <f aca="false">BC666*180/Pi-180</f>
        <v>-288.203371655447</v>
      </c>
      <c r="BF666" s="0" t="n">
        <f aca="false">20*LOG(BA666*J666*F666*C666)</f>
        <v>-80.2033003617862</v>
      </c>
      <c r="BG666" s="0" t="n">
        <f aca="false">(180/Pi)*(D666+H666+BC666)</f>
        <v>-284.794450325251</v>
      </c>
      <c r="BH666" s="0" t="n">
        <f aca="false">IF(BG666&gt;180,BG666-180,BG666+180)</f>
        <v>-104.794450325251</v>
      </c>
      <c r="BI666" s="0" t="n">
        <f aca="false">IF(BH666&gt;180,BH666-360,BH666)</f>
        <v>-104.794450325251</v>
      </c>
      <c r="BJ666" s="0" t="n">
        <f aca="false">SUM((BF667&lt;0)*(BF666&gt;0))*A666</f>
        <v>0</v>
      </c>
      <c r="BK666" s="0" t="n">
        <f aca="false">IF(BJ666&gt;0,BI666,0)</f>
        <v>0</v>
      </c>
      <c r="BM666" s="0" t="n">
        <f aca="false">20*LOG(J666*F666*C666)</f>
        <v>-73.6702433726506</v>
      </c>
      <c r="BN666" s="0" t="n">
        <f aca="false">(H666+D666)*180/Pi</f>
        <v>-176.591078669804</v>
      </c>
      <c r="BQ666" s="347" t="n">
        <f aca="false">20*LOG(BA666*7)</f>
        <v>10.3689038111496</v>
      </c>
    </row>
    <row r="667" customFormat="false" ht="12.75" hidden="false" customHeight="false" outlineLevel="0" collapsed="false">
      <c r="A667" s="0" t="n">
        <f aca="false">A666+100000</f>
        <v>9100000</v>
      </c>
      <c r="B667" s="0" t="n">
        <f aca="false">A667/1000</f>
        <v>9100</v>
      </c>
      <c r="C667" s="0" t="n">
        <f aca="false">SQRT((A667/Fesr)^2+1)</f>
        <v>1.00163327009158</v>
      </c>
      <c r="D667" s="0" t="n">
        <f aca="false">ATAN(A667/Fesr)</f>
        <v>0.0571148003480578</v>
      </c>
      <c r="F667" s="0" t="n">
        <f aca="false">(Ro/(Ro+Rdcr))/SQRT((A667/(Q*Fo))^2+(1-(A667^2/Fo^2))^2)</f>
        <v>2.24881694004356E-005</v>
      </c>
      <c r="G667" s="0" t="n">
        <f aca="false">-ATAN(A667*Fo/(Q*(Fo^2-A667^2)))</f>
        <v>0.00297533361419442</v>
      </c>
      <c r="H667" s="0" t="n">
        <f aca="false">IF(G667&gt;0,G667-Pi,G667)</f>
        <v>-3.13861731638581</v>
      </c>
      <c r="J667" s="0" t="n">
        <f aca="false">Vin/Vramp</f>
        <v>9</v>
      </c>
      <c r="M667" s="0" t="n">
        <f aca="false">1/(2*Pi*_Rfb1*(Cc1ea_u+Cc2ea_u)*A667)</f>
        <v>0.000647761266885455</v>
      </c>
      <c r="N667" s="0" t="n">
        <f aca="false">-Pi/2</f>
        <v>-1.570796325</v>
      </c>
      <c r="O667" s="0" t="n">
        <f aca="false">SQRT(1+(A667/Fz1_u)^2)</f>
        <v>222.306371621928</v>
      </c>
      <c r="P667" s="0" t="n">
        <f aca="false">ATAN2(Fz1_u,A667)</f>
        <v>1.56629801500482</v>
      </c>
      <c r="Q667" s="0" t="n">
        <f aca="false">SQRT(1+(A667/Fz2_u)^2)</f>
        <v>252252.970435606</v>
      </c>
      <c r="R667" s="0" t="n">
        <f aca="false">ATAN2(Fz2_u,A667)</f>
        <v>1.57079236252047</v>
      </c>
      <c r="S667" s="0" t="n">
        <f aca="false">1/SQRT(1+(A667/Fp1_u)^2)</f>
        <v>0.00148316951909833</v>
      </c>
      <c r="T667" s="0" t="n">
        <f aca="false">-ATAN2(Fp1_u,A667)</f>
        <v>-1.56931315673202</v>
      </c>
      <c r="U667" s="0" t="n">
        <f aca="false">1/SQRT(1+(A667/Fp2_u)^2)</f>
        <v>0.0404519415450431</v>
      </c>
      <c r="V667" s="0" t="n">
        <f aca="false">-ATAN2(Fp2_u,A667)</f>
        <v>-1.53033334479784</v>
      </c>
      <c r="X667" s="0" t="n">
        <f aca="false">20*LOG(C667*J667*O667*Q667*F667*M667*S667*U667)</f>
        <v>-67.0952261443487</v>
      </c>
      <c r="Y667" s="0" t="n">
        <f aca="false">(180/Pi)*(D667+H667+N667+P667+R667+T667+V667)</f>
        <v>-264.411712864052</v>
      </c>
      <c r="Z667" s="0" t="n">
        <f aca="false">Y667+180</f>
        <v>-84.4117128640525</v>
      </c>
      <c r="AC667" s="0" t="n">
        <v>1</v>
      </c>
      <c r="AD667" s="0" t="n">
        <f aca="false">Rcea1_u*Cc1ea_u*A667*2*Pi</f>
        <v>222.30412246224</v>
      </c>
      <c r="AE667" s="0" t="n">
        <f aca="false">-Rcea1_u*Cc1ea_u*Cc2ea_u*(A667*2*Pi)^2</f>
        <v>-1.90660196233436</v>
      </c>
      <c r="AF667" s="0" t="n">
        <f aca="false">(Cc2ea_u+Cc1ea_u)*A667*2*Pi</f>
        <v>0.0771889314105</v>
      </c>
      <c r="AG667" s="0" t="n">
        <f aca="false">AC667*AE667/(AE667^2+AF667^2)+AD667*AF667/(AE667^2+AF667^2)</f>
        <v>4.18908051139477</v>
      </c>
      <c r="AH667" s="0" t="n">
        <f aca="false">AD667*AE667/(AE667^2+AF667^2)-AC667*AF667/(AE667^2+AF667^2)</f>
        <v>-116.427432783185</v>
      </c>
      <c r="AJ667" s="0" t="n">
        <f aca="false">_Rfb1</f>
        <v>20000</v>
      </c>
      <c r="AK667" s="0" t="n">
        <f aca="false">_Rfb1*Rcea2_u*Cc3ea_u*A667*2*Pi</f>
        <v>13484620.4324832</v>
      </c>
      <c r="AL667" s="0" t="n">
        <v>42</v>
      </c>
      <c r="AM667" s="0" t="n">
        <f aca="false">(_Rfb1+Rcea2_u)*Cc3ea_u*A667*2*Pi</f>
        <v>252252.970433624</v>
      </c>
      <c r="AN667" s="0" t="n">
        <f aca="false">AJ667*AL667/(AL667^2+AM667^2)+AK667*AM667/(AL667^2+AM667^2)</f>
        <v>53.4567476667237</v>
      </c>
      <c r="AO667" s="0" t="n">
        <f aca="false">AK667*AL667/(AL667^2+AM667^2)-AJ667*AM667/(AL667^2+AM667^2)</f>
        <v>-0.0703849654078483</v>
      </c>
      <c r="AQ667" s="0" t="n">
        <f aca="false">Eadcg/(1+(Eadcg*A667/GBP)^2)</f>
        <v>0.000137485795748713</v>
      </c>
      <c r="AR667" s="0" t="n">
        <f aca="false">-(A667*Eadcg*Eadcg/GBP)/(1+(Eadcg*A667/GBP)^2)</f>
        <v>-0.659340630672103</v>
      </c>
      <c r="AT667" s="0" t="n">
        <f aca="false">-AR667*AH667+AG667*AQ667</f>
        <v>-76.7647610197317</v>
      </c>
      <c r="AU667" s="0" t="n">
        <f aca="false">AQ667*AH667+AG667*AR667</f>
        <v>-2.77803810456242</v>
      </c>
      <c r="AV667" s="0" t="n">
        <f aca="false">ATAN2(AT667,AU667)</f>
        <v>-3.10541946325322</v>
      </c>
      <c r="AW667" s="0" t="n">
        <f aca="false">AG667-AH667*AO667/_Rfb2+AG667*AN667/_Rfb2+AN667-AO667*AR667+AQ667*AN667</f>
        <v>57.7038529996886</v>
      </c>
      <c r="AX667" s="0" t="n">
        <f aca="false">AH667+AH667*AN667/_Rfb2+AG667*AO667/_Rfb2+AO667+AO667*AQ667+AN667*AR667</f>
        <v>-154.544890180611</v>
      </c>
      <c r="AY667" s="0" t="n">
        <f aca="false">ATAN2(AW667,AX667)</f>
        <v>-1.21344735704073</v>
      </c>
      <c r="BA667" s="0" t="n">
        <f aca="false">SQRT(AT667^2+AU667^2)/SQRT(AW667^2+AX667^2)</f>
        <v>0.465640820996248</v>
      </c>
      <c r="BB667" s="0" t="n">
        <f aca="false">20*LOG(BA667)</f>
        <v>-6.63897907419493</v>
      </c>
      <c r="BC667" s="0" t="n">
        <f aca="false">AV667-AY667</f>
        <v>-1.89197210621249</v>
      </c>
      <c r="BD667" s="0" t="n">
        <f aca="false">BC667*180/Pi-180</f>
        <v>-288.40201676632</v>
      </c>
      <c r="BF667" s="0" t="n">
        <f aca="false">20*LOG(BA667*J667*F667*C667)</f>
        <v>-80.5008719722559</v>
      </c>
      <c r="BG667" s="0" t="n">
        <f aca="false">(180/Pi)*(D667+H667+BC667)</f>
        <v>-284.959105695973</v>
      </c>
      <c r="BH667" s="0" t="n">
        <f aca="false">IF(BG667&gt;180,BG667-180,BG667+180)</f>
        <v>-104.959105695973</v>
      </c>
      <c r="BI667" s="0" t="n">
        <f aca="false">IF(BH667&gt;180,BH667-360,BH667)</f>
        <v>-104.959105695973</v>
      </c>
      <c r="BJ667" s="0" t="n">
        <f aca="false">SUM((BF668&lt;0)*(BF667&gt;0))*A667</f>
        <v>0</v>
      </c>
      <c r="BK667" s="0" t="n">
        <f aca="false">IF(BJ667&gt;0,BI667,0)</f>
        <v>0</v>
      </c>
      <c r="BM667" s="0" t="n">
        <f aca="false">20*LOG(J667*F667*C667)</f>
        <v>-73.8618928980609</v>
      </c>
      <c r="BN667" s="0" t="n">
        <f aca="false">(H667+D667)*180/Pi</f>
        <v>-176.557088929653</v>
      </c>
      <c r="BQ667" s="347" t="n">
        <f aca="false">20*LOG(BA667*7)</f>
        <v>10.2629817260902</v>
      </c>
    </row>
    <row r="668" customFormat="false" ht="12.75" hidden="false" customHeight="false" outlineLevel="0" collapsed="false">
      <c r="A668" s="0" t="n">
        <f aca="false">A667+100000</f>
        <v>9200000</v>
      </c>
      <c r="B668" s="0" t="n">
        <f aca="false">A668/1000</f>
        <v>9200</v>
      </c>
      <c r="C668" s="0" t="n">
        <f aca="false">SQRT((A668/Fesr)^2+1)</f>
        <v>1.00166933329238</v>
      </c>
      <c r="D668" s="0" t="n">
        <f aca="false">ATAN(A668/Fesr)</f>
        <v>0.0577410489608902</v>
      </c>
      <c r="F668" s="0" t="n">
        <f aca="false">(Ro/(Ro+Rdcr))/SQRT((A668/(Q*Fo))^2+(1-(A668^2/Fo^2))^2)</f>
        <v>2.2001944398344E-005</v>
      </c>
      <c r="G668" s="0" t="n">
        <f aca="false">-ATAN(A668*Fo/(Q*(Fo^2-A668^2)))</f>
        <v>0.00294299177729551</v>
      </c>
      <c r="H668" s="0" t="n">
        <f aca="false">IF(G668&gt;0,G668-Pi,G668)</f>
        <v>-3.1386496582227</v>
      </c>
      <c r="J668" s="0" t="n">
        <f aca="false">Vin/Vramp</f>
        <v>9</v>
      </c>
      <c r="M668" s="0" t="n">
        <f aca="false">1/(2*Pi*_Rfb1*(Cc1ea_u+Cc2ea_u)*A668)</f>
        <v>0.000640720383549744</v>
      </c>
      <c r="N668" s="0" t="n">
        <f aca="false">-Pi/2</f>
        <v>-1.570796325</v>
      </c>
      <c r="O668" s="0" t="n">
        <f aca="false">SQRT(1+(A668/Fz1_u)^2)</f>
        <v>224.749249619423</v>
      </c>
      <c r="P668" s="0" t="n">
        <f aca="false">ATAN2(Fz1_u,A668)</f>
        <v>1.56634690904932</v>
      </c>
      <c r="Q668" s="0" t="n">
        <f aca="false">SQRT(1+(A668/Fz2_u)^2)</f>
        <v>255024.981099691</v>
      </c>
      <c r="R668" s="0" t="n">
        <f aca="false">ATAN2(Fz2_u,A668)</f>
        <v>1.57079240561041</v>
      </c>
      <c r="S668" s="0" t="n">
        <f aca="false">1/SQRT(1+(A668/Fp1_u)^2)</f>
        <v>0.00146704814616967</v>
      </c>
      <c r="T668" s="0" t="n">
        <f aca="false">-ATAN2(Fp1_u,A668)</f>
        <v>-1.56932927812249</v>
      </c>
      <c r="U668" s="0" t="n">
        <f aca="false">1/SQRT(1+(A668/Fp2_u)^2)</f>
        <v>0.0400129543577211</v>
      </c>
      <c r="V668" s="0" t="n">
        <f aca="false">-ATAN2(Fp2_u,A668)</f>
        <v>-1.53077268770388</v>
      </c>
      <c r="X668" s="0" t="n">
        <f aca="false">20*LOG(C668*J668*O668*Q668*F668*M668*S668*U668)</f>
        <v>-67.3795509842155</v>
      </c>
      <c r="Y668" s="0" t="n">
        <f aca="false">(180/Pi)*(D668+H668+N668+P668+R668+T668+V668)</f>
        <v>-264.400976802999</v>
      </c>
      <c r="Z668" s="0" t="n">
        <f aca="false">Y668+180</f>
        <v>-84.4009768029989</v>
      </c>
      <c r="AC668" s="0" t="n">
        <v>1</v>
      </c>
      <c r="AD668" s="0" t="n">
        <f aca="false">Rcea1_u*Cc1ea_u*A668*2*Pi</f>
        <v>224.74702490688</v>
      </c>
      <c r="AE668" s="0" t="n">
        <f aca="false">-Rcea1_u*Cc1ea_u*Cc2ea_u*(A668*2*Pi)^2</f>
        <v>-1.94873554029683</v>
      </c>
      <c r="AF668" s="0" t="n">
        <f aca="false">(Cc2ea_u+Cc1ea_u)*A668*2*Pi</f>
        <v>0.078037161426</v>
      </c>
      <c r="AG668" s="0" t="n">
        <f aca="false">AC668*AE668/(AE668^2+AF668^2)+AD668*AF668/(AE668^2+AF668^2)</f>
        <v>4.09865348206866</v>
      </c>
      <c r="AH668" s="0" t="n">
        <f aca="false">AD668*AE668/(AE668^2+AF668^2)-AC668*AF668/(AE668^2+AF668^2)</f>
        <v>-115.165538362012</v>
      </c>
      <c r="AJ668" s="0" t="n">
        <f aca="false">_Rfb1</f>
        <v>20000</v>
      </c>
      <c r="AK668" s="0" t="n">
        <f aca="false">_Rfb1*Rcea2_u*Cc3ea_u*A668*2*Pi</f>
        <v>13632803.0745984</v>
      </c>
      <c r="AL668" s="0" t="n">
        <v>43</v>
      </c>
      <c r="AM668" s="0" t="n">
        <f aca="false">(_Rfb1+Rcea2_u)*Cc3ea_u*A668*2*Pi</f>
        <v>255024.98109773</v>
      </c>
      <c r="AN668" s="0" t="n">
        <f aca="false">AJ668*AL668/(AL668^2+AM668^2)+AK668*AM668/(AL668^2+AM668^2)</f>
        <v>53.4567476509953</v>
      </c>
      <c r="AO668" s="0" t="n">
        <f aca="false">AK668*AL668/(AL668^2+AM668^2)-AJ668*AM668/(AL668^2+AM668^2)</f>
        <v>-0.0694102976689321</v>
      </c>
      <c r="AQ668" s="0" t="n">
        <f aca="false">Eadcg/(1+(Eadcg*A668/GBP)^2)</f>
        <v>0.000134513217824363</v>
      </c>
      <c r="AR668" s="0" t="n">
        <f aca="false">-(A668*Eadcg*Eadcg/GBP)/(1+(Eadcg*A668/GBP)^2)</f>
        <v>-0.652173885299642</v>
      </c>
      <c r="AT668" s="0" t="n">
        <f aca="false">-AR668*AH668+AG668*AQ668</f>
        <v>-75.1074052831097</v>
      </c>
      <c r="AU668" s="0" t="n">
        <f aca="false">AQ668*AH668+AG668*AR668</f>
        <v>-2.68852605304517</v>
      </c>
      <c r="AV668" s="0" t="n">
        <f aca="false">ATAN2(AT668,AU668)</f>
        <v>-3.10581217863784</v>
      </c>
      <c r="AW668" s="0" t="n">
        <f aca="false">AG668-AH668*AO668/_Rfb2+AG668*AN668/_Rfb2+AN668-AO668*AR668+AQ668*AN668</f>
        <v>57.6123223434648</v>
      </c>
      <c r="AX668" s="0" t="n">
        <f aca="false">AH668+AH668*AN668/_Rfb2+AG668*AO668/_Rfb2+AO668+AO668*AQ668+AN668*AR668</f>
        <v>-152.868549632296</v>
      </c>
      <c r="AY668" s="0" t="n">
        <f aca="false">ATAN2(AW668,AX668)</f>
        <v>-1.21038290553464</v>
      </c>
      <c r="BA668" s="0" t="n">
        <f aca="false">SQRT(AT668^2+AU668^2)/SQRT(AW668^2+AX668^2)</f>
        <v>0.460047868837866</v>
      </c>
      <c r="BB668" s="0" t="n">
        <f aca="false">20*LOG(BA668)</f>
        <v>-6.74393953634562</v>
      </c>
      <c r="BC668" s="0" t="n">
        <f aca="false">AV668-AY668</f>
        <v>-1.8954292731032</v>
      </c>
      <c r="BD668" s="0" t="n">
        <f aca="false">BC668*180/Pi-180</f>
        <v>-288.600097838456</v>
      </c>
      <c r="BF668" s="0" t="n">
        <f aca="false">20*LOG(BA668*J668*F668*C668)</f>
        <v>-80.7953805351436</v>
      </c>
      <c r="BG668" s="0" t="n">
        <f aca="false">(180/Pi)*(D668+H668+BC668)</f>
        <v>-285.123158416385</v>
      </c>
      <c r="BH668" s="0" t="n">
        <f aca="false">IF(BG668&gt;180,BG668-180,BG668+180)</f>
        <v>-105.123158416385</v>
      </c>
      <c r="BI668" s="0" t="n">
        <f aca="false">IF(BH668&gt;180,BH668-360,BH668)</f>
        <v>-105.123158416385</v>
      </c>
      <c r="BJ668" s="0" t="n">
        <f aca="false">SUM((BF669&lt;0)*(BF668&gt;0))*A668</f>
        <v>0</v>
      </c>
      <c r="BK668" s="0" t="n">
        <f aca="false">IF(BJ668&gt;0,BI668,0)</f>
        <v>0</v>
      </c>
      <c r="BM668" s="0" t="n">
        <f aca="false">20*LOG(J668*F668*C668)</f>
        <v>-74.051440998798</v>
      </c>
      <c r="BN668" s="0" t="n">
        <f aca="false">(H668+D668)*180/Pi</f>
        <v>-176.523060577929</v>
      </c>
      <c r="BQ668" s="347" t="n">
        <f aca="false">20*LOG(BA668*7)</f>
        <v>10.1580212639395</v>
      </c>
    </row>
    <row r="669" customFormat="false" ht="12.75" hidden="false" customHeight="false" outlineLevel="0" collapsed="false">
      <c r="A669" s="0" t="n">
        <f aca="false">A668+100000</f>
        <v>9300000</v>
      </c>
      <c r="B669" s="0" t="n">
        <f aca="false">A669/1000</f>
        <v>9300</v>
      </c>
      <c r="C669" s="0" t="n">
        <f aca="false">SQRT((A669/Fesr)^2+1)</f>
        <v>1.00170578930682</v>
      </c>
      <c r="D669" s="0" t="n">
        <f aca="false">ATAN(A669/Fesr)</f>
        <v>0.0583672522359953</v>
      </c>
      <c r="F669" s="0" t="n">
        <f aca="false">(Ro/(Ro+Rdcr))/SQRT((A669/(Q*Fo))^2+(1-(A669^2/Fo^2))^2)</f>
        <v>2.15313199590412E-005</v>
      </c>
      <c r="G669" s="0" t="n">
        <f aca="false">-ATAN(A669*Fo/(Q*(Fo^2-A669^2)))</f>
        <v>0.00291134550357705</v>
      </c>
      <c r="H669" s="0" t="n">
        <f aca="false">IF(G669&gt;0,G669-Pi,G669)</f>
        <v>-3.13868130449642</v>
      </c>
      <c r="J669" s="0" t="n">
        <f aca="false">Vin/Vramp</f>
        <v>9</v>
      </c>
      <c r="M669" s="0" t="n">
        <f aca="false">1/(2*Pi*_Rfb1*(Cc1ea_u+Cc2ea_u)*A669)</f>
        <v>0.000633830917059962</v>
      </c>
      <c r="N669" s="0" t="n">
        <f aca="false">-Pi/2</f>
        <v>-1.570796325</v>
      </c>
      <c r="O669" s="0" t="n">
        <f aca="false">SQRT(1+(A669/Fz1_u)^2)</f>
        <v>227.192128142656</v>
      </c>
      <c r="P669" s="0" t="n">
        <f aca="false">ATAN2(Fz1_u,A669)</f>
        <v>1.5663947516296</v>
      </c>
      <c r="Q669" s="0" t="n">
        <f aca="false">SQRT(1+(A669/Fz2_u)^2)</f>
        <v>257796.991763775</v>
      </c>
      <c r="R669" s="0" t="n">
        <f aca="false">ATAN2(Fz2_u,A669)</f>
        <v>1.57079244777368</v>
      </c>
      <c r="S669" s="0" t="n">
        <f aca="false">1/SQRT(1+(A669/Fp1_u)^2)</f>
        <v>0.00145127346832572</v>
      </c>
      <c r="T669" s="0" t="n">
        <f aca="false">-ATAN2(Fp1_u,A669)</f>
        <v>-1.56934505281713</v>
      </c>
      <c r="U669" s="0" t="n">
        <f aca="false">1/SQRT(1+(A669/Fp2_u)^2)</f>
        <v>0.0395833853244358</v>
      </c>
      <c r="V669" s="0" t="n">
        <f aca="false">-ATAN2(Fp2_u,A669)</f>
        <v>-1.53120259734113</v>
      </c>
      <c r="X669" s="0" t="n">
        <f aca="false">20*LOG(C669*J669*O669*Q669*F669*M669*S669*U669)</f>
        <v>-67.6607983607813</v>
      </c>
      <c r="Y669" s="0" t="n">
        <f aca="false">(180/Pi)*(D669+H669+N669+P669+R669+T669+V669)</f>
        <v>-264.389703433631</v>
      </c>
      <c r="Z669" s="0" t="n">
        <f aca="false">Y669+180</f>
        <v>-84.3897034336305</v>
      </c>
      <c r="AC669" s="0" t="n">
        <v>1</v>
      </c>
      <c r="AD669" s="0" t="n">
        <f aca="false">Rcea1_u*Cc1ea_u*A669*2*Pi</f>
        <v>227.18992735152</v>
      </c>
      <c r="AE669" s="0" t="n">
        <f aca="false">-Rcea1_u*Cc1ea_u*Cc2ea_u*(A669*2*Pi)^2</f>
        <v>-1.99132959452118</v>
      </c>
      <c r="AF669" s="0" t="n">
        <f aca="false">(Cc2ea_u+Cc1ea_u)*A669*2*Pi</f>
        <v>0.0788853914415</v>
      </c>
      <c r="AG669" s="0" t="n">
        <f aca="false">AC669*AE669/(AE669^2+AF669^2)+AD669*AF669/(AE669^2+AF669^2)</f>
        <v>4.01112164798147</v>
      </c>
      <c r="AH669" s="0" t="n">
        <f aca="false">AD669*AE669/(AE669^2+AF669^2)-AC669*AF669/(AE669^2+AF669^2)</f>
        <v>-113.930666763757</v>
      </c>
      <c r="AJ669" s="0" t="n">
        <f aca="false">_Rfb1</f>
        <v>20000</v>
      </c>
      <c r="AK669" s="0" t="n">
        <f aca="false">_Rfb1*Rcea2_u*Cc3ea_u*A669*2*Pi</f>
        <v>13780985.7167136</v>
      </c>
      <c r="AL669" s="0" t="n">
        <v>44</v>
      </c>
      <c r="AM669" s="0" t="n">
        <f aca="false">(_Rfb1+Rcea2_u)*Cc3ea_u*A669*2*Pi</f>
        <v>257796.991761836</v>
      </c>
      <c r="AN669" s="0" t="n">
        <f aca="false">AJ669*AL669/(AL669^2+AM669^2)+AK669*AM669/(AL669^2+AM669^2)</f>
        <v>53.4567476316212</v>
      </c>
      <c r="AO669" s="0" t="n">
        <f aca="false">AK669*AL669/(AL669^2+AM669^2)-AJ669*AM669/(AL669^2+AM669^2)</f>
        <v>-0.0684565905272959</v>
      </c>
      <c r="AQ669" s="0" t="n">
        <f aca="false">Eadcg/(1+(Eadcg*A669/GBP)^2)</f>
        <v>0.000131636013030568</v>
      </c>
      <c r="AR669" s="0" t="n">
        <f aca="false">-(A669*Eadcg*Eadcg/GBP)/(1+(Eadcg*A669/GBP)^2)</f>
        <v>-0.645161263464118</v>
      </c>
      <c r="AT669" s="0" t="n">
        <f aca="false">-AR669*AH669+AG669*AQ669</f>
        <v>-73.5031249085532</v>
      </c>
      <c r="AU669" s="0" t="n">
        <f aca="false">AQ669*AH669+AG669*AR669</f>
        <v>-2.60281768905469</v>
      </c>
      <c r="AV669" s="0" t="n">
        <f aca="false">ATAN2(AT669,AU669)</f>
        <v>-3.10619646347547</v>
      </c>
      <c r="AW669" s="0" t="n">
        <f aca="false">AG669-AH669*AO669/_Rfb2+AG669*AN669/_Rfb2+AN669-AO669*AR669+AQ669*AN669</f>
        <v>57.5237205679872</v>
      </c>
      <c r="AX669" s="0" t="n">
        <f aca="false">AH669+AH669*AN669/_Rfb2+AG669*AO669/_Rfb2+AO669+AO669*AQ669+AN669*AR669</f>
        <v>-151.228142078118</v>
      </c>
      <c r="AY669" s="0" t="n">
        <f aca="false">ATAN2(AW669,AX669)</f>
        <v>-1.20731984944287</v>
      </c>
      <c r="BA669" s="0" t="n">
        <f aca="false">SQRT(AT669^2+AU669^2)/SQRT(AW669^2+AX669^2)</f>
        <v>0.45457126678949</v>
      </c>
      <c r="BB669" s="0" t="n">
        <f aca="false">20*LOG(BA669)</f>
        <v>-6.84796038538193</v>
      </c>
      <c r="BC669" s="0" t="n">
        <f aca="false">AV669-AY669</f>
        <v>-1.8988766140326</v>
      </c>
      <c r="BD669" s="0" t="n">
        <f aca="false">BC669*180/Pi-180</f>
        <v>-288.79761592448</v>
      </c>
      <c r="BF669" s="0" t="n">
        <f aca="false">20*LOG(BA669*J669*F669*C669)</f>
        <v>-81.086893427538</v>
      </c>
      <c r="BG669" s="0" t="n">
        <f aca="false">(180/Pi)*(D669+H669+BC669)</f>
        <v>-285.28661089551</v>
      </c>
      <c r="BH669" s="0" t="n">
        <f aca="false">IF(BG669&gt;180,BG669-180,BG669+180)</f>
        <v>-105.28661089551</v>
      </c>
      <c r="BI669" s="0" t="n">
        <f aca="false">IF(BH669&gt;180,BH669-360,BH669)</f>
        <v>-105.28661089551</v>
      </c>
      <c r="BJ669" s="0" t="n">
        <f aca="false">SUM((BF670&lt;0)*(BF669&gt;0))*A669</f>
        <v>0</v>
      </c>
      <c r="BK669" s="0" t="n">
        <f aca="false">IF(BJ669&gt;0,BI669,0)</f>
        <v>0</v>
      </c>
      <c r="BM669" s="0" t="n">
        <f aca="false">20*LOG(J669*F669*C669)</f>
        <v>-74.2389330421561</v>
      </c>
      <c r="BN669" s="0" t="n">
        <f aca="false">(H669+D669)*180/Pi</f>
        <v>-176.488994971031</v>
      </c>
      <c r="BQ669" s="347" t="n">
        <f aca="false">20*LOG(BA669*7)</f>
        <v>10.0540004149032</v>
      </c>
    </row>
    <row r="670" customFormat="false" ht="12.75" hidden="false" customHeight="false" outlineLevel="0" collapsed="false">
      <c r="A670" s="0" t="n">
        <f aca="false">A669+100000</f>
        <v>9400000</v>
      </c>
      <c r="B670" s="0" t="n">
        <f aca="false">A670/1000</f>
        <v>9400</v>
      </c>
      <c r="C670" s="0" t="n">
        <f aca="false">SQRT((A670/Fesr)^2+1)</f>
        <v>1.00174263809201</v>
      </c>
      <c r="D670" s="0" t="n">
        <f aca="false">ATAN(A670/Fesr)</f>
        <v>0.0589934096872433</v>
      </c>
      <c r="F670" s="0" t="n">
        <f aca="false">(Ro/(Ro+Rdcr))/SQRT((A670/(Q*Fo))^2+(1-(A670^2/Fo^2))^2)</f>
        <v>2.10756357537115E-005</v>
      </c>
      <c r="G670" s="0" t="n">
        <f aca="false">-ATAN(A670*Fo/(Q*(Fo^2-A670^2)))</f>
        <v>0.00288037259254718</v>
      </c>
      <c r="H670" s="0" t="n">
        <f aca="false">IF(G670&gt;0,G670-Pi,G670)</f>
        <v>-3.13871227740745</v>
      </c>
      <c r="J670" s="0" t="n">
        <f aca="false">Vin/Vramp</f>
        <v>9</v>
      </c>
      <c r="M670" s="0" t="n">
        <f aca="false">1/(2*Pi*_Rfb1*(Cc1ea_u+Cc2ea_u)*A670)</f>
        <v>0.000627088034963579</v>
      </c>
      <c r="N670" s="0" t="n">
        <f aca="false">-Pi/2</f>
        <v>-1.570796325</v>
      </c>
      <c r="O670" s="0" t="n">
        <f aca="false">SQRT(1+(A670/Fz1_u)^2)</f>
        <v>229.635007174847</v>
      </c>
      <c r="P670" s="0" t="n">
        <f aca="false">ATAN2(Fz1_u,A670)</f>
        <v>1.56644157630214</v>
      </c>
      <c r="Q670" s="0" t="n">
        <f aca="false">SQRT(1+(A670/Fz2_u)^2)</f>
        <v>260569.00242786</v>
      </c>
      <c r="R670" s="0" t="n">
        <f aca="false">ATAN2(Fz2_u,A670)</f>
        <v>1.57079248903987</v>
      </c>
      <c r="S670" s="0" t="n">
        <f aca="false">1/SQRT(1+(A670/Fp1_u)^2)</f>
        <v>0.00143583442087609</v>
      </c>
      <c r="T670" s="0" t="n">
        <f aca="false">-ATAN2(Fp1_u,A670)</f>
        <v>-1.56936049188066</v>
      </c>
      <c r="U670" s="0" t="n">
        <f aca="false">1/SQRT(1+(A670/Fp2_u)^2)</f>
        <v>0.0391629348032824</v>
      </c>
      <c r="V670" s="0" t="n">
        <f aca="false">-ATAN2(Fp2_u,A670)</f>
        <v>-1.53162337414563</v>
      </c>
      <c r="X670" s="0" t="n">
        <f aca="false">20*LOG(C670*J670*O670*Q670*F670*M670*S670*U670)</f>
        <v>-67.9390339327718</v>
      </c>
      <c r="Y670" s="0" t="n">
        <f aca="false">(180/Pi)*(D670+H670+N670+P670+R670+T670+V670)</f>
        <v>-264.377909979134</v>
      </c>
      <c r="Z670" s="0" t="n">
        <f aca="false">Y670+180</f>
        <v>-84.3779099791339</v>
      </c>
      <c r="AC670" s="0" t="n">
        <v>1</v>
      </c>
      <c r="AD670" s="0" t="n">
        <f aca="false">Rcea1_u*Cc1ea_u*A670*2*Pi</f>
        <v>229.63282979616</v>
      </c>
      <c r="AE670" s="0" t="n">
        <f aca="false">-Rcea1_u*Cc1ea_u*Cc2ea_u*(A670*2*Pi)^2</f>
        <v>-2.03438412500741</v>
      </c>
      <c r="AF670" s="0" t="n">
        <f aca="false">(Cc2ea_u+Cc1ea_u)*A670*2*Pi</f>
        <v>0.079733621457</v>
      </c>
      <c r="AG670" s="0" t="n">
        <f aca="false">AC670*AE670/(AE670^2+AF670^2)+AD670*AF670/(AE670^2+AF670^2)</f>
        <v>3.92636278375975</v>
      </c>
      <c r="AH670" s="0" t="n">
        <f aca="false">AD670*AE670/(AE670^2+AF670^2)-AC670*AF670/(AE670^2+AF670^2)</f>
        <v>-112.72196034828</v>
      </c>
      <c r="AJ670" s="0" t="n">
        <f aca="false">_Rfb1</f>
        <v>20000</v>
      </c>
      <c r="AK670" s="0" t="n">
        <f aca="false">_Rfb1*Rcea2_u*Cc3ea_u*A670*2*Pi</f>
        <v>13929168.3588288</v>
      </c>
      <c r="AL670" s="0" t="n">
        <v>45</v>
      </c>
      <c r="AM670" s="0" t="n">
        <f aca="false">(_Rfb1+Rcea2_u)*Cc3ea_u*A670*2*Pi</f>
        <v>260569.002425941</v>
      </c>
      <c r="AN670" s="0" t="n">
        <f aca="false">AJ670*AL670/(AL670^2+AM670^2)+AK670*AM670/(AL670^2+AM670^2)</f>
        <v>53.4567476088435</v>
      </c>
      <c r="AO670" s="0" t="n">
        <f aca="false">AK670*AL670/(AL670^2+AM670^2)-AJ670*AM670/(AL670^2+AM670^2)</f>
        <v>-0.0675231750277077</v>
      </c>
      <c r="AQ670" s="0" t="n">
        <f aca="false">Eadcg/(1+(Eadcg*A670/GBP)^2)</f>
        <v>0.000128850144602136</v>
      </c>
      <c r="AR670" s="0" t="n">
        <f aca="false">-(A670*Eadcg*Eadcg/GBP)/(1+(Eadcg*A670/GBP)^2)</f>
        <v>-0.638297846330061</v>
      </c>
      <c r="AT670" s="0" t="n">
        <f aca="false">-AR670*AH670+AG670*AQ670</f>
        <v>-71.9496786119974</v>
      </c>
      <c r="AU670" s="0" t="n">
        <f aca="false">AQ670*AH670+AG670*AR670</f>
        <v>-2.52071314967506</v>
      </c>
      <c r="AV670" s="0" t="n">
        <f aca="false">ATAN2(AT670,AU670)</f>
        <v>-3.10657258620125</v>
      </c>
      <c r="AW670" s="0" t="n">
        <f aca="false">AG670-AH670*AO670/_Rfb2+AG670*AN670/_Rfb2+AN670-AO670*AR670+AQ670*AN670</f>
        <v>57.4379240629274</v>
      </c>
      <c r="AX670" s="0" t="n">
        <f aca="false">AH670+AH670*AN670/_Rfb2+AG670*AO670/_Rfb2+AO670+AO670*AQ670+AN670*AR670</f>
        <v>-149.62252562137</v>
      </c>
      <c r="AY670" s="0" t="n">
        <f aca="false">ATAN2(AW670,AX670)</f>
        <v>-1.20425844076871</v>
      </c>
      <c r="BA670" s="0" t="n">
        <f aca="false">SQRT(AT670^2+AU670^2)/SQRT(AW670^2+AX670^2)</f>
        <v>0.44920735129018</v>
      </c>
      <c r="BB670" s="0" t="n">
        <f aca="false">20*LOG(BA670)</f>
        <v>-6.95106290223492</v>
      </c>
      <c r="BC670" s="0" t="n">
        <f aca="false">AV670-AY670</f>
        <v>-1.90231414543255</v>
      </c>
      <c r="BD670" s="0" t="n">
        <f aca="false">BC670*180/Pi-180</f>
        <v>-288.994571965865</v>
      </c>
      <c r="BF670" s="0" t="n">
        <f aca="false">20*LOG(BA670*J670*F670*C670)</f>
        <v>-81.3754758419019</v>
      </c>
      <c r="BG670" s="0" t="n">
        <f aca="false">(180/Pi)*(D670+H670+BC670)</f>
        <v>-285.449465374671</v>
      </c>
      <c r="BH670" s="0" t="n">
        <f aca="false">IF(BG670&gt;180,BG670-180,BG670+180)</f>
        <v>-105.449465374671</v>
      </c>
      <c r="BI670" s="0" t="n">
        <f aca="false">IF(BH670&gt;180,BH670-360,BH670)</f>
        <v>-105.449465374671</v>
      </c>
      <c r="BJ670" s="0" t="n">
        <f aca="false">SUM((BF671&lt;0)*(BF670&gt;0))*A670</f>
        <v>0</v>
      </c>
      <c r="BK670" s="0" t="n">
        <f aca="false">IF(BJ670&gt;0,BI670,0)</f>
        <v>0</v>
      </c>
      <c r="BM670" s="0" t="n">
        <f aca="false">20*LOG(J670*F670*C670)</f>
        <v>-74.4244129396669</v>
      </c>
      <c r="BN670" s="0" t="n">
        <f aca="false">(H670+D670)*180/Pi</f>
        <v>-176.454893408806</v>
      </c>
      <c r="BQ670" s="347" t="n">
        <f aca="false">20*LOG(BA670*7)</f>
        <v>9.95089789805022</v>
      </c>
    </row>
    <row r="671" customFormat="false" ht="12.75" hidden="false" customHeight="false" outlineLevel="0" collapsed="false">
      <c r="A671" s="0" t="n">
        <f aca="false">A670+100000</f>
        <v>9500000</v>
      </c>
      <c r="B671" s="0" t="n">
        <f aca="false">A671/1000</f>
        <v>9500</v>
      </c>
      <c r="C671" s="0" t="n">
        <f aca="false">SQRT((A671/Fesr)^2+1)</f>
        <v>1.00177987960462</v>
      </c>
      <c r="D671" s="0" t="n">
        <f aca="false">ATAN(A671/Fesr)</f>
        <v>0.059619520828719</v>
      </c>
      <c r="F671" s="0" t="n">
        <f aca="false">(Ro/(Ro+Rdcr))/SQRT((A671/(Q*Fo))^2+(1-(A671^2/Fo^2))^2)</f>
        <v>2.06342660249574E-005</v>
      </c>
      <c r="G671" s="0" t="n">
        <f aca="false">-ATAN(A671*Fo/(Q*(Fo^2-A671^2)))</f>
        <v>0.00285005177855792</v>
      </c>
      <c r="H671" s="0" t="n">
        <f aca="false">IF(G671&gt;0,G671-Pi,G671)</f>
        <v>-3.13874259822144</v>
      </c>
      <c r="J671" s="0" t="n">
        <f aca="false">Vin/Vramp</f>
        <v>9</v>
      </c>
      <c r="M671" s="0" t="n">
        <f aca="false">1/(2*Pi*_Rfb1*(Cc1ea_u+Cc2ea_u)*A671)</f>
        <v>0.000620487108279752</v>
      </c>
      <c r="N671" s="0" t="n">
        <f aca="false">-Pi/2</f>
        <v>-1.570796325</v>
      </c>
      <c r="O671" s="0" t="n">
        <f aca="false">SQRT(1+(A671/Fz1_u)^2)</f>
        <v>232.077886699926</v>
      </c>
      <c r="P671" s="0" t="n">
        <f aca="false">ATAN2(Fz1_u,A671)</f>
        <v>1.5664874152106</v>
      </c>
      <c r="Q671" s="0" t="n">
        <f aca="false">SQRT(1+(A671/Fz2_u)^2)</f>
        <v>263341.013091946</v>
      </c>
      <c r="R671" s="0" t="n">
        <f aca="false">ATAN2(Fz2_u,A671)</f>
        <v>1.57079252943729</v>
      </c>
      <c r="S671" s="0" t="n">
        <f aca="false">1/SQRT(1+(A671/Fp1_u)^2)</f>
        <v>0.00142072040500972</v>
      </c>
      <c r="T671" s="0" t="n">
        <f aca="false">-ATAN2(Fp1_u,A671)</f>
        <v>-1.56937560591195</v>
      </c>
      <c r="U671" s="0" t="n">
        <f aca="false">1/SQRT(1+(A671/Fp2_u)^2)</f>
        <v>0.0387513157204052</v>
      </c>
      <c r="V671" s="0" t="n">
        <f aca="false">-ATAN2(Fp2_u,A671)</f>
        <v>-1.53203530593582</v>
      </c>
      <c r="X671" s="0" t="n">
        <f aca="false">20*LOG(C671*J671*O671*Q671*F671*M671*S671*U671)</f>
        <v>-68.214321278591</v>
      </c>
      <c r="Y671" s="0" t="n">
        <f aca="false">(180/Pi)*(D671+H671+N671+P671+R671+T671+V671)</f>
        <v>-264.365612940515</v>
      </c>
      <c r="Z671" s="0" t="n">
        <f aca="false">Y671+180</f>
        <v>-84.3656129405155</v>
      </c>
      <c r="AC671" s="0" t="n">
        <v>1</v>
      </c>
      <c r="AD671" s="0" t="n">
        <f aca="false">Rcea1_u*Cc1ea_u*A671*2*Pi</f>
        <v>232.0757322408</v>
      </c>
      <c r="AE671" s="0" t="n">
        <f aca="false">-Rcea1_u*Cc1ea_u*Cc2ea_u*(A671*2*Pi)^2</f>
        <v>-2.07789913175554</v>
      </c>
      <c r="AF671" s="0" t="n">
        <f aca="false">(Cc2ea_u+Cc1ea_u)*A671*2*Pi</f>
        <v>0.0805818514725</v>
      </c>
      <c r="AG671" s="0" t="n">
        <f aca="false">AC671*AE671/(AE671^2+AF671^2)+AD671*AF671/(AE671^2+AF671^2)</f>
        <v>3.84426104336006</v>
      </c>
      <c r="AH671" s="0" t="n">
        <f aca="false">AD671*AE671/(AE671^2+AF671^2)-AC671*AF671/(AE671^2+AF671^2)</f>
        <v>-111.538597339214</v>
      </c>
      <c r="AJ671" s="0" t="n">
        <f aca="false">_Rfb1</f>
        <v>20000</v>
      </c>
      <c r="AK671" s="0" t="n">
        <f aca="false">_Rfb1*Rcea2_u*Cc3ea_u*A671*2*Pi</f>
        <v>14077351.000944</v>
      </c>
      <c r="AL671" s="0" t="n">
        <v>46</v>
      </c>
      <c r="AM671" s="0" t="n">
        <f aca="false">(_Rfb1+Rcea2_u)*Cc3ea_u*A671*2*Pi</f>
        <v>263341.013090047</v>
      </c>
      <c r="AN671" s="0" t="n">
        <f aca="false">AJ671*AL671/(AL671^2+AM671^2)+AK671*AM671/(AL671^2+AM671^2)</f>
        <v>53.4567475828888</v>
      </c>
      <c r="AO671" s="0" t="n">
        <f aca="false">AK671*AL671/(AL671^2+AM671^2)-AJ671*AM671/(AL671^2+AM671^2)</f>
        <v>-0.0666094103814704</v>
      </c>
      <c r="AQ671" s="0" t="n">
        <f aca="false">Eadcg/(1+(Eadcg*A671/GBP)^2)</f>
        <v>0.00012615178711092</v>
      </c>
      <c r="AR671" s="0" t="n">
        <f aca="false">-(A671*Eadcg*Eadcg/GBP)/(1+(Eadcg*A671/GBP)^2)</f>
        <v>-0.63157892217082</v>
      </c>
      <c r="AT671" s="0" t="n">
        <f aca="false">-AR671*AH671+AG671*AQ671</f>
        <v>-70.444942127545</v>
      </c>
      <c r="AU671" s="0" t="n">
        <f aca="false">AQ671*AH671+AG671*AR671</f>
        <v>-2.44202503969481</v>
      </c>
      <c r="AV671" s="0" t="n">
        <f aca="false">ATAN2(AT671,AU671)</f>
        <v>-3.10694080398011</v>
      </c>
      <c r="AW671" s="0" t="n">
        <f aca="false">AG671-AH671*AO671/_Rfb2+AG671*AN671/_Rfb2+AN671-AO671*AR671+AQ671*AN671</f>
        <v>57.3548156682898</v>
      </c>
      <c r="AX671" s="0" t="n">
        <f aca="false">AH671+AH671*AN671/_Rfb2+AG671*AO671/_Rfb2+AO671+AO671*AQ671+AN671*AR671</f>
        <v>-148.050606192103</v>
      </c>
      <c r="AY671" s="0" t="n">
        <f aca="false">ATAN2(AW671,AX671)</f>
        <v>-1.20119892203554</v>
      </c>
      <c r="BA671" s="0" t="n">
        <f aca="false">SQRT(AT671^2+AU671^2)/SQRT(AW671^2+AX671^2)</f>
        <v>0.443952613021974</v>
      </c>
      <c r="BB671" s="0" t="n">
        <f aca="false">20*LOG(BA671)</f>
        <v>-7.05326766984135</v>
      </c>
      <c r="BC671" s="0" t="n">
        <f aca="false">AV671-AY671</f>
        <v>-1.90574188194457</v>
      </c>
      <c r="BD671" s="0" t="n">
        <f aca="false">BC671*180/Pi-180</f>
        <v>-289.190966801512</v>
      </c>
      <c r="BF671" s="0" t="n">
        <f aca="false">20*LOG(BA671*J671*F671*C671)</f>
        <v>-81.6611908785697</v>
      </c>
      <c r="BG671" s="0" t="n">
        <f aca="false">(180/Pi)*(D671+H671+BC671)</f>
        <v>-285.611723939039</v>
      </c>
      <c r="BH671" s="0" t="n">
        <f aca="false">IF(BG671&gt;180,BG671-180,BG671+180)</f>
        <v>-105.611723939039</v>
      </c>
      <c r="BI671" s="0" t="n">
        <f aca="false">IF(BH671&gt;180,BH671-360,BH671)</f>
        <v>-105.611723939039</v>
      </c>
      <c r="BJ671" s="0" t="n">
        <f aca="false">SUM((BF672&lt;0)*(BF671&gt;0))*A671</f>
        <v>0</v>
      </c>
      <c r="BK671" s="0" t="n">
        <f aca="false">IF(BJ671&gt;0,BI671,0)</f>
        <v>0</v>
      </c>
      <c r="BM671" s="0" t="n">
        <f aca="false">20*LOG(J671*F671*C671)</f>
        <v>-74.6079232087284</v>
      </c>
      <c r="BN671" s="0" t="n">
        <f aca="false">(H671+D671)*180/Pi</f>
        <v>-176.420757137527</v>
      </c>
      <c r="BQ671" s="347" t="n">
        <f aca="false">20*LOG(BA671*7)</f>
        <v>9.84869313044378</v>
      </c>
    </row>
    <row r="672" customFormat="false" ht="12.75" hidden="false" customHeight="false" outlineLevel="0" collapsed="false">
      <c r="A672" s="0" t="n">
        <f aca="false">A671+100000</f>
        <v>9600000</v>
      </c>
      <c r="B672" s="0" t="n">
        <f aca="false">A672/1000</f>
        <v>9600</v>
      </c>
      <c r="C672" s="0" t="n">
        <f aca="false">SQRT((A672/Fesr)^2+1)</f>
        <v>1.00181751380084</v>
      </c>
      <c r="D672" s="0" t="n">
        <f aca="false">ATAN(A672/Fesr)</f>
        <v>0.0602455851747244</v>
      </c>
      <c r="F672" s="0" t="n">
        <f aca="false">(Ro/(Ro+Rdcr))/SQRT((A672/(Q*Fo))^2+(1-(A672^2/Fo^2))^2)</f>
        <v>2.02066174373367E-005</v>
      </c>
      <c r="G672" s="0" t="n">
        <f aca="false">-ATAN(A672*Fo/(Q*(Fo^2-A672^2)))</f>
        <v>0.00282036268211012</v>
      </c>
      <c r="H672" s="0" t="n">
        <f aca="false">IF(G672&gt;0,G672-Pi,G672)</f>
        <v>-3.13877228731789</v>
      </c>
      <c r="J672" s="0" t="n">
        <f aca="false">Vin/Vramp</f>
        <v>9</v>
      </c>
      <c r="M672" s="0" t="n">
        <f aca="false">1/(2*Pi*_Rfb1*(Cc1ea_u+Cc2ea_u)*A672)</f>
        <v>0.000614023700901838</v>
      </c>
      <c r="N672" s="0" t="n">
        <f aca="false">-Pi/2</f>
        <v>-1.570796325</v>
      </c>
      <c r="O672" s="0" t="n">
        <f aca="false">SQRT(1+(A672/Fz1_u)^2)</f>
        <v>234.520766702488</v>
      </c>
      <c r="P672" s="0" t="n">
        <f aca="false">ATAN2(Fz1_u,A672)</f>
        <v>1.56653229915935</v>
      </c>
      <c r="Q672" s="0" t="n">
        <f aca="false">SQRT(1+(A672/Fz2_u)^2)</f>
        <v>266113.023756032</v>
      </c>
      <c r="R672" s="0" t="n">
        <f aca="false">ATAN2(Fz2_u,A672)</f>
        <v>1.5707925689931</v>
      </c>
      <c r="S672" s="0" t="n">
        <f aca="false">1/SQRT(1+(A672/Fp1_u)^2)</f>
        <v>0.00140592126353042</v>
      </c>
      <c r="T672" s="0" t="n">
        <f aca="false">-ATAN2(Fp1_u,A672)</f>
        <v>-1.56939040506821</v>
      </c>
      <c r="U672" s="0" t="n">
        <f aca="false">1/SQRT(1+(A672/Fp2_u)^2)</f>
        <v>0.0383482529183848</v>
      </c>
      <c r="V672" s="0" t="n">
        <f aca="false">-ATAN2(Fp2_u,A672)</f>
        <v>-1.53243866856778</v>
      </c>
      <c r="X672" s="0" t="n">
        <f aca="false">20*LOG(C672*J672*O672*Q672*F672*M672*S672*U672)</f>
        <v>-68.486721983247</v>
      </c>
      <c r="Y672" s="0" t="n">
        <f aca="false">(180/Pi)*(D672+H672+N672+P672+R672+T672+V672)</f>
        <v>-264.352828134101</v>
      </c>
      <c r="Z672" s="0" t="n">
        <f aca="false">Y672+180</f>
        <v>-84.3528281341013</v>
      </c>
      <c r="AC672" s="0" t="n">
        <v>1</v>
      </c>
      <c r="AD672" s="0" t="n">
        <f aca="false">Rcea1_u*Cc1ea_u*A672*2*Pi</f>
        <v>234.51863468544</v>
      </c>
      <c r="AE672" s="0" t="n">
        <f aca="false">-Rcea1_u*Cc1ea_u*Cc2ea_u*(A672*2*Pi)^2</f>
        <v>-2.12187461476554</v>
      </c>
      <c r="AF672" s="0" t="n">
        <f aca="false">(Cc2ea_u+Cc1ea_u)*A672*2*Pi</f>
        <v>0.081430081488</v>
      </c>
      <c r="AG672" s="0" t="n">
        <f aca="false">AC672*AE672/(AE672^2+AF672^2)+AD672*AF672/(AE672^2+AF672^2)</f>
        <v>3.76470656484456</v>
      </c>
      <c r="AH672" s="0" t="n">
        <f aca="false">AD672*AE672/(AE672^2+AF672^2)-AC672*AF672/(AE672^2+AF672^2)</f>
        <v>-110.379789971221</v>
      </c>
      <c r="AJ672" s="0" t="n">
        <f aca="false">_Rfb1</f>
        <v>20000</v>
      </c>
      <c r="AK672" s="0" t="n">
        <f aca="false">_Rfb1*Rcea2_u*Cc3ea_u*A672*2*Pi</f>
        <v>14225533.6430592</v>
      </c>
      <c r="AL672" s="0" t="n">
        <v>47</v>
      </c>
      <c r="AM672" s="0" t="n">
        <f aca="false">(_Rfb1+Rcea2_u)*Cc3ea_u*A672*2*Pi</f>
        <v>266113.023754153</v>
      </c>
      <c r="AN672" s="0" t="n">
        <f aca="false">AJ672*AL672/(AL672^2+AM672^2)+AK672*AM672/(AL672^2+AM672^2)</f>
        <v>53.4567475539696</v>
      </c>
      <c r="AO672" s="0" t="n">
        <f aca="false">AK672*AL672/(AL672^2+AM672^2)-AJ672*AM672/(AL672^2+AM672^2)</f>
        <v>-0.0657146824994149</v>
      </c>
      <c r="AQ672" s="0" t="n">
        <f aca="false">Eadcg/(1+(Eadcg*A672/GBP)^2)</f>
        <v>0.000123537313326544</v>
      </c>
      <c r="AR672" s="0" t="n">
        <f aca="false">-(A672*Eadcg*Eadcg/GBP)/(1+(Eadcg*A672/GBP)^2)</f>
        <v>-0.624999975581651</v>
      </c>
      <c r="AT672" s="0" t="n">
        <f aca="false">-AR672*AH672+AG672*AQ672</f>
        <v>-68.9869009549864</v>
      </c>
      <c r="AU672" s="0" t="n">
        <f aca="false">AQ672*AH672+AG672*AR672</f>
        <v>-2.36657753379852</v>
      </c>
      <c r="AV672" s="0" t="n">
        <f aca="false">ATAN2(AT672,AU672)</f>
        <v>-3.10730136329175</v>
      </c>
      <c r="AW672" s="0" t="n">
        <f aca="false">AG672-AH672*AO672/_Rfb2+AG672*AN672/_Rfb2+AN672-AO672*AR672+AQ672*AN672</f>
        <v>57.2742842748484</v>
      </c>
      <c r="AX672" s="0" t="n">
        <f aca="false">AH672+AH672*AN672/_Rfb2+AG672*AO672/_Rfb2+AO672+AO672*AQ672+AN672*AR672</f>
        <v>-146.511335071663</v>
      </c>
      <c r="AY672" s="0" t="n">
        <f aca="false">ATAN2(AW672,AX672)</f>
        <v>-1.19814152673186</v>
      </c>
      <c r="BA672" s="0" t="n">
        <f aca="false">SQRT(AT672^2+AU672^2)/SQRT(AW672^2+AX672^2)</f>
        <v>0.43880368886917</v>
      </c>
      <c r="BB672" s="0" t="n">
        <f aca="false">20*LOG(BA672)</f>
        <v>-7.15459460240272</v>
      </c>
      <c r="BC672" s="0" t="n">
        <f aca="false">AV672-AY672</f>
        <v>-1.90915983655989</v>
      </c>
      <c r="BD672" s="0" t="n">
        <f aca="false">BC672*180/Pi-180</f>
        <v>-289.38680117576</v>
      </c>
      <c r="BF672" s="0" t="n">
        <f aca="false">20*LOG(BA672*J672*F672*C672)</f>
        <v>-81.9440996334076</v>
      </c>
      <c r="BG672" s="0" t="n">
        <f aca="false">(180/Pi)*(D672+H672+BC672)</f>
        <v>-285.773388528443</v>
      </c>
      <c r="BH672" s="0" t="n">
        <f aca="false">IF(BG672&gt;180,BG672-180,BG672+180)</f>
        <v>-105.773388528443</v>
      </c>
      <c r="BI672" s="0" t="n">
        <f aca="false">IF(BH672&gt;180,BH672-360,BH672)</f>
        <v>-105.773388528443</v>
      </c>
      <c r="BJ672" s="0" t="n">
        <f aca="false">SUM((BF673&lt;0)*(BF672&gt;0))*A672</f>
        <v>0</v>
      </c>
      <c r="BK672" s="0" t="n">
        <f aca="false">IF(BJ672&gt;0,BI672,0)</f>
        <v>0</v>
      </c>
      <c r="BM672" s="0" t="n">
        <f aca="false">20*LOG(J672*F672*C672)</f>
        <v>-74.7895050310049</v>
      </c>
      <c r="BN672" s="0" t="n">
        <f aca="false">(H672+D672)*180/Pi</f>
        <v>-176.386587352682</v>
      </c>
      <c r="BQ672" s="347" t="n">
        <f aca="false">20*LOG(BA672*7)</f>
        <v>9.74736619788241</v>
      </c>
    </row>
    <row r="673" customFormat="false" ht="12.75" hidden="false" customHeight="false" outlineLevel="0" collapsed="false">
      <c r="A673" s="0" t="n">
        <f aca="false">A672+100000</f>
        <v>9700000</v>
      </c>
      <c r="B673" s="0" t="n">
        <f aca="false">A673/1000</f>
        <v>9700</v>
      </c>
      <c r="C673" s="0" t="n">
        <f aca="false">SQRT((A673/Fesr)^2+1)</f>
        <v>1.00185554063643</v>
      </c>
      <c r="D673" s="0" t="n">
        <f aca="false">ATAN(A673/Fesr)</f>
        <v>0.0608716022397809</v>
      </c>
      <c r="F673" s="0" t="n">
        <f aca="false">(Ro/(Ro+Rdcr))/SQRT((A673/(Q*Fo))^2+(1-(A673^2/Fo^2))^2)</f>
        <v>1.97921270822154E-005</v>
      </c>
      <c r="G673" s="0" t="n">
        <f aca="false">-ATAN(A673*Fo/(Q*(Fo^2-A673^2)))</f>
        <v>0.00279128576417078</v>
      </c>
      <c r="H673" s="0" t="n">
        <f aca="false">IF(G673&gt;0,G673-Pi,G673)</f>
        <v>-3.13880136423583</v>
      </c>
      <c r="J673" s="0" t="n">
        <f aca="false">Vin/Vramp</f>
        <v>9</v>
      </c>
      <c r="M673" s="0" t="n">
        <f aca="false">1/(2*Pi*_Rfb1*(Cc1ea_u+Cc2ea_u)*A673)</f>
        <v>0.000607693559655427</v>
      </c>
      <c r="N673" s="0" t="n">
        <f aca="false">-Pi/2</f>
        <v>-1.570796325</v>
      </c>
      <c r="O673" s="0" t="n">
        <f aca="false">SQRT(1+(A673/Fz1_u)^2)</f>
        <v>236.963647167768</v>
      </c>
      <c r="P673" s="0" t="n">
        <f aca="false">ATAN2(Fz1_u,A673)</f>
        <v>1.56657625768252</v>
      </c>
      <c r="Q673" s="0" t="n">
        <f aca="false">SQRT(1+(A673/Fz2_u)^2)</f>
        <v>268885.034420118</v>
      </c>
      <c r="R673" s="0" t="n">
        <f aca="false">ATAN2(Fz2_u,A673)</f>
        <v>1.57079260773332</v>
      </c>
      <c r="S673" s="0" t="n">
        <f aca="false">1/SQRT(1+(A673/Fp1_u)^2)</f>
        <v>0.00139142725809339</v>
      </c>
      <c r="T673" s="0" t="n">
        <f aca="false">-ATAN2(Fp1_u,A673)</f>
        <v>-1.56940489908782</v>
      </c>
      <c r="U673" s="0" t="n">
        <f aca="false">1/SQRT(1+(A673/Fp2_u)^2)</f>
        <v>0.0379534825447208</v>
      </c>
      <c r="V673" s="0" t="n">
        <f aca="false">-ATAN2(Fp2_u,A673)</f>
        <v>-1.53283372654993</v>
      </c>
      <c r="X673" s="0" t="n">
        <f aca="false">20*LOG(C673*J673*O673*Q673*F673*M673*S673*U673)</f>
        <v>-68.756295720787</v>
      </c>
      <c r="Y673" s="0" t="n">
        <f aca="false">(180/Pi)*(D673+H673+N673+P673+R673+T673+V673)</f>
        <v>-264.339570726724</v>
      </c>
      <c r="Z673" s="0" t="n">
        <f aca="false">Y673+180</f>
        <v>-84.3395707267244</v>
      </c>
      <c r="AC673" s="0" t="n">
        <v>1</v>
      </c>
      <c r="AD673" s="0" t="n">
        <f aca="false">Rcea1_u*Cc1ea_u*A673*2*Pi</f>
        <v>236.96153713008</v>
      </c>
      <c r="AE673" s="0" t="n">
        <f aca="false">-Rcea1_u*Cc1ea_u*Cc2ea_u*(A673*2*Pi)^2</f>
        <v>-2.16631057403743</v>
      </c>
      <c r="AF673" s="0" t="n">
        <f aca="false">(Cc2ea_u+Cc1ea_u)*A673*2*Pi</f>
        <v>0.0822783115035</v>
      </c>
      <c r="AG673" s="0" t="n">
        <f aca="false">AC673*AE673/(AE673^2+AF673^2)+AD673*AF673/(AE673^2+AF673^2)</f>
        <v>3.68759510341742</v>
      </c>
      <c r="AH673" s="0" t="n">
        <f aca="false">AD673*AE673/(AE673^2+AF673^2)-AC673*AF673/(AE673^2+AF673^2)</f>
        <v>-109.244782750792</v>
      </c>
      <c r="AJ673" s="0" t="n">
        <f aca="false">_Rfb1</f>
        <v>20000</v>
      </c>
      <c r="AK673" s="0" t="n">
        <f aca="false">_Rfb1*Rcea2_u*Cc3ea_u*A673*2*Pi</f>
        <v>14373716.2851744</v>
      </c>
      <c r="AL673" s="0" t="n">
        <v>48</v>
      </c>
      <c r="AM673" s="0" t="n">
        <f aca="false">(_Rfb1+Rcea2_u)*Cc3ea_u*A673*2*Pi</f>
        <v>268885.034418259</v>
      </c>
      <c r="AN673" s="0" t="n">
        <f aca="false">AJ673*AL673/(AL673^2+AM673^2)+AK673*AM673/(AL673^2+AM673^2)</f>
        <v>53.4567475222848</v>
      </c>
      <c r="AO673" s="0" t="n">
        <f aca="false">AK673*AL673/(AL673^2+AM673^2)-AJ673*AM673/(AL673^2+AM673^2)</f>
        <v>-0.0648384026156365</v>
      </c>
      <c r="AQ673" s="0" t="n">
        <f aca="false">Eadcg/(1+(Eadcg*A673/GBP)^2)</f>
        <v>0.000121003282020389</v>
      </c>
      <c r="AR673" s="0" t="n">
        <f aca="false">-(A673*Eadcg*Eadcg/GBP)/(1+(Eadcg*A673/GBP)^2)</f>
        <v>-0.618556677360026</v>
      </c>
      <c r="AT673" s="0" t="n">
        <f aca="false">-AR673*AH673+AG673*AQ673</f>
        <v>-67.5736436261373</v>
      </c>
      <c r="AU673" s="0" t="n">
        <f aca="false">AQ673*AH673+AG673*AR673</f>
        <v>-2.29420555187543</v>
      </c>
      <c r="AV673" s="0" t="n">
        <f aca="false">ATAN2(AT673,AU673)</f>
        <v>-3.10765450047961</v>
      </c>
      <c r="AW673" s="0" t="n">
        <f aca="false">AG673-AH673*AO673/_Rfb2+AG673*AN673/_Rfb2+AN673-AO673*AR673+AQ673*AN673</f>
        <v>57.1962244531514</v>
      </c>
      <c r="AX673" s="0" t="n">
        <f aca="false">AH673+AH673*AN673/_Rfb2+AG673*AO673/_Rfb2+AO673+AO673*AQ673+AN673*AR673</f>
        <v>-145.003706569261</v>
      </c>
      <c r="AY673" s="0" t="n">
        <f aca="false">ATAN2(AW673,AX673)</f>
        <v>-1.19508647972922</v>
      </c>
      <c r="BA673" s="0" t="n">
        <f aca="false">SQRT(AT673^2+AU673^2)/SQRT(AW673^2+AX673^2)</f>
        <v>0.433757354374909</v>
      </c>
      <c r="BB673" s="0" t="n">
        <f aca="false">20*LOG(BA673)</f>
        <v>-7.25506297313431</v>
      </c>
      <c r="BC673" s="0" t="n">
        <f aca="false">AV673-AY673</f>
        <v>-1.9125680207504</v>
      </c>
      <c r="BD673" s="0" t="n">
        <f aca="false">BC673*180/Pi-180</f>
        <v>-289.582075745903</v>
      </c>
      <c r="BF673" s="0" t="n">
        <f aca="false">20*LOG(BA673*J673*F673*C673)</f>
        <v>-82.2242612809369</v>
      </c>
      <c r="BG673" s="0" t="n">
        <f aca="false">(180/Pi)*(D673+H673+BC673)</f>
        <v>-285.934460947494</v>
      </c>
      <c r="BH673" s="0" t="n">
        <f aca="false">IF(BG673&gt;180,BG673-180,BG673+180)</f>
        <v>-105.934460947494</v>
      </c>
      <c r="BI673" s="0" t="n">
        <f aca="false">IF(BH673&gt;180,BH673-360,BH673)</f>
        <v>-105.934460947494</v>
      </c>
      <c r="BJ673" s="0" t="n">
        <f aca="false">SUM((BF674&lt;0)*(BF673&gt;0))*A673</f>
        <v>0</v>
      </c>
      <c r="BK673" s="0" t="n">
        <f aca="false">IF(BJ673&gt;0,BI673,0)</f>
        <v>0</v>
      </c>
      <c r="BM673" s="0" t="n">
        <f aca="false">20*LOG(J673*F673*C673)</f>
        <v>-74.9691983078026</v>
      </c>
      <c r="BN673" s="0" t="n">
        <f aca="false">(H673+D673)*180/Pi</f>
        <v>-176.352385201592</v>
      </c>
      <c r="BQ673" s="347" t="n">
        <f aca="false">20*LOG(BA673*7)</f>
        <v>9.64689782715082</v>
      </c>
    </row>
    <row r="674" customFormat="false" ht="12.75" hidden="false" customHeight="false" outlineLevel="0" collapsed="false">
      <c r="A674" s="0" t="n">
        <f aca="false">A673+100000</f>
        <v>9800000</v>
      </c>
      <c r="B674" s="0" t="n">
        <f aca="false">A674/1000</f>
        <v>9800</v>
      </c>
      <c r="C674" s="0" t="n">
        <f aca="false">SQRT((A674/Fesr)^2+1)</f>
        <v>1.00189396006666</v>
      </c>
      <c r="D674" s="0" t="n">
        <f aca="false">ATAN(A674/Fesr)</f>
        <v>0.0614975715386316</v>
      </c>
      <c r="F674" s="0" t="n">
        <f aca="false">(Ro/(Ro+Rdcr))/SQRT((A674/(Q*Fo))^2+(1-(A674^2/Fo^2))^2)</f>
        <v>1.9390260624403E-005</v>
      </c>
      <c r="G674" s="0" t="n">
        <f aca="false">-ATAN(A674*Fo/(Q*(Fo^2-A674^2)))</f>
        <v>0.00276280228328764</v>
      </c>
      <c r="H674" s="0" t="n">
        <f aca="false">IF(G674&gt;0,G674-Pi,G674)</f>
        <v>-3.13882984771671</v>
      </c>
      <c r="J674" s="0" t="n">
        <f aca="false">Vin/Vramp</f>
        <v>9</v>
      </c>
      <c r="M674" s="0" t="n">
        <f aca="false">1/(2*Pi*_Rfb1*(Cc1ea_u+Cc2ea_u)*A674)</f>
        <v>0.000601492604965066</v>
      </c>
      <c r="N674" s="0" t="n">
        <f aca="false">-Pi/2</f>
        <v>-1.570796325</v>
      </c>
      <c r="O674" s="0" t="n">
        <f aca="false">SQRT(1+(A674/Fz1_u)^2)</f>
        <v>239.4065280816</v>
      </c>
      <c r="P674" s="0" t="n">
        <f aca="false">ATAN2(Fz1_u,A674)</f>
        <v>1.56661931910877</v>
      </c>
      <c r="Q674" s="0" t="n">
        <f aca="false">SQRT(1+(A674/Fz2_u)^2)</f>
        <v>271657.045084205</v>
      </c>
      <c r="R674" s="0" t="n">
        <f aca="false">ATAN2(Fz2_u,A674)</f>
        <v>1.57079264568293</v>
      </c>
      <c r="S674" s="0" t="n">
        <f aca="false">1/SQRT(1+(A674/Fp1_u)^2)</f>
        <v>0.00137722904783537</v>
      </c>
      <c r="T674" s="0" t="n">
        <f aca="false">-ATAN2(Fp1_u,A674)</f>
        <v>-1.56941909731168</v>
      </c>
      <c r="U674" s="0" t="n">
        <f aca="false">1/SQRT(1+(A674/Fp2_u)^2)</f>
        <v>0.0375667514775629</v>
      </c>
      <c r="V674" s="0" t="n">
        <f aca="false">-ATAN2(Fp2_u,A674)</f>
        <v>-1.53322073362038</v>
      </c>
      <c r="X674" s="0" t="n">
        <f aca="false">20*LOG(C674*J674*O674*Q674*F674*M674*S674*U674)</f>
        <v>-69.0231003325166</v>
      </c>
      <c r="Y674" s="0" t="n">
        <f aca="false">(180/Pi)*(D674+H674+N674+P674+R674+T674+V674)</f>
        <v>-264.325855268766</v>
      </c>
      <c r="Z674" s="0" t="n">
        <f aca="false">Y674+180</f>
        <v>-84.3258552687662</v>
      </c>
      <c r="AC674" s="0" t="n">
        <v>1</v>
      </c>
      <c r="AD674" s="0" t="n">
        <f aca="false">Rcea1_u*Cc1ea_u*A674*2*Pi</f>
        <v>239.40443957472</v>
      </c>
      <c r="AE674" s="0" t="n">
        <f aca="false">-Rcea1_u*Cc1ea_u*Cc2ea_u*(A674*2*Pi)^2</f>
        <v>-2.21120700957121</v>
      </c>
      <c r="AF674" s="0" t="n">
        <f aca="false">(Cc2ea_u+Cc1ea_u)*A674*2*Pi</f>
        <v>0.083126541519</v>
      </c>
      <c r="AG674" s="0" t="n">
        <f aca="false">AC674*AE674/(AE674^2+AF674^2)+AD674*AF674/(AE674^2+AF674^2)</f>
        <v>3.61282769043706</v>
      </c>
      <c r="AH674" s="0" t="n">
        <f aca="false">AD674*AE674/(AE674^2+AF674^2)-AC674*AF674/(AE674^2+AF674^2)</f>
        <v>-108.132850822536</v>
      </c>
      <c r="AJ674" s="0" t="n">
        <f aca="false">_Rfb1</f>
        <v>20000</v>
      </c>
      <c r="AK674" s="0" t="n">
        <f aca="false">_Rfb1*Rcea2_u*Cc3ea_u*A674*2*Pi</f>
        <v>14521898.9272896</v>
      </c>
      <c r="AL674" s="0" t="n">
        <v>49</v>
      </c>
      <c r="AM674" s="0" t="n">
        <f aca="false">(_Rfb1+Rcea2_u)*Cc3ea_u*A674*2*Pi</f>
        <v>271657.045082364</v>
      </c>
      <c r="AN674" s="0" t="n">
        <f aca="false">AJ674*AL674/(AL674^2+AM674^2)+AK674*AM674/(AL674^2+AM674^2)</f>
        <v>53.456747488021</v>
      </c>
      <c r="AO674" s="0" t="n">
        <f aca="false">AK674*AL674/(AL674^2+AM674^2)-AJ674*AM674/(AL674^2+AM674^2)</f>
        <v>-0.0639800059954907</v>
      </c>
      <c r="AQ674" s="0" t="n">
        <f aca="false">Eadcg/(1+(Eadcg*A674/GBP)^2)</f>
        <v>0.000118546426636241</v>
      </c>
      <c r="AR674" s="0" t="n">
        <f aca="false">-(A674*Eadcg*Eadcg/GBP)/(1+(Eadcg*A674/GBP)^2)</f>
        <v>-0.612244875005532</v>
      </c>
      <c r="AT674" s="0" t="n">
        <f aca="false">-AR674*AH674+AG674*AQ674</f>
        <v>-66.2033554480228</v>
      </c>
      <c r="AU674" s="0" t="n">
        <f aca="false">AQ674*AH674+AG674*AR674</f>
        <v>-2.22475400081516</v>
      </c>
      <c r="AV674" s="0" t="n">
        <f aca="false">ATAN2(AT674,AU674)</f>
        <v>-3.10800044226639</v>
      </c>
      <c r="AW674" s="0" t="n">
        <f aca="false">AG674-AH674*AO674/_Rfb2+AG674*AN674/_Rfb2+AN674-AO674*AR674+AQ674*AN674</f>
        <v>57.1205361087835</v>
      </c>
      <c r="AX674" s="0" t="n">
        <f aca="false">AH674+AH674*AN674/_Rfb2+AG674*AO674/_Rfb2+AO674+AO674*AQ674+AN674*AR674</f>
        <v>-143.526755839781</v>
      </c>
      <c r="AY674" s="0" t="n">
        <f aca="false">ATAN2(AW674,AX674)</f>
        <v>-1.19203399767506</v>
      </c>
      <c r="BA674" s="0" t="n">
        <f aca="false">SQRT(AT674^2+AU674^2)/SQRT(AW674^2+AX674^2)</f>
        <v>0.428810516659534</v>
      </c>
      <c r="BB674" s="0" t="n">
        <f aca="false">20*LOG(BA674)</f>
        <v>-7.35469144059697</v>
      </c>
      <c r="BC674" s="0" t="n">
        <f aca="false">AV674-AY674</f>
        <v>-1.91596644459133</v>
      </c>
      <c r="BD674" s="0" t="n">
        <f aca="false">BC674*180/Pi-180</f>
        <v>-289.776791089207</v>
      </c>
      <c r="BF674" s="0" t="n">
        <f aca="false">20*LOG(BA674*J674*F674*C674)</f>
        <v>-82.5017331532004</v>
      </c>
      <c r="BG674" s="0" t="n">
        <f aca="false">(180/Pi)*(D674+H674+BC674)</f>
        <v>-286.094942875071</v>
      </c>
      <c r="BH674" s="0" t="n">
        <f aca="false">IF(BG674&gt;180,BG674-180,BG674+180)</f>
        <v>-106.094942875071</v>
      </c>
      <c r="BI674" s="0" t="n">
        <f aca="false">IF(BH674&gt;180,BH674-360,BH674)</f>
        <v>-106.094942875071</v>
      </c>
      <c r="BJ674" s="0" t="n">
        <f aca="false">SUM((BF675&lt;0)*(BF674&gt;0))*A674</f>
        <v>0</v>
      </c>
      <c r="BK674" s="0" t="n">
        <f aca="false">IF(BJ674&gt;0,BI674,0)</f>
        <v>0</v>
      </c>
      <c r="BM674" s="0" t="n">
        <f aca="false">20*LOG(J674*F674*C674)</f>
        <v>-75.1470417126035</v>
      </c>
      <c r="BN674" s="0" t="n">
        <f aca="false">(H674+D674)*180/Pi</f>
        <v>-176.318151785864</v>
      </c>
      <c r="BQ674" s="347" t="n">
        <f aca="false">20*LOG(BA674*7)</f>
        <v>9.54726935968817</v>
      </c>
    </row>
    <row r="675" customFormat="false" ht="12.75" hidden="false" customHeight="false" outlineLevel="0" collapsed="false">
      <c r="A675" s="0" t="n">
        <f aca="false">A674+100000</f>
        <v>9900000</v>
      </c>
      <c r="B675" s="0" t="n">
        <f aca="false">A675/1000</f>
        <v>9900</v>
      </c>
      <c r="C675" s="0" t="n">
        <f aca="false">SQRT((A675/Fesr)^2+1)</f>
        <v>1.00193277204639</v>
      </c>
      <c r="D675" s="0" t="n">
        <f aca="false">ATAN(A675/Fesr)</f>
        <v>0.062123492586243</v>
      </c>
      <c r="F675" s="0" t="n">
        <f aca="false">(Ro/(Ro+Rdcr))/SQRT((A675/(Q*Fo))^2+(1-(A675^2/Fo^2))^2)</f>
        <v>1.90005105791731E-005</v>
      </c>
      <c r="G675" s="0" t="n">
        <f aca="false">-ATAN(A675*Fo/(Q*(Fo^2-A675^2)))</f>
        <v>0.00273489425530319</v>
      </c>
      <c r="H675" s="0" t="n">
        <f aca="false">IF(G675&gt;0,G675-Pi,G675)</f>
        <v>-3.1388577557447</v>
      </c>
      <c r="J675" s="0" t="n">
        <f aca="false">Vin/Vramp</f>
        <v>9</v>
      </c>
      <c r="M675" s="0" t="n">
        <f aca="false">1/(2*Pi*_Rfb1*(Cc1ea_u+Cc2ea_u)*A675)</f>
        <v>0.000595416922086631</v>
      </c>
      <c r="N675" s="0" t="n">
        <f aca="false">-Pi/2</f>
        <v>-1.570796325</v>
      </c>
      <c r="O675" s="0" t="n">
        <f aca="false">SQRT(1+(A675/Fz1_u)^2)</f>
        <v>241.849409430392</v>
      </c>
      <c r="P675" s="0" t="n">
        <f aca="false">ATAN2(Fz1_u,A675)</f>
        <v>1.56666151062226</v>
      </c>
      <c r="Q675" s="0" t="n">
        <f aca="false">SQRT(1+(A675/Fz2_u)^2)</f>
        <v>274429.055748292</v>
      </c>
      <c r="R675" s="0" t="n">
        <f aca="false">ATAN2(Fz2_u,A675)</f>
        <v>1.57079268286588</v>
      </c>
      <c r="S675" s="0" t="n">
        <f aca="false">1/SQRT(1+(A675/Fp1_u)^2)</f>
        <v>0.00136331766929992</v>
      </c>
      <c r="T675" s="0" t="n">
        <f aca="false">-ATAN2(Fp1_u,A675)</f>
        <v>-1.56943300870328</v>
      </c>
      <c r="U675" s="0" t="n">
        <f aca="false">1/SQRT(1+(A675/Fp2_u)^2)</f>
        <v>0.0371878167860709</v>
      </c>
      <c r="V675" s="0" t="n">
        <f aca="false">-ATAN2(Fp2_u,A675)</f>
        <v>-1.53359993328934</v>
      </c>
      <c r="X675" s="0" t="n">
        <f aca="false">20*LOG(C675*J675*O675*Q675*F675*M675*S675*U675)</f>
        <v>-69.2871919012588</v>
      </c>
      <c r="Y675" s="0" t="n">
        <f aca="false">(180/Pi)*(D675+H675+N675+P675+R675+T675+V675)</f>
        <v>-264.311695725201</v>
      </c>
      <c r="Z675" s="0" t="n">
        <f aca="false">Y675+180</f>
        <v>-84.3116957252011</v>
      </c>
      <c r="AC675" s="0" t="n">
        <v>1</v>
      </c>
      <c r="AD675" s="0" t="n">
        <f aca="false">Rcea1_u*Cc1ea_u*A675*2*Pi</f>
        <v>241.84734201936</v>
      </c>
      <c r="AE675" s="0" t="n">
        <f aca="false">-Rcea1_u*Cc1ea_u*Cc2ea_u*(A675*2*Pi)^2</f>
        <v>-2.25656392136687</v>
      </c>
      <c r="AF675" s="0" t="n">
        <f aca="false">(Cc2ea_u+Cc1ea_u)*A675*2*Pi</f>
        <v>0.0839747715345</v>
      </c>
      <c r="AG675" s="0" t="n">
        <f aca="false">AC675*AE675/(AE675^2+AF675^2)+AD675*AF675/(AE675^2+AF675^2)</f>
        <v>3.5403103163248</v>
      </c>
      <c r="AH675" s="0" t="n">
        <f aca="false">AD675*AE675/(AE675^2+AF675^2)-AC675*AF675/(AE675^2+AF675^2)</f>
        <v>-107.043298433607</v>
      </c>
      <c r="AJ675" s="0" t="n">
        <f aca="false">_Rfb1</f>
        <v>20000</v>
      </c>
      <c r="AK675" s="0" t="n">
        <f aca="false">_Rfb1*Rcea2_u*Cc3ea_u*A675*2*Pi</f>
        <v>14670081.5694048</v>
      </c>
      <c r="AL675" s="0" t="n">
        <v>50</v>
      </c>
      <c r="AM675" s="0" t="n">
        <f aca="false">(_Rfb1+Rcea2_u)*Cc3ea_u*A675*2*Pi</f>
        <v>274429.05574647</v>
      </c>
      <c r="AN675" s="0" t="n">
        <f aca="false">AJ675*AL675/(AL675^2+AM675^2)+AK675*AM675/(AL675^2+AM675^2)</f>
        <v>53.456747451353</v>
      </c>
      <c r="AO675" s="0" t="n">
        <f aca="false">AK675*AL675/(AL675^2+AM675^2)-AJ675*AM675/(AL675^2+AM675^2)</f>
        <v>-0.0631389507218942</v>
      </c>
      <c r="AQ675" s="0" t="n">
        <f aca="false">Eadcg/(1+(Eadcg*A675/GBP)^2)</f>
        <v>0.000116163644757924</v>
      </c>
      <c r="AR675" s="0" t="n">
        <f aca="false">-(A675*Eadcg*Eadcg/GBP)/(1+(Eadcg*A675/GBP)^2)</f>
        <v>-0.606060583795518</v>
      </c>
      <c r="AT675" s="0" t="n">
        <f aca="false">-AR675*AH675+AG675*AQ675</f>
        <v>-64.87431268472</v>
      </c>
      <c r="AU675" s="0" t="n">
        <f aca="false">AQ675*AH675+AG675*AR675</f>
        <v>-2.15807707682206</v>
      </c>
      <c r="AV675" s="0" t="n">
        <f aca="false">ATAN2(AT675,AU675)</f>
        <v>-3.10833940623833</v>
      </c>
      <c r="AW675" s="0" t="n">
        <f aca="false">AG675-AH675*AO675/_Rfb2+AG675*AN675/_Rfb2+AN675-AO675*AR675+AQ675*AN675</f>
        <v>57.0471241617844</v>
      </c>
      <c r="AX675" s="0" t="n">
        <f aca="false">AH675+AH675*AN675/_Rfb2+AG675*AO675/_Rfb2+AO675+AO675*AQ675+AN675*AR675</f>
        <v>-142.079556832948</v>
      </c>
      <c r="AY675" s="0" t="n">
        <f aca="false">ATAN2(AW675,AX675)</f>
        <v>-1.18898428936214</v>
      </c>
      <c r="BA675" s="0" t="n">
        <f aca="false">SQRT(AT675^2+AU675^2)/SQRT(AW675^2+AX675^2)</f>
        <v>0.423960207768116</v>
      </c>
      <c r="BB675" s="0" t="n">
        <f aca="false">20*LOG(BA675)</f>
        <v>-7.45349807369787</v>
      </c>
      <c r="BC675" s="0" t="n">
        <f aca="false">AV675-AY675</f>
        <v>-1.91935511687619</v>
      </c>
      <c r="BD675" s="0" t="n">
        <f aca="false">BC675*180/Pi-180</f>
        <v>-289.970947709505</v>
      </c>
      <c r="BF675" s="0" t="n">
        <f aca="false">20*LOG(BA675*J675*F675*C675)</f>
        <v>-82.7765708146308</v>
      </c>
      <c r="BG675" s="0" t="n">
        <f aca="false">(180/Pi)*(D675+H675+BC675)</f>
        <v>-286.254835873211</v>
      </c>
      <c r="BH675" s="0" t="n">
        <f aca="false">IF(BG675&gt;180,BG675-180,BG675+180)</f>
        <v>-106.254835873211</v>
      </c>
      <c r="BI675" s="0" t="n">
        <f aca="false">IF(BH675&gt;180,BH675-360,BH675)</f>
        <v>-106.254835873211</v>
      </c>
      <c r="BJ675" s="0" t="n">
        <f aca="false">SUM((BF676&lt;0)*(BF675&gt;0))*A675</f>
        <v>0</v>
      </c>
      <c r="BK675" s="0" t="n">
        <f aca="false">IF(BJ675&gt;0,BI675,0)</f>
        <v>0</v>
      </c>
      <c r="BM675" s="0" t="n">
        <f aca="false">20*LOG(J675*F675*C675)</f>
        <v>-75.3230727409329</v>
      </c>
      <c r="BN675" s="0" t="n">
        <f aca="false">(H675+D675)*180/Pi</f>
        <v>-176.283888163706</v>
      </c>
      <c r="BQ675" s="347" t="n">
        <f aca="false">20*LOG(BA675*7)</f>
        <v>9.44846272658726</v>
      </c>
    </row>
    <row r="676" customFormat="false" ht="12.75" hidden="false" customHeight="false" outlineLevel="0" collapsed="false">
      <c r="A676" s="0" t="n">
        <f aca="false">A675+100000</f>
        <v>10000000</v>
      </c>
      <c r="B676" s="0" t="n">
        <f aca="false">A676/1000</f>
        <v>10000</v>
      </c>
      <c r="C676" s="0" t="n">
        <f aca="false">SQRT((A676/Fesr)^2+1)</f>
        <v>1.00197197652999</v>
      </c>
      <c r="D676" s="0" t="n">
        <f aca="false">ATAN(A676/Fesr)</f>
        <v>0.062749364897808</v>
      </c>
      <c r="F676" s="0" t="n">
        <f aca="false">(Ro/(Ro+Rdcr))/SQRT((A676/(Q*Fo))^2+(1-(A676^2/Fo^2))^2)</f>
        <v>1.86223947092876E-005</v>
      </c>
      <c r="G676" s="0" t="n">
        <f aca="false">-ATAN(A676*Fo/(Q*(Fo^2-A676^2)))</f>
        <v>0.00270754441548612</v>
      </c>
      <c r="H676" s="0" t="n">
        <f aca="false">IF(G676&gt;0,G676-Pi,G676)</f>
        <v>-3.13888510558451</v>
      </c>
      <c r="J676" s="0" t="n">
        <f aca="false">Vin/Vramp</f>
        <v>9</v>
      </c>
      <c r="M676" s="0" t="n">
        <f aca="false">1/(2*Pi*_Rfb1*(Cc1ea_u+Cc2ea_u)*A676)</f>
        <v>0.000589462752865764</v>
      </c>
      <c r="N676" s="0" t="n">
        <f aca="false">-Pi/2</f>
        <v>-1.570796325</v>
      </c>
      <c r="O676" s="0" t="n">
        <f aca="false">SQRT(1+(A676/Fz1_u)^2)</f>
        <v>244.292291201096</v>
      </c>
      <c r="P676" s="0" t="n">
        <f aca="false">ATAN2(Fz1_u,A676)</f>
        <v>1.56670285831975</v>
      </c>
      <c r="Q676" s="0" t="n">
        <f aca="false">SQRT(1+(A676/Fz2_u)^2)</f>
        <v>277201.06641238</v>
      </c>
      <c r="R676" s="0" t="n">
        <f aca="false">ATAN2(Fz2_u,A676)</f>
        <v>1.57079271930517</v>
      </c>
      <c r="S676" s="0" t="n">
        <f aca="false">1/SQRT(1+(A676/Fp1_u)^2)</f>
        <v>0.0013496845175672</v>
      </c>
      <c r="T676" s="0" t="n">
        <f aca="false">-ATAN2(Fp1_u,A676)</f>
        <v>-1.56944664186755</v>
      </c>
      <c r="U676" s="0" t="n">
        <f aca="false">1/SQRT(1+(A676/Fp2_u)^2)</f>
        <v>0.036816445222995</v>
      </c>
      <c r="V676" s="0" t="n">
        <f aca="false">-ATAN2(Fp2_u,A676)</f>
        <v>-1.53397155934904</v>
      </c>
      <c r="X676" s="0" t="n">
        <f aca="false">20*LOG(C676*J676*O676*Q676*F676*M676*S676*U676)</f>
        <v>-69.5486248218919</v>
      </c>
      <c r="Y676" s="0" t="n">
        <f aca="false">(180/Pi)*(D676+H676+N676+P676+R676+T676+V676)</f>
        <v>-264.297105504785</v>
      </c>
      <c r="Z676" s="0" t="n">
        <f aca="false">Y676+180</f>
        <v>-84.2971055047854</v>
      </c>
      <c r="AC676" s="0" t="n">
        <v>1</v>
      </c>
      <c r="AD676" s="0" t="n">
        <f aca="false">Rcea1_u*Cc1ea_u*A676*2*Pi</f>
        <v>244.290244464</v>
      </c>
      <c r="AE676" s="0" t="n">
        <f aca="false">-Rcea1_u*Cc1ea_u*Cc2ea_u*(A676*2*Pi)^2</f>
        <v>-2.30238130942442</v>
      </c>
      <c r="AF676" s="0" t="n">
        <f aca="false">(Cc2ea_u+Cc1ea_u)*A676*2*Pi</f>
        <v>0.08482300155</v>
      </c>
      <c r="AG676" s="0" t="n">
        <f aca="false">AC676*AE676/(AE676^2+AF676^2)+AD676*AF676/(AE676^2+AF676^2)</f>
        <v>3.46995363547595</v>
      </c>
      <c r="AH676" s="0" t="n">
        <f aca="false">AD676*AE676/(AE676^2+AF676^2)-AC676*AF676/(AE676^2+AF676^2)</f>
        <v>-105.975457489445</v>
      </c>
      <c r="AJ676" s="0" t="n">
        <f aca="false">_Rfb1</f>
        <v>20000</v>
      </c>
      <c r="AK676" s="0" t="n">
        <f aca="false">_Rfb1*Rcea2_u*Cc3ea_u*A676*2*Pi</f>
        <v>14818264.21152</v>
      </c>
      <c r="AL676" s="0" t="n">
        <v>51</v>
      </c>
      <c r="AM676" s="0" t="n">
        <f aca="false">(_Rfb1+Rcea2_u)*Cc3ea_u*A676*2*Pi</f>
        <v>277201.066410576</v>
      </c>
      <c r="AN676" s="0" t="n">
        <f aca="false">AJ676*AL676/(AL676^2+AM676^2)+AK676*AM676/(AL676^2+AM676^2)</f>
        <v>53.456747412445</v>
      </c>
      <c r="AO676" s="0" t="n">
        <f aca="false">AK676*AL676/(AL676^2+AM676^2)-AJ676*AM676/(AL676^2+AM676^2)</f>
        <v>-0.0623147165544464</v>
      </c>
      <c r="AQ676" s="0" t="n">
        <f aca="false">Eadcg/(1+(Eadcg*A676/GBP)^2)</f>
        <v>0.000113851988310476</v>
      </c>
      <c r="AR676" s="0" t="n">
        <f aca="false">-(A676*Eadcg*Eadcg/GBP)/(1+(Eadcg*A676/GBP)^2)</f>
        <v>-0.599999978396207</v>
      </c>
      <c r="AT676" s="0" t="n">
        <f aca="false">-AR676*AH676+AG676*AQ676</f>
        <v>-63.5848771430743</v>
      </c>
      <c r="AU676" s="0" t="n">
        <f aca="false">AQ676*AH676+AG676*AR676</f>
        <v>-2.0940376228687</v>
      </c>
      <c r="AV676" s="0" t="n">
        <f aca="false">ATAN2(AT676,AU676)</f>
        <v>-3.10867160130068</v>
      </c>
      <c r="AW676" s="0" t="n">
        <f aca="false">AG676-AH676*AO676/_Rfb2+AG676*AN676/_Rfb2+AN676-AO676*AR676+AQ676*AN676</f>
        <v>56.9758982483092</v>
      </c>
      <c r="AX676" s="0" t="n">
        <f aca="false">AH676+AH676*AN676/_Rfb2+AG676*AO676/_Rfb2+AO676+AO676*AQ676+AN676*AR676</f>
        <v>-140.661220364701</v>
      </c>
      <c r="AY676" s="0" t="n">
        <f aca="false">ATAN2(AW676,AX676)</f>
        <v>-1.18593755607626</v>
      </c>
      <c r="BA676" s="0" t="n">
        <f aca="false">SQRT(AT676^2+AU676^2)/SQRT(AW676^2+AX676^2)</f>
        <v>0.4192035784171</v>
      </c>
      <c r="BB676" s="0" t="n">
        <f aca="false">20*LOG(BA676)</f>
        <v>-7.55150037544044</v>
      </c>
      <c r="BC676" s="0" t="n">
        <f aca="false">AV676-AY676</f>
        <v>-1.92273404522441</v>
      </c>
      <c r="BD676" s="0" t="n">
        <f aca="false">BC676*180/Pi-180</f>
        <v>-290.164546043356</v>
      </c>
      <c r="BF676" s="0" t="n">
        <f aca="false">20*LOG(BA676*J676*F676*C676)</f>
        <v>-83.0488281331609</v>
      </c>
      <c r="BG676" s="0" t="n">
        <f aca="false">(180/Pi)*(D676+H676+BC676)</f>
        <v>-286.414141395448</v>
      </c>
      <c r="BH676" s="0" t="n">
        <f aca="false">IF(BG676&gt;180,BG676-180,BG676+180)</f>
        <v>-106.414141395448</v>
      </c>
      <c r="BI676" s="0" t="n">
        <f aca="false">IF(BH676&gt;180,BH676-360,BH676)</f>
        <v>-106.414141395448</v>
      </c>
      <c r="BJ676" s="0" t="n">
        <f aca="false">SUM((BF677&lt;0)*(BF676&gt;0))*A676</f>
        <v>0</v>
      </c>
      <c r="BK676" s="0" t="n">
        <f aca="false">IF(BJ676&gt;0,BI676,0)</f>
        <v>0</v>
      </c>
      <c r="BM676" s="0" t="n">
        <f aca="false">20*LOG(J676*F676*C676)</f>
        <v>-75.4973277577205</v>
      </c>
      <c r="BN676" s="0" t="n">
        <f aca="false">(H676+D676)*180/Pi</f>
        <v>-176.249595352092</v>
      </c>
      <c r="BQ676" s="347" t="n">
        <f aca="false">20*LOG(BA676*7)</f>
        <v>9.3504604248447</v>
      </c>
    </row>
    <row r="677" customFormat="false" ht="12.75" hidden="false" customHeight="false" outlineLevel="0" collapsed="false">
      <c r="BD677" s="0" t="n">
        <f aca="false">BC677*180/Pi-180</f>
        <v>-180</v>
      </c>
    </row>
    <row r="678" customFormat="false" ht="12.75" hidden="false" customHeight="false" outlineLevel="0" collapsed="false">
      <c r="BD678" s="0" t="n">
        <f aca="false">BC678*180/Pi-180</f>
        <v>-180</v>
      </c>
    </row>
    <row r="679" customFormat="false" ht="12.75" hidden="false" customHeight="false" outlineLevel="0" collapsed="false">
      <c r="C679" s="344" t="s">
        <v>508</v>
      </c>
      <c r="D679" s="344"/>
      <c r="E679" s="344"/>
      <c r="F679" s="344"/>
      <c r="G679" s="344"/>
      <c r="H679" s="344"/>
      <c r="J679" s="338" t="s">
        <v>509</v>
      </c>
      <c r="M679" s="338" t="s">
        <v>510</v>
      </c>
      <c r="N679" s="343"/>
      <c r="O679" s="343"/>
      <c r="P679" s="343"/>
      <c r="Q679" s="343"/>
      <c r="R679" s="343"/>
      <c r="S679" s="343"/>
      <c r="T679" s="343"/>
      <c r="U679" s="343"/>
      <c r="V679" s="343"/>
      <c r="X679" s="338" t="s">
        <v>511</v>
      </c>
      <c r="Y679" s="343"/>
      <c r="Z679" s="343"/>
      <c r="AD679" s="343"/>
      <c r="AE679" s="343"/>
      <c r="AF679" s="343"/>
      <c r="AG679" s="343"/>
      <c r="AH679" s="343"/>
      <c r="AJ679" s="338" t="s">
        <v>513</v>
      </c>
      <c r="AK679" s="343"/>
      <c r="AL679" s="343"/>
      <c r="AM679" s="343"/>
      <c r="AN679" s="343"/>
      <c r="AO679" s="343"/>
      <c r="AQ679" s="338" t="s">
        <v>545</v>
      </c>
      <c r="AR679" s="343"/>
      <c r="AT679" s="338" t="s">
        <v>515</v>
      </c>
      <c r="AU679" s="343"/>
      <c r="AV679" s="343"/>
      <c r="AW679" s="343"/>
      <c r="AX679" s="343"/>
      <c r="AY679" s="343"/>
      <c r="BA679" s="338" t="s">
        <v>516</v>
      </c>
      <c r="BB679" s="343"/>
      <c r="BC679" s="343"/>
      <c r="BF679" s="338" t="s">
        <v>546</v>
      </c>
      <c r="BG679" s="343"/>
      <c r="BH679" s="343"/>
      <c r="BJ679" s="0" t="s">
        <v>518</v>
      </c>
      <c r="BK679" s="308" t="n">
        <f aca="false">SUM(BK683:BK1300)</f>
        <v>0</v>
      </c>
    </row>
    <row r="680" customFormat="false" ht="12.75" hidden="false" customHeight="false" outlineLevel="0" collapsed="false">
      <c r="C680" s="244" t="s">
        <v>520</v>
      </c>
      <c r="D680" s="244"/>
      <c r="E680" s="244"/>
      <c r="F680" s="244" t="s">
        <v>521</v>
      </c>
      <c r="G680" s="244"/>
      <c r="H680" s="244"/>
      <c r="M680" s="244" t="s">
        <v>522</v>
      </c>
      <c r="N680" s="244"/>
      <c r="O680" s="244" t="s">
        <v>336</v>
      </c>
      <c r="P680" s="244"/>
      <c r="Q680" s="244" t="s">
        <v>338</v>
      </c>
      <c r="R680" s="244"/>
      <c r="S680" s="244" t="s">
        <v>339</v>
      </c>
      <c r="T680" s="244"/>
      <c r="U680" s="244" t="s">
        <v>341</v>
      </c>
      <c r="V680" s="244"/>
      <c r="AD680" s="244"/>
      <c r="AE680" s="244" t="s">
        <v>524</v>
      </c>
      <c r="AF680" s="244"/>
      <c r="AG680" s="244" t="s">
        <v>525</v>
      </c>
      <c r="AH680" s="244"/>
      <c r="AJ680" s="244" t="s">
        <v>523</v>
      </c>
      <c r="AK680" s="244"/>
      <c r="AL680" s="244" t="s">
        <v>524</v>
      </c>
      <c r="AM680" s="244"/>
      <c r="AN680" s="244" t="s">
        <v>525</v>
      </c>
      <c r="AO680" s="244"/>
      <c r="AQ680" s="244" t="s">
        <v>526</v>
      </c>
      <c r="AR680" s="244"/>
      <c r="AT680" s="244" t="s">
        <v>523</v>
      </c>
      <c r="AU680" s="244"/>
      <c r="AV680" s="244"/>
      <c r="AW680" s="244" t="s">
        <v>524</v>
      </c>
      <c r="AX680" s="244"/>
      <c r="AY680" s="244"/>
    </row>
    <row r="681" customFormat="false" ht="12.75" hidden="false" customHeight="false" outlineLevel="0" collapsed="false">
      <c r="A681" s="244" t="s">
        <v>527</v>
      </c>
      <c r="B681" s="244"/>
      <c r="C681" s="244" t="s">
        <v>528</v>
      </c>
      <c r="D681" s="244" t="s">
        <v>529</v>
      </c>
      <c r="E681" s="244"/>
      <c r="F681" s="244" t="s">
        <v>528</v>
      </c>
      <c r="G681" s="244"/>
      <c r="H681" s="244" t="s">
        <v>529</v>
      </c>
      <c r="J681" s="244" t="s">
        <v>528</v>
      </c>
      <c r="M681" s="244" t="s">
        <v>528</v>
      </c>
      <c r="N681" s="244" t="s">
        <v>529</v>
      </c>
      <c r="O681" s="244" t="s">
        <v>528</v>
      </c>
      <c r="P681" s="244" t="s">
        <v>529</v>
      </c>
      <c r="Q681" s="244" t="s">
        <v>528</v>
      </c>
      <c r="R681" s="244" t="s">
        <v>529</v>
      </c>
      <c r="S681" s="244" t="s">
        <v>528</v>
      </c>
      <c r="T681" s="244" t="s">
        <v>529</v>
      </c>
      <c r="U681" s="244" t="s">
        <v>528</v>
      </c>
      <c r="V681" s="244" t="s">
        <v>529</v>
      </c>
      <c r="X681" s="244" t="s">
        <v>530</v>
      </c>
      <c r="Y681" s="244" t="s">
        <v>531</v>
      </c>
      <c r="Z681" s="244" t="s">
        <v>532</v>
      </c>
      <c r="AC681" s="244" t="s">
        <v>533</v>
      </c>
      <c r="AD681" s="244" t="s">
        <v>534</v>
      </c>
      <c r="AE681" s="244" t="s">
        <v>533</v>
      </c>
      <c r="AF681" s="244" t="s">
        <v>534</v>
      </c>
      <c r="AG681" s="244" t="s">
        <v>535</v>
      </c>
      <c r="AH681" s="244" t="s">
        <v>536</v>
      </c>
      <c r="AJ681" s="244" t="s">
        <v>533</v>
      </c>
      <c r="AK681" s="244" t="s">
        <v>534</v>
      </c>
      <c r="AL681" s="244" t="s">
        <v>533</v>
      </c>
      <c r="AM681" s="244" t="s">
        <v>534</v>
      </c>
      <c r="AN681" s="244" t="s">
        <v>537</v>
      </c>
      <c r="AO681" s="244" t="s">
        <v>538</v>
      </c>
      <c r="AQ681" s="244" t="s">
        <v>533</v>
      </c>
      <c r="AR681" s="244" t="s">
        <v>534</v>
      </c>
      <c r="AT681" s="244" t="s">
        <v>533</v>
      </c>
      <c r="AU681" s="244" t="s">
        <v>534</v>
      </c>
      <c r="AV681" s="244" t="s">
        <v>529</v>
      </c>
      <c r="AW681" s="244" t="s">
        <v>533</v>
      </c>
      <c r="AX681" s="244" t="s">
        <v>534</v>
      </c>
      <c r="AY681" s="244" t="s">
        <v>529</v>
      </c>
      <c r="BA681" s="244" t="s">
        <v>547</v>
      </c>
      <c r="BB681" s="244" t="s">
        <v>548</v>
      </c>
      <c r="BC681" s="244" t="s">
        <v>549</v>
      </c>
      <c r="BF681" s="244" t="s">
        <v>530</v>
      </c>
      <c r="BG681" s="244" t="s">
        <v>531</v>
      </c>
      <c r="BH681" s="244" t="s">
        <v>542</v>
      </c>
    </row>
    <row r="682" customFormat="false" ht="12.75" hidden="false" customHeight="false" outlineLevel="0" collapsed="false">
      <c r="A682" s="0" t="n">
        <f aca="false">Fesr</f>
        <v>159154943.273756</v>
      </c>
      <c r="B682" s="0" t="n">
        <f aca="false">A682/1000</f>
        <v>159154.943273756</v>
      </c>
      <c r="C682" s="0" t="n">
        <f aca="false">SQRT((A682/Fesr)^2+1)</f>
        <v>1.4142135623731</v>
      </c>
      <c r="D682" s="0" t="n">
        <f aca="false">ATAN(A682/Fesr)</f>
        <v>0.785398163397448</v>
      </c>
      <c r="F682" s="0" t="n">
        <f aca="false">(Ro/(Ro+Rdcr))/SQRT((A682/(Q*Fo))^2+(1-(A682^2/Fo^2))^2)</f>
        <v>7.35171616334539E-008</v>
      </c>
      <c r="G682" s="0" t="n">
        <f aca="false">-ATAN(A682*Fo/(Q*(Fo^2-A682^2)))</f>
        <v>0.000170117267078919</v>
      </c>
      <c r="H682" s="0" t="n">
        <f aca="false">IF(G682&gt;0,G682-Pi,G682)</f>
        <v>-3.14142253273292</v>
      </c>
      <c r="J682" s="0" t="n">
        <f aca="false">Vin/Vramp</f>
        <v>9</v>
      </c>
      <c r="M682" s="0" t="n">
        <f aca="false">1/(2*Pi*_Rfb1*(Cc1ea_u+Cc2ea_u)*A682)</f>
        <v>3.7037037037037E-005</v>
      </c>
      <c r="N682" s="0" t="n">
        <f aca="false">-Pi/2</f>
        <v>-1.570796325</v>
      </c>
      <c r="O682" s="0" t="n">
        <f aca="false">SQRT(1+(A682/Fz1_u)^2)</f>
        <v>3888.00012860082</v>
      </c>
      <c r="P682" s="0" t="n">
        <f aca="false">ATAN(A682/Fz1_u)</f>
        <v>1.57053912515448</v>
      </c>
      <c r="Q682" s="0" t="n">
        <f aca="false">SQRT(1+(A682/Fz2_u)^2)</f>
        <v>4411792.00000011</v>
      </c>
      <c r="R682" s="0" t="n">
        <f aca="false">ATAN(A682/Fz2_u)</f>
        <v>1.57079610012963</v>
      </c>
      <c r="S682" s="0" t="n">
        <f aca="false">1/SQRT(1+(A682/Fp1_u)^2)</f>
        <v>8.48032561401122E-005</v>
      </c>
      <c r="T682" s="0" t="n">
        <f aca="false">-ATAN(A682/Fp1_u)</f>
        <v>-1.57071152353865</v>
      </c>
      <c r="U682" s="0" t="n">
        <f aca="false">1/SQRT(1+(A682/Fp2_u)^2)</f>
        <v>0.00231480861302536</v>
      </c>
      <c r="V682" s="0" t="n">
        <f aca="false">-ATAN(A682/Fp2_u)</f>
        <v>-1.56848151611461</v>
      </c>
      <c r="X682" s="0" t="n">
        <f aca="false">20*LOG(C682*J682*O682*Q682*F682*M682*S682*U682)</f>
        <v>-138.658972170107</v>
      </c>
      <c r="Y682" s="0" t="n">
        <f aca="false">(180/Pi)*(D682+H682+N682+P682+R682+T682+V682)</f>
        <v>-224.867514751422</v>
      </c>
      <c r="Z682" s="0" t="n">
        <f aca="false">Y682+180</f>
        <v>-44.8675147514218</v>
      </c>
      <c r="AC682" s="0" t="n">
        <v>1</v>
      </c>
      <c r="AD682" s="0" t="n">
        <f aca="false">Rcea1_u*Cc1ea_u*A682*2*Pi</f>
        <v>3888</v>
      </c>
      <c r="AE682" s="0" t="n">
        <f aca="false">-Rcea1_u*Cc1ea_u*Cc2ea_u*(A682*2*Pi)^2</f>
        <v>-583.2</v>
      </c>
      <c r="AF682" s="0" t="n">
        <f aca="false">(Cc2ea_u+Cc1ea_u)*A682*2*Pi</f>
        <v>1.35</v>
      </c>
      <c r="AG682" s="0" t="n">
        <f aca="false">AC682*AE682/(AE682^2+AF682^2)+AD682*AF682/(AE682^2+AF682^2)</f>
        <v>0.0137173476222371</v>
      </c>
      <c r="AH682" s="0" t="n">
        <f aca="false">AD682*AE682/(AE682^2+AF682^2)-AC682*AF682/(AE682^2+AF682^2)</f>
        <v>-6.66663491354717</v>
      </c>
      <c r="AJ682" s="0" t="n">
        <f aca="false">_Rfb1</f>
        <v>20000</v>
      </c>
      <c r="AK682" s="0" t="n">
        <f aca="false">_Rfb1*Rcea2_u*Cc3ea_u*A682*2*Pi</f>
        <v>235840000</v>
      </c>
      <c r="AL682" s="0" t="n">
        <v>1</v>
      </c>
      <c r="AM682" s="0" t="n">
        <f aca="false">(_Rfb1+Rcea2_u)*Cc3ea_u*A682*2*Pi</f>
        <v>4411792</v>
      </c>
      <c r="AN682" s="0" t="n">
        <f aca="false">AJ682*AL682/(AL682^2+AM682^2)+AK682*AM682/(AL682^2+AM682^2)</f>
        <v>53.4567359486851</v>
      </c>
      <c r="AO682" s="0" t="n">
        <f aca="false">AK682*AL682/(AL682^2+AM682^2)-AJ682*AM682/(AL682^2+AM682^2)</f>
        <v>-0.00452118850209877</v>
      </c>
      <c r="AQ682" s="0" t="n">
        <f aca="false">Eadcg/(1+(Eadcg*A682/GBP)^2)</f>
        <v>4.49469649053408E-007</v>
      </c>
      <c r="AR682" s="0" t="n">
        <f aca="false">-(A682*Eadcg*Eadcg/GBP)/(1+(Eadcg*A682/GBP)^2)</f>
        <v>-0.0376991117946412</v>
      </c>
      <c r="AT682" s="0" t="n">
        <f aca="false">-AR682*AH682+AG682*AQ682</f>
        <v>-0.251326208734341</v>
      </c>
      <c r="AU682" s="0" t="n">
        <f aca="false">AQ682*AH682+AG682*AR682</f>
        <v>-0.000520128271591631</v>
      </c>
      <c r="AV682" s="0" t="n">
        <f aca="false">IF(AT682&lt;0,ATAN(AU682/AT682)+Pi,ATAN(AU682/AT682))</f>
        <v>3.14366218159262</v>
      </c>
      <c r="AW682" s="0" t="n">
        <f aca="false">AG682-AH682*AO682/_Rfb2+AG682*AN682/_Rfb2+AN682-AO682*AR682+AQ682*AN682</f>
        <v>53.4706232932794</v>
      </c>
      <c r="AX682" s="0" t="n">
        <f aca="false">AH682+AH682*AN682/_Rfb2+AG682*AO682/_Rfb2+AO682+AO682*AQ682+AN682*AR682</f>
        <v>-8.84679704070382</v>
      </c>
      <c r="AY682" s="0" t="n">
        <f aca="false">IF(AW682&lt;0,ATAN(AX682/AW682)+Pi,ATAN(AX682/AW682))</f>
        <v>-0.16396616085998</v>
      </c>
      <c r="BA682" s="0" t="n">
        <f aca="false">SQRT(AT682^2+AU682^2)/SQRT(AW682^2+AX682^2)</f>
        <v>0.00463723529906953</v>
      </c>
      <c r="BB682" s="0" t="n">
        <f aca="false">20*LOG(BA682)</f>
        <v>-46.6748173380906</v>
      </c>
      <c r="BC682" s="0" t="n">
        <f aca="false">AV682-AY682</f>
        <v>3.3076283424526</v>
      </c>
      <c r="BD682" s="0" t="n">
        <f aca="false">BC682*180/Pi</f>
        <v>189.513144436936</v>
      </c>
      <c r="BF682" s="0" t="n">
        <f aca="false">20*LOG(BA682*J682*F682*C682)</f>
        <v>-167.251892565344</v>
      </c>
      <c r="BG682" s="0" t="n">
        <f aca="false">(180/Pi)*(D682+H682+BC682)</f>
        <v>54.5228914897934</v>
      </c>
      <c r="BH682" s="0" t="n">
        <f aca="false">IF(BG682&gt;180,BG682-180,BG682+180)</f>
        <v>234.522891489793</v>
      </c>
      <c r="BI682" s="0" t="n">
        <f aca="false">IF(BH682&gt;180,BH682-360,BH682)</f>
        <v>-125.477108510207</v>
      </c>
    </row>
    <row r="683" customFormat="false" ht="12.75" hidden="false" customHeight="false" outlineLevel="0" collapsed="false">
      <c r="A683" s="0" t="n">
        <f aca="false">Fo+1</f>
        <v>43319.4745001039</v>
      </c>
      <c r="B683" s="0" t="n">
        <f aca="false">A683/1000</f>
        <v>43.319474500104</v>
      </c>
      <c r="C683" s="0" t="n">
        <f aca="false">SQRT((A683/Fesr)^2+1)</f>
        <v>1.00000003704214</v>
      </c>
      <c r="D683" s="0" t="n">
        <f aca="false">ATAN(A683/Fesr)</f>
        <v>0.000272184278661252</v>
      </c>
      <c r="F683" s="0" t="n">
        <f aca="false">(Ro/(Ro+Rdcr))/SQRT((A683/(Q*Fo))^2+(1-(A683^2/Fo^2))^2)</f>
        <v>1.58773232794744</v>
      </c>
      <c r="G683" s="0" t="n">
        <f aca="false">-ATAN(A683*Fo/(Q*(Fo^2-A683^2)))</f>
        <v>1.57072245877104</v>
      </c>
      <c r="H683" s="0" t="n">
        <f aca="false">IF(G683&gt;0,G683-Pi,G683)</f>
        <v>-1.57087019122897</v>
      </c>
      <c r="J683" s="0" t="n">
        <f aca="false">Vin/Vramp</f>
        <v>9</v>
      </c>
      <c r="M683" s="0" t="n">
        <f aca="false">1/(2*Pi*_Rfb1*(Cc1ea_u+Cc2ea_u)*A683)</f>
        <v>0.136073384930916</v>
      </c>
      <c r="N683" s="0" t="n">
        <f aca="false">-Pi/2</f>
        <v>-1.570796325</v>
      </c>
      <c r="O683" s="0" t="n">
        <f aca="false">SQRT(1+(A683/Fz1_u)^2)</f>
        <v>1.45598707311413</v>
      </c>
      <c r="P683" s="0" t="n">
        <f aca="false">ATAN(A683/Fz1_u)</f>
        <v>0.813692532334322</v>
      </c>
      <c r="Q683" s="0" t="n">
        <f aca="false">SQRT(1+(A683/Fz2_u)^2)</f>
        <v>1200.82086915937</v>
      </c>
      <c r="R683" s="0" t="n">
        <f aca="false">ATAN(A683/Fz2_u)</f>
        <v>1.56996356302366</v>
      </c>
      <c r="S683" s="0" t="n">
        <f aca="false">1/SQRT(1+(A683/Fp1_u)^2)</f>
        <v>0.297462138559732</v>
      </c>
      <c r="T683" s="0" t="n">
        <f aca="false">-ATAN(A683/Fp1_u)</f>
        <v>-1.26876296558492</v>
      </c>
      <c r="U683" s="0" t="n">
        <f aca="false">1/SQRT(1+(A683/Fp2_u)^2)</f>
        <v>0.993157914516065</v>
      </c>
      <c r="V683" s="0" t="n">
        <f aca="false">-ATAN(A683/Fp2_u)</f>
        <v>-0.117046162746013</v>
      </c>
      <c r="X683" s="0" t="n">
        <f aca="false">20*LOG(C683*J683*O683*Q683*F683*M683*S683*U683)</f>
        <v>60.0375750257472</v>
      </c>
      <c r="Y683" s="0" t="n">
        <f aca="false">(180/Pi)*(D683+H683+N683+P683+R683+T683+V683)</f>
        <v>-122.816217336829</v>
      </c>
      <c r="Z683" s="0" t="n">
        <f aca="false">Y683+180</f>
        <v>57.1837826631706</v>
      </c>
      <c r="AC683" s="0" t="n">
        <v>1</v>
      </c>
      <c r="AD683" s="0" t="n">
        <f aca="false">Rcea1_u*Cc1ea_u*A683*2*Pi</f>
        <v>1.05825250156824</v>
      </c>
      <c r="AE683" s="0" t="n">
        <f aca="false">-Rcea1_u*Cc1ea_u*Cc2ea_u*(A683*2*Pi)^2</f>
        <v>-4.32059551340833E-005</v>
      </c>
      <c r="AF683" s="0" t="n">
        <f aca="false">(Cc2ea_u+Cc1ea_u)*A683*2*Pi</f>
        <v>0.00036744878526675</v>
      </c>
      <c r="AG683" s="0" t="n">
        <f aca="false">AC683*AE683/(AE683^2+AF683^2)+AD683*AF683/(AE683^2+AF683^2)</f>
        <v>2525.0883665047</v>
      </c>
      <c r="AH683" s="0" t="n">
        <f aca="false">AD683*AE683/(AE683^2+AF683^2)-AC683*AF683/(AE683^2+AF683^2)</f>
        <v>-3018.37670756659</v>
      </c>
      <c r="AJ683" s="0" t="n">
        <f aca="false">_Rfb1</f>
        <v>20000</v>
      </c>
      <c r="AK683" s="0" t="n">
        <f aca="false">_Rfb1*Rcea2_u*Cc3ea_u*A683*2*Pi</f>
        <v>64191.9418646744</v>
      </c>
      <c r="AL683" s="0" t="n">
        <v>1</v>
      </c>
      <c r="AM683" s="0" t="n">
        <f aca="false">(_Rfb1+Rcea2_u)*Cc3ea_u*A683*2*Pi</f>
        <v>1200.82045277746</v>
      </c>
      <c r="AN683" s="0" t="n">
        <f aca="false">AJ683*AL683/(AL683^2+AM683^2)+AK683*AM683/(AL683^2+AM683^2)</f>
        <v>53.4705687824306</v>
      </c>
      <c r="AO683" s="0" t="n">
        <f aca="false">AK683*AL683/(AL683^2+AM683^2)-AJ683*AM683/(AL683^2+AM683^2)</f>
        <v>-16.6107509120801</v>
      </c>
      <c r="AQ683" s="0" t="n">
        <f aca="false">Eadcg/(1+(Eadcg*A683/GBP)^2)</f>
        <v>6.05538531409422</v>
      </c>
      <c r="AR683" s="0" t="n">
        <f aca="false">-(A683*Eadcg*Eadcg/GBP)/(1+(Eadcg*A683/GBP)^2)</f>
        <v>-138.240589813064</v>
      </c>
      <c r="AT683" s="0" t="n">
        <f aca="false">-AR683*AH683+AG683*AQ683</f>
        <v>-401971.793320697</v>
      </c>
      <c r="AU683" s="0" t="n">
        <f aca="false">AQ683*AH683+AG683*AR683</f>
        <v>-367347.139103119</v>
      </c>
      <c r="AV683" s="0" t="n">
        <f aca="false">IF(AT683&lt;0,ATAN(AU683/AT683)+Pi,ATAN(AU683/AT683))</f>
        <v>3.88201427332951</v>
      </c>
      <c r="AW683" s="0" t="n">
        <f aca="false">AG683-AH683*AO683/_Rfb2+AG683*AN683/_Rfb2+AN683-AO683*AR683+AQ683*AN683</f>
        <v>644.2600122953</v>
      </c>
      <c r="AX683" s="0" t="n">
        <f aca="false">AH683+AH683*AN683/_Rfb2+AG683*AO683/_Rfb2+AO683+AO683*AQ683+AN683*AR683</f>
        <v>-10618.8769916891</v>
      </c>
      <c r="AY683" s="0" t="n">
        <f aca="false">IF(AW683&lt;0,ATAN(AX683/AW683)+Pi,ATAN(AX683/AW683))</f>
        <v>-1.51019940602183</v>
      </c>
      <c r="BA683" s="0" t="n">
        <f aca="false">SQRT(AT683^2+AU683^2)/SQRT(AW683^2+AX683^2)</f>
        <v>51.186377484997</v>
      </c>
      <c r="BB683" s="0" t="n">
        <f aca="false">20*LOG(BA683)</f>
        <v>34.1830879030014</v>
      </c>
      <c r="BC683" s="0" t="n">
        <f aca="false">AV683-AY683</f>
        <v>5.39221367935134</v>
      </c>
      <c r="BD683" s="0" t="n">
        <f aca="false">BC683*180/Pi</f>
        <v>308.951086412569</v>
      </c>
      <c r="BF683" s="0" t="n">
        <f aca="false">20*LOG(BA683*J683*F683*C683)</f>
        <v>57.2834841651032</v>
      </c>
      <c r="BG683" s="0" t="n">
        <f aca="false">(180/Pi)*(D683+H683+BC683)</f>
        <v>218.96244919983</v>
      </c>
      <c r="BH683" s="0" t="n">
        <f aca="false">IF(BG683&gt;180,BG683-180,BG683+180)</f>
        <v>38.9624491998304</v>
      </c>
      <c r="BI683" s="0" t="n">
        <f aca="false">IF(BH683&gt;180,BH683-360,BH683)</f>
        <v>38.9624491998304</v>
      </c>
    </row>
    <row r="684" customFormat="false" ht="12.75" hidden="false" customHeight="false" outlineLevel="0" collapsed="false">
      <c r="A684" s="0" t="n">
        <f aca="false">Fz1_u</f>
        <v>40934.9133934559</v>
      </c>
      <c r="B684" s="0" t="n">
        <f aca="false">A684/1000</f>
        <v>40.9349133934559</v>
      </c>
      <c r="C684" s="0" t="n">
        <f aca="false">SQRT((A684/Fesr)^2+1)</f>
        <v>1.00000003307634</v>
      </c>
      <c r="D684" s="0" t="n">
        <f aca="false">ATAN(A684/Fesr)</f>
        <v>0.000257201640419009</v>
      </c>
      <c r="F684" s="0" t="n">
        <f aca="false">(Ro/(Ro+Rdcr))/SQRT((A684/(Q*Fo))^2+(1-(A684^2/Fo^2))^2)</f>
        <v>1.65330000396374</v>
      </c>
      <c r="G684" s="0" t="n">
        <f aca="false">-ATAN(A684*Fo/(Q*(Fo^2-A684^2)))</f>
        <v>-1.39154408223883</v>
      </c>
      <c r="H684" s="0" t="n">
        <f aca="false">IF(G684&gt;0,G684-Pi,G684)</f>
        <v>-1.39154408223883</v>
      </c>
      <c r="J684" s="0" t="n">
        <f aca="false">Vin/Vramp</f>
        <v>9</v>
      </c>
      <c r="M684" s="0" t="n">
        <f aca="false">1/(2*Pi*_Rfb1*(Cc1ea_u+Cc2ea_u)*A684)</f>
        <v>0.144</v>
      </c>
      <c r="N684" s="0" t="n">
        <f aca="false">-Pi/2</f>
        <v>-1.570796325</v>
      </c>
      <c r="O684" s="0" t="n">
        <f aca="false">SQRT(1+(A684/Fz1_u)^2)</f>
        <v>1.4142135623731</v>
      </c>
      <c r="P684" s="0" t="n">
        <f aca="false">ATAN(A684/Fz1_u)</f>
        <v>0.785398163397448</v>
      </c>
      <c r="Q684" s="0" t="n">
        <f aca="false">SQRT(1+(A684/Fz2_u)^2)</f>
        <v>1134.72060524624</v>
      </c>
      <c r="R684" s="0" t="n">
        <f aca="false">ATAN(A684/Fz2_u)</f>
        <v>1.56991505247519</v>
      </c>
      <c r="S684" s="0" t="n">
        <f aca="false">1/SQRT(1+(A684/Fp1_u)^2)</f>
        <v>0.313133410021399</v>
      </c>
      <c r="T684" s="0" t="n">
        <f aca="false">-ATAN(A684/Fp1_u)</f>
        <v>-1.25230574454992</v>
      </c>
      <c r="U684" s="0" t="n">
        <f aca="false">1/SQRT(1+(A684/Fp2_u)^2)</f>
        <v>0.993883734673619</v>
      </c>
      <c r="V684" s="0" t="n">
        <f aca="false">-ATAN(A684/Fp2_u)</f>
        <v>-0.110657221173896</v>
      </c>
      <c r="X684" s="0" t="n">
        <f aca="false">20*LOG(C684*J684*O684*Q684*F684*M684*S684*U684)</f>
        <v>60.5885122497237</v>
      </c>
      <c r="Y684" s="0" t="n">
        <f aca="false">(180/Pi)*(D684+H684+N684+P684+R684+T684+V684)</f>
        <v>-112.85738524405</v>
      </c>
      <c r="Z684" s="0" t="n">
        <f aca="false">Y684+180</f>
        <v>67.1426147559498</v>
      </c>
      <c r="AC684" s="0" t="n">
        <v>1</v>
      </c>
      <c r="AD684" s="0" t="n">
        <f aca="false">Rcea1_u*Cc1ea_u*A684*2*Pi</f>
        <v>1</v>
      </c>
      <c r="AE684" s="0" t="n">
        <f aca="false">-Rcea1_u*Cc1ea_u*Cc2ea_u*(A684*2*Pi)^2</f>
        <v>-3.85802469135802E-005</v>
      </c>
      <c r="AF684" s="0" t="n">
        <f aca="false">(Cc2ea_u+Cc1ea_u)*A684*2*Pi</f>
        <v>0.000347222222222222</v>
      </c>
      <c r="AG684" s="0" t="n">
        <f aca="false">AC684*AE684/(AE684^2+AF684^2)+AD684*AF684/(AE684^2+AF684^2)</f>
        <v>2528.78048780488</v>
      </c>
      <c r="AH684" s="0" t="n">
        <f aca="false">AD684*AE684/(AE684^2+AF684^2)-AC684*AF684/(AE684^2+AF684^2)</f>
        <v>-3160.9756097561</v>
      </c>
      <c r="AJ684" s="0" t="n">
        <f aca="false">_Rfb1</f>
        <v>20000</v>
      </c>
      <c r="AK684" s="0" t="n">
        <f aca="false">_Rfb1*Rcea2_u*Cc3ea_u*A684*2*Pi</f>
        <v>60658.4362139918</v>
      </c>
      <c r="AL684" s="0" t="n">
        <v>1</v>
      </c>
      <c r="AM684" s="0" t="n">
        <f aca="false">(_Rfb1+Rcea2_u)*Cc3ea_u*A684*2*Pi</f>
        <v>1134.72016460905</v>
      </c>
      <c r="AN684" s="0" t="n">
        <f aca="false">AJ684*AL684/(AL684^2+AM684^2)+AK684*AM684/(AL684^2+AM684^2)</f>
        <v>53.4722273153051</v>
      </c>
      <c r="AO684" s="0" t="n">
        <f aca="false">AK684*AL684/(AL684^2+AM684^2)-AJ684*AM684/(AL684^2+AM684^2)</f>
        <v>-17.5783672440129</v>
      </c>
      <c r="AQ684" s="0" t="n">
        <f aca="false">Eadcg/(1+(Eadcg*A684/GBP)^2)</f>
        <v>6.77985933278355</v>
      </c>
      <c r="AR684" s="0" t="n">
        <f aca="false">-(A684*Eadcg*Eadcg/GBP)/(1+(Eadcg*A684/GBP)^2)</f>
        <v>-146.259867078051</v>
      </c>
      <c r="AT684" s="0" t="n">
        <f aca="false">-AR684*AH684+AG684*AQ684</f>
        <v>-445179.096529084</v>
      </c>
      <c r="AU684" s="0" t="n">
        <f aca="false">AQ684*AH684+AG684*AR684</f>
        <v>-391290.068004418</v>
      </c>
      <c r="AV684" s="0" t="n">
        <f aca="false">IF(AT684&lt;0,ATAN(AU684/AT684)+Pi,ATAN(AU684/AT684))</f>
        <v>3.86265531798328</v>
      </c>
      <c r="AW684" s="0" t="n">
        <f aca="false">AG684-AH684*AO684/_Rfb2+AG684*AN684/_Rfb2+AN684-AO684*AR684+AQ684*AN684</f>
        <v>409.621868700619</v>
      </c>
      <c r="AX684" s="0" t="n">
        <f aca="false">AH684+AH684*AN684/_Rfb2+AG684*AO684/_Rfb2+AO684+AO684*AQ684+AN684*AR684</f>
        <v>-11214.6380010151</v>
      </c>
      <c r="AY684" s="0" t="n">
        <f aca="false">IF(AW684&lt;0,ATAN(AX684/AW684)+Pi,ATAN(AX684/AW684))</f>
        <v>-1.53428691361491</v>
      </c>
      <c r="BA684" s="0" t="n">
        <f aca="false">SQRT(AT684^2+AU684^2)/SQRT(AW684^2+AX684^2)</f>
        <v>52.8152786970637</v>
      </c>
      <c r="BB684" s="0" t="n">
        <f aca="false">20*LOG(BA684)</f>
        <v>34.4551915165711</v>
      </c>
      <c r="BC684" s="0" t="n">
        <f aca="false">AV684-AY684</f>
        <v>5.39694223159819</v>
      </c>
      <c r="BD684" s="0" t="n">
        <f aca="false">BC684*180/Pi</f>
        <v>309.22201249983</v>
      </c>
      <c r="BF684" s="0" t="n">
        <f aca="false">20*LOG(BA684*J684*F684*C684)</f>
        <v>57.9070753283819</v>
      </c>
      <c r="BG684" s="0" t="n">
        <f aca="false">(180/Pi)*(D684+H684+BC684)</f>
        <v>229.507146058532</v>
      </c>
      <c r="BH684" s="0" t="n">
        <f aca="false">IF(BG684&gt;180,BG684-180,BG684+180)</f>
        <v>49.5071460585317</v>
      </c>
      <c r="BI684" s="0" t="n">
        <f aca="false">IF(BH684&gt;180,BH684-360,BH684)</f>
        <v>49.5071460585317</v>
      </c>
    </row>
    <row r="685" customFormat="false" ht="12.75" hidden="false" customHeight="false" outlineLevel="0" collapsed="false">
      <c r="A685" s="0" t="n">
        <f aca="false">Fz2_u</f>
        <v>36.0748972920202</v>
      </c>
      <c r="B685" s="0" t="n">
        <f aca="false">A685/1000</f>
        <v>0.0360748972920202</v>
      </c>
      <c r="C685" s="0" t="n">
        <f aca="false">SQRT((A685/Fesr)^2+1)</f>
        <v>1.00000000000003</v>
      </c>
      <c r="D685" s="0" t="n">
        <f aca="false">ATAN(A685/Fesr)</f>
        <v>2.26665264364227E-007</v>
      </c>
      <c r="F685" s="0" t="n">
        <f aca="false">(Ro/(Ro+Rdcr))/SQRT((A685/(Q*Fo))^2+(1-(A685^2/Fo^2))^2)</f>
        <v>0.992391198417753</v>
      </c>
      <c r="G685" s="0" t="n">
        <f aca="false">-ATAN(A685*Fo/(Q*(Fo^2-A685^2)))</f>
        <v>-0.000520508179177801</v>
      </c>
      <c r="H685" s="0" t="n">
        <f aca="false">IF(G685&gt;0,G685-Pi,G685)</f>
        <v>-0.000520508179177801</v>
      </c>
      <c r="J685" s="0" t="n">
        <f aca="false">Vin/Vramp</f>
        <v>9</v>
      </c>
      <c r="M685" s="0" t="n">
        <f aca="false">1/(2*Pi*_Rfb1*(Cc1ea_u+Cc2ea_u)*A685)</f>
        <v>163.399703703704</v>
      </c>
      <c r="N685" s="0" t="n">
        <f aca="false">-Pi/2</f>
        <v>-1.570796325</v>
      </c>
      <c r="O685" s="0" t="n">
        <f aca="false">SQRT(1+(A685/Fz1_u)^2)</f>
        <v>1.00000038832234</v>
      </c>
      <c r="P685" s="0" t="n">
        <f aca="false">ATAN(A685/Fz1_u)</f>
        <v>0.000881274319702464</v>
      </c>
      <c r="Q685" s="0" t="n">
        <f aca="false">SQRT(1+(A685/Fz2_u)^2)</f>
        <v>1.4142135623731</v>
      </c>
      <c r="R685" s="0" t="n">
        <f aca="false">ATAN(A685/Fz2_u)</f>
        <v>0.785398163397448</v>
      </c>
      <c r="S685" s="0" t="n">
        <f aca="false">1/SQRT(1+(A685/Fp1_u)^2)</f>
        <v>0.999996427990866</v>
      </c>
      <c r="T685" s="0" t="n">
        <f aca="false">-ATAN(A685/Fp1_u)</f>
        <v>-0.00267283043244456</v>
      </c>
      <c r="U685" s="0" t="n">
        <f aca="false">1/SQRT(1+(A685/Fp2_u)^2)</f>
        <v>0.999999995205896</v>
      </c>
      <c r="V685" s="0" t="n">
        <f aca="false">-ATAN(A685/Fp2_u)</f>
        <v>-9.79193938923907E-005</v>
      </c>
      <c r="X685" s="0" t="n">
        <f aca="false">20*LOG(C685*J685*O685*Q685*F685*M685*S685*U685)</f>
        <v>66.2938058208272</v>
      </c>
      <c r="Y685" s="0" t="n">
        <f aca="false">(180/Pi)*(D685+H685+N685+P685+R685+T685+V685)</f>
        <v>-45.1380688556672</v>
      </c>
      <c r="Z685" s="0" t="n">
        <f aca="false">Y685+180</f>
        <v>134.861931144333</v>
      </c>
      <c r="AC685" s="0" t="n">
        <v>1</v>
      </c>
      <c r="AD685" s="0" t="n">
        <f aca="false">Rcea1_u*Cc1ea_u*A685*2*Pi</f>
        <v>0.000881274547848131</v>
      </c>
      <c r="AE685" s="0" t="n">
        <f aca="false">-Rcea1_u*Cc1ea_u*Cc2ea_u*(A685*2*Pi)^2</f>
        <v>-2.99631492548197E-011</v>
      </c>
      <c r="AF685" s="0" t="n">
        <f aca="false">(Cc2ea_u+Cc1ea_u)*A685*2*Pi</f>
        <v>3.05998106891712E-007</v>
      </c>
      <c r="AG685" s="0" t="n">
        <f aca="false">AC685*AE685/(AE685^2+AF685^2)+AD685*AF685/(AE685^2+AF685^2)</f>
        <v>2559.99997545419</v>
      </c>
      <c r="AH685" s="0" t="n">
        <f aca="false">AD685*AE685/(AE685^2+AF685^2)-AC685*AF685/(AE685^2+AF685^2)</f>
        <v>-3267994.32474772</v>
      </c>
      <c r="AJ685" s="0" t="n">
        <f aca="false">_Rfb1</f>
        <v>20000</v>
      </c>
      <c r="AK685" s="0" t="n">
        <f aca="false">_Rfb1*Rcea2_u*Cc3ea_u*A685*2*Pi</f>
        <v>53.4567359476603</v>
      </c>
      <c r="AL685" s="0" t="n">
        <v>1</v>
      </c>
      <c r="AM685" s="0" t="n">
        <f aca="false">(_Rfb1+Rcea2_u)*Cc3ea_u*A685*2*Pi</f>
        <v>1</v>
      </c>
      <c r="AN685" s="0" t="n">
        <f aca="false">AJ685*AL685/(AL685^2+AM685^2)+AK685*AM685/(AL685^2+AM685^2)</f>
        <v>10026.7283679738</v>
      </c>
      <c r="AO685" s="0" t="n">
        <f aca="false">AK685*AL685/(AL685^2+AM685^2)-AJ685*AM685/(AL685^2+AM685^2)</f>
        <v>-9973.27163202617</v>
      </c>
      <c r="AQ685" s="0" t="n">
        <f aca="false">Eadcg/(1+(Eadcg*A685/GBP)^2)</f>
        <v>3160.85755221152</v>
      </c>
      <c r="AR685" s="0" t="n">
        <f aca="false">-(A685*Eadcg*Eadcg/GBP)/(1+(Eadcg*A685/GBP)^2)</f>
        <v>-60.0925512872385</v>
      </c>
      <c r="AT685" s="0" t="n">
        <f aca="false">-AR685*AH685+AG685*AQ685</f>
        <v>-188290321.310231</v>
      </c>
      <c r="AU685" s="0" t="n">
        <f aca="false">AQ685*AH685+AG685*AR685</f>
        <v>-10329818378.8931</v>
      </c>
      <c r="AV685" s="0" t="n">
        <f aca="false">IF(AT685&lt;0,ATAN(AU685/AT685)+Pi,ATAN(AU685/AT685))</f>
        <v>4.69416315082804</v>
      </c>
      <c r="AW685" s="0" t="n">
        <f aca="false">AG685-AH685*AO685/_Rfb2+AG685*AN685/_Rfb2+AN685-AO685*AR685+AQ685*AN685</f>
        <v>16451210.4764641</v>
      </c>
      <c r="AX685" s="0" t="n">
        <f aca="false">AH685+AH685*AN685/_Rfb2+AG685*AO685/_Rfb2+AO685+AO685*AQ685+AN685*AR685</f>
        <v>-50161360.5832787</v>
      </c>
      <c r="AY685" s="0" t="n">
        <f aca="false">IF(AW685&lt;0,ATAN(AX685/AW685)+Pi,ATAN(AX685/AW685))</f>
        <v>-1.25388431097049</v>
      </c>
      <c r="BA685" s="0" t="n">
        <f aca="false">SQRT(AT685^2+AU685^2)/SQRT(AW685^2+AX685^2)</f>
        <v>195.709350828841</v>
      </c>
      <c r="BB685" s="0" t="n">
        <f aca="false">20*LOG(BA685)</f>
        <v>45.8322315276055</v>
      </c>
      <c r="BC685" s="0" t="n">
        <f aca="false">AV685-AY685</f>
        <v>5.94804746179854</v>
      </c>
      <c r="BD685" s="0" t="n">
        <f aca="false">BC685*180/Pi</f>
        <v>340.798016293976</v>
      </c>
      <c r="BF685" s="0" t="n">
        <f aca="false">20*LOG(BA685*J685*F685*C685)</f>
        <v>64.8507397930157</v>
      </c>
      <c r="BG685" s="0" t="n">
        <f aca="false">(180/Pi)*(D685+H685+BC685)</f>
        <v>340.768206359036</v>
      </c>
      <c r="BH685" s="0" t="n">
        <f aca="false">IF(BG685&gt;180,BG685-180,BG685+180)</f>
        <v>160.768206359036</v>
      </c>
      <c r="BI685" s="0" t="n">
        <f aca="false">IF(BH685&gt;180,BH685-360,BH685)</f>
        <v>160.768206359036</v>
      </c>
    </row>
    <row r="686" customFormat="false" ht="12.75" hidden="false" customHeight="false" outlineLevel="0" collapsed="false">
      <c r="A686" s="0" t="n">
        <f aca="false">Fp1_u</f>
        <v>13496.8574689413</v>
      </c>
      <c r="B686" s="0" t="n">
        <f aca="false">A686/1000</f>
        <v>13.4968574689413</v>
      </c>
      <c r="C686" s="0" t="n">
        <f aca="false">SQRT((A686/Fesr)^2+1)</f>
        <v>1.0000000035958</v>
      </c>
      <c r="D686" s="0" t="n">
        <f aca="false">ATAN(A686/Fesr)</f>
        <v>8.48032562417573E-005</v>
      </c>
      <c r="F686" s="0" t="n">
        <f aca="false">(Ro/(Ro+Rdcr))/SQRT((A686/(Q*Fo))^2+(1-(A686^2/Fo^2))^2)</f>
        <v>1.07438305961021</v>
      </c>
      <c r="G686" s="0" t="n">
        <f aca="false">-ATAN(A686*Fo/(Q*(Fo^2-A686^2)))</f>
        <v>-0.212423439037719</v>
      </c>
      <c r="H686" s="0" t="n">
        <f aca="false">IF(G686&gt;0,G686-Pi,G686)</f>
        <v>-0.212423439037719</v>
      </c>
      <c r="J686" s="0" t="n">
        <f aca="false">Vin/Vramp</f>
        <v>9</v>
      </c>
      <c r="M686" s="0" t="n">
        <f aca="false">1/(2*Pi*_Rfb1*(Cc1ea_u+Cc2ea_u)*A686)</f>
        <v>0.436740740740741</v>
      </c>
      <c r="N686" s="0" t="n">
        <f aca="false">-Pi/2</f>
        <v>-1.570796325</v>
      </c>
      <c r="O686" s="0" t="n">
        <f aca="false">SQRT(1+(A686/Fz1_u)^2)</f>
        <v>1.05295395031725</v>
      </c>
      <c r="P686" s="0" t="n">
        <f aca="false">ATAN(A686/Fz1_u)</f>
        <v>0.318490582244972</v>
      </c>
      <c r="Q686" s="0" t="n">
        <f aca="false">SQRT(1+(A686/Fz2_u)^2)</f>
        <v>374.135664774221</v>
      </c>
      <c r="R686" s="0" t="n">
        <f aca="false">ATAN(A686/Fz2_u)</f>
        <v>1.56812349636245</v>
      </c>
      <c r="S686" s="0" t="n">
        <f aca="false">1/SQRT(1+(A686/Fp1_u)^2)</f>
        <v>0.707106781186547</v>
      </c>
      <c r="T686" s="0" t="n">
        <f aca="false">-ATAN(A686/Fp1_u)</f>
        <v>-0.785398163397448</v>
      </c>
      <c r="U686" s="0" t="n">
        <f aca="false">1/SQRT(1+(A686/Fp2_u)^2)</f>
        <v>0.999329612870389</v>
      </c>
      <c r="V686" s="0" t="n">
        <f aca="false">-ATAN(A686/Fp2_u)</f>
        <v>-0.0366186303991655</v>
      </c>
      <c r="X686" s="0" t="n">
        <f aca="false">20*LOG(C686*J686*O686*Q686*F686*M686*S686*U686)</f>
        <v>61.405152325938</v>
      </c>
      <c r="Y686" s="0" t="n">
        <f aca="false">(180/Pi)*(D686+H686+N686+P686+R686+T686+V686)</f>
        <v>-41.1691763013005</v>
      </c>
      <c r="Z686" s="0" t="n">
        <f aca="false">Y686+180</f>
        <v>138.830823698699</v>
      </c>
      <c r="AC686" s="0" t="n">
        <v>1</v>
      </c>
      <c r="AD686" s="0" t="n">
        <f aca="false">Rcea1_u*Cc1ea_u*A686*2*Pi</f>
        <v>0.329715061058345</v>
      </c>
      <c r="AE686" s="0" t="n">
        <f aca="false">-Rcea1_u*Cc1ea_u*Cc2ea_u*(A686*2*Pi)^2</f>
        <v>-4.19413663150879E-006</v>
      </c>
      <c r="AF686" s="0" t="n">
        <f aca="false">(Cc2ea_u+Cc1ea_u)*A686*2*Pi</f>
        <v>0.000114484396200814</v>
      </c>
      <c r="AG686" s="0" t="n">
        <f aca="false">AC686*AE686/(AE686^2+AF686^2)+AD686*AF686/(AE686^2+AF686^2)</f>
        <v>2556.56876840878</v>
      </c>
      <c r="AH686" s="0" t="n">
        <f aca="false">AD686*AE686/(AE686^2+AF686^2)-AC686*AF686/(AE686^2+AF686^2)</f>
        <v>-8828.4747289899</v>
      </c>
      <c r="AJ686" s="0" t="n">
        <f aca="false">_Rfb1</f>
        <v>20000</v>
      </c>
      <c r="AK686" s="0" t="n">
        <f aca="false">_Rfb1*Rcea2_u*Cc3ea_u*A686*2*Pi</f>
        <v>20000</v>
      </c>
      <c r="AL686" s="0" t="n">
        <v>1</v>
      </c>
      <c r="AM686" s="0" t="n">
        <f aca="false">(_Rfb1+Rcea2_u)*Cc3ea_u*A686*2*Pi</f>
        <v>374.134328358209</v>
      </c>
      <c r="AN686" s="0" t="n">
        <f aca="false">AJ686*AL686/(AL686^2+AM686^2)+AK686*AM686/(AL686^2+AM686^2)</f>
        <v>53.5992341626095</v>
      </c>
      <c r="AO686" s="0" t="n">
        <f aca="false">AK686*AL686/(AL686^2+AM686^2)-AJ686*AM686/(AL686^2+AM686^2)</f>
        <v>-53.3134739422789</v>
      </c>
      <c r="AQ686" s="0" t="n">
        <f aca="false">Eadcg/(1+(Eadcg*A686/GBP)^2)</f>
        <v>61.2879207070673</v>
      </c>
      <c r="AR686" s="0" t="n">
        <f aca="false">-(A686*Eadcg*Eadcg/GBP)/(1+(Eadcg*A686/GBP)^2)</f>
        <v>-435.931412095012</v>
      </c>
      <c r="AT686" s="0" t="n">
        <f aca="false">-AR686*AH686+AG686*AQ686</f>
        <v>-3691922.67129329</v>
      </c>
      <c r="AU686" s="0" t="n">
        <f aca="false">AQ686*AH686+AG686*AR686</f>
        <v>-1655567.49248513</v>
      </c>
      <c r="AV686" s="0" t="n">
        <f aca="false">IF(AT686&lt;0,ATAN(AU686/AT686)+Pi,ATAN(AU686/AT686))</f>
        <v>3.56313988234818</v>
      </c>
      <c r="AW686" s="0" t="n">
        <f aca="false">AG686-AH686*AO686/_Rfb2+AG686*AN686/_Rfb2+AN686-AO686*AR686+AQ686*AN686</f>
        <v>-17496.0053016638</v>
      </c>
      <c r="AX686" s="0" t="n">
        <f aca="false">AH686+AH686*AN686/_Rfb2+AG686*AO686/_Rfb2+AO686+AO686*AQ686+AN686*AR686</f>
        <v>-35789.1245732637</v>
      </c>
      <c r="AY686" s="0" t="n">
        <f aca="false">IF(AW686&lt;0,ATAN(AX686/AW686)+Pi,ATAN(AX686/AW686))</f>
        <v>4.25768999944597</v>
      </c>
      <c r="BA686" s="0" t="n">
        <f aca="false">SQRT(AT686^2+AU686^2)/SQRT(AW686^2+AX686^2)</f>
        <v>101.567703037418</v>
      </c>
      <c r="BB686" s="0" t="n">
        <f aca="false">20*LOG(BA686)</f>
        <v>40.1351126190991</v>
      </c>
      <c r="BC686" s="0" t="n">
        <f aca="false">AV686-AY686</f>
        <v>-0.694550117097788</v>
      </c>
      <c r="BD686" s="0" t="n">
        <f aca="false">BC686*180/Pi</f>
        <v>-39.7947904154926</v>
      </c>
      <c r="BF686" s="0" t="n">
        <f aca="false">20*LOG(BA686*J686*F686*C686)</f>
        <v>59.8431458782025</v>
      </c>
      <c r="BG686" s="0" t="n">
        <f aca="false">(180/Pi)*(D686+H686+BC686)</f>
        <v>-51.9608980872386</v>
      </c>
      <c r="BH686" s="0" t="n">
        <f aca="false">IF(BG686&gt;180,BG686-180,BG686+180)</f>
        <v>128.039101912761</v>
      </c>
      <c r="BI686" s="0" t="n">
        <f aca="false">IF(BH686&gt;180,BH686-360,BH686)</f>
        <v>128.039101912761</v>
      </c>
    </row>
    <row r="687" customFormat="false" ht="12.75" hidden="false" customHeight="false" outlineLevel="0" collapsed="false">
      <c r="A687" s="0" t="n">
        <f aca="false">Fp2_u</f>
        <v>368414.220541103</v>
      </c>
      <c r="B687" s="0" t="n">
        <f aca="false">A687/1000</f>
        <v>368.414220541103</v>
      </c>
      <c r="C687" s="0" t="n">
        <f aca="false">SQRT((A687/Fesr)^2+1)</f>
        <v>1.00000267918022</v>
      </c>
      <c r="D687" s="0" t="n">
        <f aca="false">ATAN(A687/Fesr)</f>
        <v>0.00231481068028518</v>
      </c>
      <c r="F687" s="0" t="n">
        <f aca="false">(Ro/(Ro+Rdcr))/SQRT((A687/(Q*Fo))^2+(1-(A687^2/Fo^2))^2)</f>
        <v>0.0138739385141387</v>
      </c>
      <c r="G687" s="0" t="n">
        <f aca="false">-ATAN(A687*Fo/(Q*(Fo^2-A687^2)))</f>
        <v>0.0743834368119733</v>
      </c>
      <c r="H687" s="0" t="n">
        <f aca="false">IF(G687&gt;0,G687-Pi,G687)</f>
        <v>-3.06720921318803</v>
      </c>
      <c r="J687" s="0" t="n">
        <f aca="false">Vin/Vramp</f>
        <v>9</v>
      </c>
      <c r="M687" s="0" t="n">
        <f aca="false">1/(2*Pi*_Rfb1*(Cc1ea_u+Cc2ea_u)*A687)</f>
        <v>0.016</v>
      </c>
      <c r="N687" s="0" t="n">
        <f aca="false">-Pi/2</f>
        <v>-1.570796325</v>
      </c>
      <c r="O687" s="0" t="n">
        <f aca="false">SQRT(1+(A687/Fz1_u)^2)</f>
        <v>9.05538513813742</v>
      </c>
      <c r="P687" s="0" t="n">
        <f aca="false">ATAN(A687/Fz1_u)</f>
        <v>1.460139105621</v>
      </c>
      <c r="Q687" s="0" t="n">
        <f aca="false">SQRT(1+(A687/Fz2_u)^2)</f>
        <v>10212.4815304412</v>
      </c>
      <c r="R687" s="0" t="n">
        <f aca="false">ATAN(A687/Fz2_u)</f>
        <v>1.570698407401</v>
      </c>
      <c r="S687" s="0" t="n">
        <f aca="false">1/SQRT(1+(A687/Fp1_u)^2)</f>
        <v>0.0366104471472191</v>
      </c>
      <c r="T687" s="0" t="n">
        <f aca="false">-ATAN(A687/Fp1_u)</f>
        <v>-1.53417769639573</v>
      </c>
      <c r="U687" s="0" t="n">
        <f aca="false">1/SQRT(1+(A687/Fp2_u)^2)</f>
        <v>0.707106781186547</v>
      </c>
      <c r="V687" s="0" t="n">
        <f aca="false">-ATAN(A687/Fp2_u)</f>
        <v>-0.785398163397448</v>
      </c>
      <c r="X687" s="0" t="n">
        <f aca="false">20*LOG(C687*J687*O687*Q687*F687*M687*S687*U687)</f>
        <v>13.5938333366285</v>
      </c>
      <c r="Y687" s="0" t="n">
        <f aca="false">(180/Pi)*(D687+H687+N687+P687+R687+T687+V687)</f>
        <v>-224.853223211547</v>
      </c>
      <c r="Z687" s="0" t="n">
        <f aca="false">Y687+180</f>
        <v>-44.8532232115468</v>
      </c>
      <c r="AC687" s="0" t="n">
        <v>1</v>
      </c>
      <c r="AD687" s="0" t="n">
        <f aca="false">Rcea1_u*Cc1ea_u*A687*2*Pi</f>
        <v>9</v>
      </c>
      <c r="AE687" s="0" t="n">
        <f aca="false">-Rcea1_u*Cc1ea_u*Cc2ea_u*(A687*2*Pi)^2</f>
        <v>-0.003125</v>
      </c>
      <c r="AF687" s="0" t="n">
        <f aca="false">(Cc2ea_u+Cc1ea_u)*A687*2*Pi</f>
        <v>0.003125</v>
      </c>
      <c r="AG687" s="0" t="n">
        <f aca="false">AC687*AE687/(AE687^2+AF687^2)+AD687*AF687/(AE687^2+AF687^2)</f>
        <v>1280</v>
      </c>
      <c r="AH687" s="0" t="n">
        <f aca="false">AD687*AE687/(AE687^2+AF687^2)-AC687*AF687/(AE687^2+AF687^2)</f>
        <v>-1600</v>
      </c>
      <c r="AJ687" s="0" t="n">
        <f aca="false">_Rfb1</f>
        <v>20000</v>
      </c>
      <c r="AK687" s="0" t="n">
        <f aca="false">_Rfb1*Rcea2_u*Cc3ea_u*A687*2*Pi</f>
        <v>545925.925925926</v>
      </c>
      <c r="AL687" s="0" t="n">
        <v>1</v>
      </c>
      <c r="AM687" s="0" t="n">
        <f aca="false">(_Rfb1+Rcea2_u)*Cc3ea_u*A687*2*Pi</f>
        <v>10212.4814814815</v>
      </c>
      <c r="AN687" s="0" t="n">
        <f aca="false">AJ687*AL687/(AL687^2+AM687^2)+AK687*AM687/(AL687^2+AM687^2)</f>
        <v>53.4569271992594</v>
      </c>
      <c r="AO687" s="0" t="n">
        <f aca="false">AK687*AL687/(AL687^2+AM687^2)-AJ687*AM687/(AL687^2+AM687^2)</f>
        <v>-1.95315341417953</v>
      </c>
      <c r="AQ687" s="0" t="n">
        <f aca="false">Eadcg/(1+(Eadcg*A687/GBP)^2)</f>
        <v>0.0838795986312399</v>
      </c>
      <c r="AR687" s="0" t="n">
        <f aca="false">-(A687*Eadcg*Eadcg/GBP)/(1+(Eadcg*A687/GBP)^2)</f>
        <v>-16.2855842721382</v>
      </c>
      <c r="AT687" s="0" t="n">
        <f aca="false">-AR687*AH687+AG687*AQ687</f>
        <v>-25949.5689491731</v>
      </c>
      <c r="AU687" s="0" t="n">
        <f aca="false">AQ687*AH687+AG687*AR687</f>
        <v>-20979.7552261468</v>
      </c>
      <c r="AV687" s="0" t="n">
        <f aca="false">IF(AT687&lt;0,ATAN(AU687/AT687)+Pi,ATAN(AU687/AT687))</f>
        <v>3.8214840894682</v>
      </c>
      <c r="AW687" s="0" t="n">
        <f aca="false">AG687-AH687*AO687/_Rfb2+AG687*AN687/_Rfb2+AN687-AO687*AR687+AQ687*AN687</f>
        <v>1335.51754788232</v>
      </c>
      <c r="AX687" s="0" t="n">
        <f aca="false">AH687+AH687*AN687/_Rfb2+AG687*AO687/_Rfb2+AO687+AO687*AQ687+AN687*AR687</f>
        <v>-2512.30827992175</v>
      </c>
      <c r="AY687" s="0" t="n">
        <f aca="false">IF(AW687&lt;0,ATAN(AX687/AW687)+Pi,ATAN(AX687/AW687))</f>
        <v>-1.08219737678451</v>
      </c>
      <c r="BA687" s="0" t="n">
        <f aca="false">SQRT(AT687^2+AU687^2)/SQRT(AW687^2+AX687^2)</f>
        <v>11.7282857076426</v>
      </c>
      <c r="BB687" s="0" t="n">
        <f aca="false">20*LOG(BA687)</f>
        <v>21.3846907416799</v>
      </c>
      <c r="BC687" s="0" t="n">
        <f aca="false">AV687-AY687</f>
        <v>4.90368146625271</v>
      </c>
      <c r="BD687" s="0" t="n">
        <f aca="false">BC687*180/Pi</f>
        <v>280.960252413848</v>
      </c>
      <c r="BF687" s="0" t="n">
        <f aca="false">20*LOG(BA687*J687*F687*C687)</f>
        <v>3.31355951114162</v>
      </c>
      <c r="BG687" s="0" t="n">
        <f aca="false">(180/Pi)*(D687+H687+BC687)</f>
        <v>105.354738296225</v>
      </c>
      <c r="BH687" s="0" t="n">
        <f aca="false">IF(BG687&gt;180,BG687-180,BG687+180)</f>
        <v>285.354738296225</v>
      </c>
      <c r="BI687" s="0" t="n">
        <f aca="false">IF(BH687&gt;180,BH687-360,BH687)</f>
        <v>-74.6452617037748</v>
      </c>
    </row>
    <row r="688" customFormat="false" ht="12.75" hidden="false" customHeight="false" outlineLevel="0" collapsed="false">
      <c r="A688" s="0" t="n">
        <f aca="false">'Bode Plots Calculations'!BK5*1000</f>
        <v>415000</v>
      </c>
      <c r="B688" s="0" t="n">
        <f aca="false">A688/1000</f>
        <v>415</v>
      </c>
      <c r="C688" s="0" t="n">
        <f aca="false">SQRT((A688/Fesr)^2+1)</f>
        <v>1.00000339957945</v>
      </c>
      <c r="D688" s="0" t="n">
        <f aca="false">ATAN(A688/Fesr)</f>
        <v>0.00260751598986215</v>
      </c>
      <c r="F688" s="0" t="n">
        <f aca="false">(Ro/(Ro+Rdcr))/SQRT((A688/(Q*Fo))^2+(1-(A688^2/Fo^2))^2)</f>
        <v>0.0109080706835826</v>
      </c>
      <c r="G688" s="0" t="n">
        <f aca="false">-ATAN(A688*Fo/(Q*(Fo^2-A688^2)))</f>
        <v>0.0658642300212569</v>
      </c>
      <c r="H688" s="0" t="n">
        <f aca="false">IF(G688&gt;0,G688-Pi,G688)</f>
        <v>-3.07572841997874</v>
      </c>
      <c r="J688" s="0" t="n">
        <f aca="false">Vin/Vramp</f>
        <v>9</v>
      </c>
      <c r="M688" s="0" t="n">
        <f aca="false">1/(2*Pi*_Rfb1*(Cc1ea_u+Cc2ea_u)*A688)</f>
        <v>0.0142039217558016</v>
      </c>
      <c r="N688" s="0" t="n">
        <f aca="false">-Pi/2</f>
        <v>-1.570796325</v>
      </c>
      <c r="O688" s="0" t="n">
        <f aca="false">SQRT(1+(A688/Fz1_u)^2)</f>
        <v>10.1872449350768</v>
      </c>
      <c r="P688" s="0" t="n">
        <f aca="false">ATAN(A688/Fz1_u)</f>
        <v>1.47247602801423</v>
      </c>
      <c r="Q688" s="0" t="n">
        <f aca="false">SQRT(1+(A688/Fz2_u)^2)</f>
        <v>11503.8442995026</v>
      </c>
      <c r="R688" s="0" t="n">
        <f aca="false">ATAN(A688/Fz2_u)</f>
        <v>1.57070939933176</v>
      </c>
      <c r="S688" s="0" t="n">
        <f aca="false">1/SQRT(1+(A688/Fp1_u)^2)</f>
        <v>0.0325053619383391</v>
      </c>
      <c r="T688" s="0" t="n">
        <f aca="false">-ATAN(A688/Fp1_u)</f>
        <v>-1.53828523794676</v>
      </c>
      <c r="U688" s="0" t="n">
        <f aca="false">1/SQRT(1+(A688/Fp2_u)^2)</f>
        <v>0.663885883049634</v>
      </c>
      <c r="V688" s="0" t="n">
        <f aca="false">-ATAN(A688/Fp2_u)</f>
        <v>-0.844793287812963</v>
      </c>
      <c r="X688" s="0" t="n">
        <f aca="false">20*LOG(C688*J688*O688*Q688*F688*M688*S688*U688)</f>
        <v>10.9469676764724</v>
      </c>
      <c r="Y688" s="0" t="n">
        <f aca="false">(180/Pi)*(D688+H688+N688+P688+R688+T688+V688)</f>
        <v>-228.255518401621</v>
      </c>
      <c r="Z688" s="0" t="n">
        <f aca="false">Y688+180</f>
        <v>-48.2555184016205</v>
      </c>
      <c r="AC688" s="0" t="n">
        <v>1</v>
      </c>
      <c r="AD688" s="0" t="n">
        <f aca="false">Rcea1_u*Cc1ea_u*A688*2*Pi</f>
        <v>10.138045145256</v>
      </c>
      <c r="AE688" s="0" t="n">
        <f aca="false">-Rcea1_u*Cc1ea_u*Cc2ea_u*(A688*2*Pi)^2</f>
        <v>-0.0039652762101562</v>
      </c>
      <c r="AF688" s="0" t="n">
        <f aca="false">(Cc2ea_u+Cc1ea_u)*A688*2*Pi</f>
        <v>0.003520154564325</v>
      </c>
      <c r="AG688" s="0" t="n">
        <f aca="false">AC688*AE688/(AE688^2+AF688^2)+AD688*AF688/(AE688^2+AF688^2)</f>
        <v>1128.30583222424</v>
      </c>
      <c r="AH688" s="0" t="n">
        <f aca="false">AD688*AE688/(AE688^2+AF688^2)-AC688*AF688/(AE688^2+AF688^2)</f>
        <v>-1555.0579311988</v>
      </c>
      <c r="AJ688" s="0" t="n">
        <f aca="false">_Rfb1</f>
        <v>20000</v>
      </c>
      <c r="AK688" s="0" t="n">
        <f aca="false">_Rfb1*Rcea2_u*Cc3ea_u*A688*2*Pi</f>
        <v>614957.96477808</v>
      </c>
      <c r="AL688" s="0" t="n">
        <v>1</v>
      </c>
      <c r="AM688" s="0" t="n">
        <f aca="false">(_Rfb1+Rcea2_u)*Cc3ea_u*A688*2*Pi</f>
        <v>11503.8442560389</v>
      </c>
      <c r="AN688" s="0" t="n">
        <f aca="false">AJ688*AL688/(AL688^2+AM688^2)+AK688*AM688/(AL688^2+AM688^2)</f>
        <v>53.4568866713972</v>
      </c>
      <c r="AO688" s="0" t="n">
        <f aca="false">AK688*AL688/(AL688^2+AM688^2)-AJ688*AM688/(AL688^2+AM688^2)</f>
        <v>-1.73390239552815</v>
      </c>
      <c r="AQ688" s="0" t="n">
        <f aca="false">Eadcg/(1+(Eadcg*A688/GBP)^2)</f>
        <v>0.0661051602300102</v>
      </c>
      <c r="AR688" s="0" t="n">
        <f aca="false">-(A688*Eadcg*Eadcg/GBP)/(1+(Eadcg*A688/GBP)^2)</f>
        <v>-14.4575290681044</v>
      </c>
      <c r="AT688" s="0" t="n">
        <f aca="false">-AR688*AH688+AG688*AQ688</f>
        <v>-22407.7084050653</v>
      </c>
      <c r="AU688" s="0" t="n">
        <f aca="false">AQ688*AH688+AG688*AR688</f>
        <v>-16415.3117208024</v>
      </c>
      <c r="AV688" s="0" t="n">
        <f aca="false">IF(AT688&lt;0,ATAN(AU688/AT688)+Pi,ATAN(AU688/AT688))</f>
        <v>3.77384772751058</v>
      </c>
      <c r="AW688" s="0" t="n">
        <f aca="false">AG688-AH688*AO688/_Rfb2+AG688*AN688/_Rfb2+AN688-AO688*AR688+AQ688*AN688</f>
        <v>1186.15727991915</v>
      </c>
      <c r="AX688" s="0" t="n">
        <f aca="false">AH688+AH688*AN688/_Rfb2+AG688*AO688/_Rfb2+AO688+AO688*AQ688+AN688*AR688</f>
        <v>-2368.04916393352</v>
      </c>
      <c r="AY688" s="0" t="n">
        <f aca="false">IF(AW688&lt;0,ATAN(AX688/AW688)+Pi,ATAN(AX688/AW688))</f>
        <v>-1.10642848627257</v>
      </c>
      <c r="BA688" s="0" t="n">
        <f aca="false">SQRT(AT688^2+AU688^2)/SQRT(AW688^2+AX688^2)</f>
        <v>10.4878098451406</v>
      </c>
      <c r="BB688" s="0" t="n">
        <f aca="false">20*LOG(BA688)</f>
        <v>20.4136960908892</v>
      </c>
      <c r="BC688" s="0" t="n">
        <f aca="false">AV688-AY688</f>
        <v>4.88027621378315</v>
      </c>
      <c r="BD688" s="0" t="n">
        <f aca="false">BC688*180/Pi</f>
        <v>279.619230227371</v>
      </c>
      <c r="BF688" s="0" t="n">
        <v>0</v>
      </c>
      <c r="BG688" s="0" t="n">
        <f aca="false">(180/Pi)*(D688+H688+BC688)</f>
        <v>103.542372294183</v>
      </c>
      <c r="BH688" s="0" t="n">
        <f aca="false">IF(BG688&gt;180,BG688-180,BG688+180)</f>
        <v>283.542372294183</v>
      </c>
      <c r="BI688" s="0" t="n">
        <f aca="false">IF(BH688&gt;180,BH688-360,BH688)</f>
        <v>-76.4576277058172</v>
      </c>
    </row>
    <row r="689" customFormat="false" ht="12.75" hidden="false" customHeight="false" outlineLevel="0" collapsed="false">
      <c r="A689" s="0" t="n">
        <v>1000000</v>
      </c>
      <c r="B689" s="0" t="n">
        <f aca="false">A689/1000</f>
        <v>1000</v>
      </c>
      <c r="BG689" s="0" t="n">
        <f aca="false">BG688</f>
        <v>103.542372294183</v>
      </c>
      <c r="BH689" s="0" t="n">
        <f aca="false">IF(BG689&gt;180,BG689-180,BG689+180)</f>
        <v>283.542372294183</v>
      </c>
      <c r="BI689" s="0" t="n">
        <f aca="false">IF(BH689&gt;180,BH689-360,BH689)</f>
        <v>-76.4576277058172</v>
      </c>
    </row>
    <row r="690" customFormat="false" ht="12.75" hidden="false" customHeight="false" outlineLevel="0" collapsed="false">
      <c r="A690" s="0" t="n">
        <f aca="false">'Bode Plots Calculations'!BK5*1000</f>
        <v>415000</v>
      </c>
      <c r="B690" s="0" t="n">
        <f aca="false">A690/1000</f>
        <v>415</v>
      </c>
      <c r="BG690" s="0" t="n">
        <f aca="false">BG688</f>
        <v>103.542372294183</v>
      </c>
      <c r="BH690" s="0" t="n">
        <f aca="false">IF(BG690&gt;180,BG690-180,BG690+180)</f>
        <v>283.542372294183</v>
      </c>
      <c r="BI690" s="0" t="n">
        <f aca="false">IF(BH690&gt;180,BH690-360,BH690)</f>
        <v>-76.4576277058172</v>
      </c>
    </row>
    <row r="691" customFormat="false" ht="12.75" hidden="false" customHeight="false" outlineLevel="0" collapsed="false">
      <c r="A691" s="0" t="n">
        <f aca="false">'Bode Plots Calculations'!BK5*1000</f>
        <v>415000</v>
      </c>
      <c r="B691" s="0" t="n">
        <f aca="false">A691/1000</f>
        <v>415</v>
      </c>
      <c r="BG691" s="0" t="n">
        <v>-90</v>
      </c>
    </row>
    <row r="692" customFormat="false" ht="12.75" hidden="false" customHeight="false" outlineLevel="0" collapsed="false">
      <c r="A692" s="0" t="n">
        <f aca="false">'Bode Plots Calculations'!BK5*1000</f>
        <v>415000</v>
      </c>
      <c r="B692" s="0" t="n">
        <f aca="false">A692/1000</f>
        <v>415</v>
      </c>
      <c r="BG692" s="0" t="n">
        <v>-80</v>
      </c>
    </row>
  </sheetData>
  <mergeCells count="8">
    <mergeCell ref="A1:G1"/>
    <mergeCell ref="C6:H6"/>
    <mergeCell ref="M7:N7"/>
    <mergeCell ref="O7:P7"/>
    <mergeCell ref="Q7:R7"/>
    <mergeCell ref="S7:T7"/>
    <mergeCell ref="U7:V7"/>
    <mergeCell ref="C679:H679"/>
  </mergeCells>
  <printOptions headings="false" gridLines="false" gridLinesSet="true" horizontalCentered="false" verticalCentered="false"/>
  <pageMargins left="0.75" right="0.75" top="1" bottom="1"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tabColor rgb="00FFFFFF"/>
    <pageSetUpPr fitToPage="false"/>
  </sheetPr>
  <dimension ref="A1:BL10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10" activeCellId="0" sqref="G10"/>
    </sheetView>
  </sheetViews>
  <sheetFormatPr defaultRowHeight="12.75"/>
  <cols>
    <col collapsed="false" hidden="false" max="1" min="1" style="0" width="19.8520408163265"/>
    <col collapsed="false" hidden="false" max="2" min="2" style="0" width="13.1377551020408"/>
    <col collapsed="false" hidden="false" max="3" min="3" style="0" width="8.6734693877551"/>
    <col collapsed="false" hidden="false" max="4" min="4" style="0" width="61.5765306122449"/>
    <col collapsed="false" hidden="false" max="7" min="5" style="0" width="8.6734693877551"/>
    <col collapsed="false" hidden="false" max="8" min="8" style="0" width="10.9948979591837"/>
    <col collapsed="false" hidden="false" max="9" min="9" style="0" width="8.6734693877551"/>
    <col collapsed="false" hidden="false" max="10" min="10" style="0" width="12.4183673469388"/>
    <col collapsed="false" hidden="false" max="11" min="11" style="0" width="11.4183673469388"/>
    <col collapsed="false" hidden="false" max="12" min="12" style="0" width="10.2857142857143"/>
    <col collapsed="false" hidden="false" max="13" min="13" style="0" width="8"/>
    <col collapsed="false" hidden="false" max="14" min="14" style="356" width="14.280612244898"/>
    <col collapsed="false" hidden="false" max="15" min="15" style="357" width="10.2857142857143"/>
    <col collapsed="false" hidden="false" max="17" min="16" style="0" width="9.4234693877551"/>
    <col collapsed="false" hidden="false" max="18" min="18" style="0" width="12.4183673469388"/>
    <col collapsed="false" hidden="false" max="19" min="19" style="0" width="11.2857142857143"/>
    <col collapsed="false" hidden="false" max="20" min="20" style="0" width="8.6734693877551"/>
    <col collapsed="false" hidden="false" max="22" min="21" style="0" width="10.2857142857143"/>
    <col collapsed="false" hidden="false" max="23" min="23" style="0" width="12.4183673469388"/>
    <col collapsed="false" hidden="false" max="24" min="24" style="0" width="10.9948979591837"/>
    <col collapsed="false" hidden="false" max="25" min="25" style="0" width="8.6734693877551"/>
    <col collapsed="false" hidden="false" max="26" min="26" style="0" width="12.4183673469388"/>
    <col collapsed="false" hidden="false" max="27" min="27" style="0" width="8.6734693877551"/>
    <col collapsed="false" hidden="false" max="28" min="28" style="0" width="9.70918367346939"/>
    <col collapsed="false" hidden="false" max="29" min="29" style="0" width="10.2857142857143"/>
    <col collapsed="false" hidden="false" max="30" min="30" style="0" width="8.6734693877551"/>
    <col collapsed="false" hidden="false" max="31" min="31" style="0" width="13.4285714285714"/>
    <col collapsed="false" hidden="false" max="32" min="32" style="0" width="10"/>
    <col collapsed="false" hidden="false" max="33" min="33" style="0" width="8.6734693877551"/>
    <col collapsed="false" hidden="false" max="34" min="34" style="0" width="10.7091836734694"/>
    <col collapsed="false" hidden="false" max="35" min="35" style="0" width="8.6734693877551"/>
    <col collapsed="false" hidden="false" max="36" min="36" style="308" width="10"/>
    <col collapsed="false" hidden="false" max="37" min="37" style="358" width="15"/>
    <col collapsed="false" hidden="false" max="38" min="38" style="359" width="14.8571428571429"/>
    <col collapsed="false" hidden="false" max="49" min="39" style="0" width="8.6734693877551"/>
    <col collapsed="false" hidden="false" max="50" min="50" style="0" width="28.4183673469388"/>
    <col collapsed="false" hidden="false" max="52" min="51" style="0" width="8.6734693877551"/>
    <col collapsed="false" hidden="false" max="53" min="53" style="0" width="12.4183673469388"/>
    <col collapsed="false" hidden="false" max="1025" min="54" style="0" width="8.6734693877551"/>
  </cols>
  <sheetData>
    <row r="1" customFormat="false" ht="12.75" hidden="false" customHeight="true" outlineLevel="0" collapsed="false">
      <c r="A1" s="360" t="s">
        <v>550</v>
      </c>
      <c r="B1" s="360"/>
      <c r="C1" s="360"/>
      <c r="D1" s="360"/>
      <c r="N1" s="0"/>
      <c r="O1" s="0"/>
      <c r="AJ1" s="0"/>
      <c r="AK1" s="0"/>
      <c r="AL1" s="0"/>
    </row>
    <row r="2" customFormat="false" ht="12.75" hidden="false" customHeight="true" outlineLevel="0" collapsed="false">
      <c r="A2" s="360"/>
      <c r="B2" s="360"/>
      <c r="C2" s="360"/>
      <c r="D2" s="360"/>
      <c r="N2" s="0"/>
      <c r="O2" s="0"/>
      <c r="AJ2" s="0"/>
      <c r="AK2" s="0"/>
      <c r="AL2" s="0"/>
    </row>
    <row r="3" customFormat="false" ht="12.75" hidden="false" customHeight="true" outlineLevel="0" collapsed="false">
      <c r="A3" s="360"/>
      <c r="B3" s="360"/>
      <c r="C3" s="360"/>
      <c r="D3" s="360"/>
      <c r="N3" s="0"/>
      <c r="O3" s="0"/>
      <c r="AC3" s="0" t="n">
        <f aca="false">VsdBot</f>
        <v>0.77</v>
      </c>
      <c r="AJ3" s="0"/>
      <c r="AK3" s="0"/>
      <c r="AL3" s="0"/>
    </row>
    <row r="4" customFormat="false" ht="12.75" hidden="false" customHeight="true" outlineLevel="0" collapsed="false">
      <c r="A4" s="360"/>
      <c r="B4" s="360"/>
      <c r="C4" s="360"/>
      <c r="D4" s="360"/>
      <c r="N4" s="0"/>
      <c r="O4" s="0"/>
      <c r="AJ4" s="0"/>
      <c r="AK4" s="0"/>
      <c r="AL4" s="0"/>
    </row>
    <row r="5" customFormat="false" ht="12.75" hidden="false" customHeight="false" outlineLevel="0" collapsed="false">
      <c r="A5" s="361"/>
      <c r="B5" s="362"/>
      <c r="C5" s="160"/>
      <c r="D5" s="160"/>
      <c r="N5" s="0"/>
      <c r="O5" s="0"/>
      <c r="AJ5" s="0"/>
      <c r="AK5" s="0"/>
      <c r="AL5" s="0"/>
    </row>
    <row r="6" customFormat="false" ht="13.5" hidden="false" customHeight="true" outlineLevel="0" collapsed="false">
      <c r="A6" s="363" t="s">
        <v>551</v>
      </c>
      <c r="B6" s="363"/>
      <c r="C6" s="363"/>
      <c r="D6" s="363"/>
      <c r="I6" s="254"/>
      <c r="J6" s="254"/>
      <c r="N6" s="0"/>
      <c r="O6" s="0"/>
      <c r="AE6" s="254"/>
      <c r="AF6" s="254"/>
      <c r="AH6" s="254"/>
      <c r="AI6" s="254"/>
      <c r="AJ6" s="364"/>
      <c r="AK6" s="0"/>
      <c r="AL6" s="0"/>
      <c r="BC6" s="0" t="n">
        <v>80</v>
      </c>
      <c r="BD6" s="0" t="n">
        <v>100</v>
      </c>
      <c r="BE6" s="0" t="n">
        <v>120</v>
      </c>
      <c r="BF6" s="0" t="n">
        <v>140</v>
      </c>
      <c r="BG6" s="0" t="n">
        <v>160</v>
      </c>
      <c r="BH6" s="0" t="n">
        <v>180</v>
      </c>
      <c r="BI6" s="0" t="n">
        <v>20</v>
      </c>
      <c r="BJ6" s="0" t="n">
        <v>30</v>
      </c>
      <c r="BK6" s="0" t="n">
        <v>40</v>
      </c>
      <c r="BL6" s="0" t="n">
        <v>50</v>
      </c>
    </row>
    <row r="7" customFormat="false" ht="13.5" hidden="false" customHeight="false" outlineLevel="0" collapsed="false">
      <c r="A7" s="363"/>
      <c r="B7" s="363"/>
      <c r="C7" s="363"/>
      <c r="D7" s="363"/>
      <c r="G7" s="365" t="s">
        <v>552</v>
      </c>
      <c r="H7" s="366"/>
      <c r="I7" s="367"/>
      <c r="J7" s="367"/>
      <c r="K7" s="365" t="s">
        <v>553</v>
      </c>
      <c r="L7" s="366"/>
      <c r="M7" s="366"/>
      <c r="N7" s="368"/>
      <c r="O7" s="369" t="s">
        <v>260</v>
      </c>
      <c r="P7" s="370"/>
      <c r="Q7" s="367"/>
      <c r="R7" s="371" t="s">
        <v>271</v>
      </c>
      <c r="S7" s="249"/>
      <c r="T7" s="367"/>
      <c r="U7" s="365" t="s">
        <v>554</v>
      </c>
      <c r="V7" s="366"/>
      <c r="W7" s="366"/>
      <c r="X7" s="366"/>
      <c r="Y7" s="367"/>
      <c r="Z7" s="371" t="s">
        <v>555</v>
      </c>
      <c r="AA7" s="249"/>
      <c r="AB7" s="372"/>
      <c r="AC7" s="367"/>
      <c r="AD7" s="373" t="s">
        <v>556</v>
      </c>
      <c r="AE7" s="366" t="s">
        <v>557</v>
      </c>
      <c r="AF7" s="374" t="s">
        <v>558</v>
      </c>
      <c r="AG7" s="375"/>
      <c r="AH7" s="376"/>
      <c r="AI7" s="377"/>
      <c r="AJ7" s="365" t="s">
        <v>559</v>
      </c>
      <c r="AK7" s="378"/>
      <c r="AL7" s="366"/>
      <c r="AM7" s="366"/>
      <c r="AN7" s="366"/>
    </row>
    <row r="8" customFormat="false" ht="51.75" hidden="false" customHeight="false" outlineLevel="0" collapsed="false">
      <c r="A8" s="379" t="s">
        <v>560</v>
      </c>
      <c r="B8" s="379"/>
      <c r="C8" s="379"/>
      <c r="D8" s="160"/>
      <c r="G8" s="380" t="s">
        <v>561</v>
      </c>
      <c r="H8" s="381" t="s">
        <v>196</v>
      </c>
      <c r="I8" s="381" t="s">
        <v>562</v>
      </c>
      <c r="J8" s="382" t="s">
        <v>563</v>
      </c>
      <c r="K8" s="380" t="s">
        <v>564</v>
      </c>
      <c r="L8" s="381" t="s">
        <v>565</v>
      </c>
      <c r="M8" s="381" t="s">
        <v>566</v>
      </c>
      <c r="N8" s="383" t="s">
        <v>567</v>
      </c>
      <c r="O8" s="384" t="s">
        <v>568</v>
      </c>
      <c r="P8" s="385" t="s">
        <v>569</v>
      </c>
      <c r="Q8" s="383" t="s">
        <v>570</v>
      </c>
      <c r="R8" s="380" t="s">
        <v>568</v>
      </c>
      <c r="S8" s="381" t="s">
        <v>571</v>
      </c>
      <c r="T8" s="383" t="s">
        <v>572</v>
      </c>
      <c r="U8" s="380" t="s">
        <v>568</v>
      </c>
      <c r="V8" s="381" t="s">
        <v>573</v>
      </c>
      <c r="W8" s="381" t="s">
        <v>574</v>
      </c>
      <c r="X8" s="386" t="s">
        <v>575</v>
      </c>
      <c r="Y8" s="383" t="s">
        <v>576</v>
      </c>
      <c r="Z8" s="380" t="s">
        <v>568</v>
      </c>
      <c r="AA8" s="381" t="s">
        <v>573</v>
      </c>
      <c r="AB8" s="381" t="s">
        <v>577</v>
      </c>
      <c r="AC8" s="387" t="s">
        <v>578</v>
      </c>
      <c r="AD8" s="383" t="s">
        <v>577</v>
      </c>
      <c r="AE8" s="388" t="s">
        <v>579</v>
      </c>
      <c r="AF8" s="389" t="s">
        <v>580</v>
      </c>
      <c r="AG8" s="390" t="s">
        <v>581</v>
      </c>
      <c r="AH8" s="391" t="s">
        <v>582</v>
      </c>
      <c r="AI8" s="392" t="s">
        <v>583</v>
      </c>
      <c r="AJ8" s="393" t="s">
        <v>584</v>
      </c>
      <c r="AK8" s="394" t="s">
        <v>585</v>
      </c>
      <c r="AL8" s="395" t="s">
        <v>586</v>
      </c>
      <c r="AM8" s="381" t="s">
        <v>587</v>
      </c>
      <c r="AN8" s="381" t="s">
        <v>588</v>
      </c>
      <c r="BA8" s="0" t="s">
        <v>589</v>
      </c>
      <c r="BC8" s="0" t="s">
        <v>590</v>
      </c>
      <c r="BD8" s="0" t="s">
        <v>591</v>
      </c>
      <c r="BE8" s="0" t="s">
        <v>592</v>
      </c>
      <c r="BF8" s="0" t="s">
        <v>593</v>
      </c>
      <c r="BG8" s="0" t="s">
        <v>594</v>
      </c>
      <c r="BH8" s="0" t="s">
        <v>595</v>
      </c>
      <c r="BI8" s="0" t="s">
        <v>596</v>
      </c>
      <c r="BJ8" s="0" t="s">
        <v>597</v>
      </c>
      <c r="BK8" s="0" t="s">
        <v>598</v>
      </c>
      <c r="BL8" s="0" t="s">
        <v>599</v>
      </c>
    </row>
    <row r="9" customFormat="false" ht="12.75" hidden="false" customHeight="false" outlineLevel="0" collapsed="false">
      <c r="A9" s="396" t="s">
        <v>354</v>
      </c>
      <c r="B9" s="397" t="s">
        <v>600</v>
      </c>
      <c r="C9" s="398" t="s">
        <v>430</v>
      </c>
      <c r="D9" s="399" t="s">
        <v>123</v>
      </c>
      <c r="G9" s="0" t="n">
        <v>0</v>
      </c>
      <c r="H9" s="0" t="n">
        <f aca="false">Iout*(G9/100)</f>
        <v>0</v>
      </c>
      <c r="I9" s="0" t="n">
        <f aca="false">(Vout+Rdcr*H9+RdsonBot*H9)/(Vin-RdsonTop*H9+RdsonBot*H9)</f>
        <v>0.333333333333333</v>
      </c>
      <c r="J9" s="0" t="n">
        <f aca="false">(Vin-Vout)*I9/(Fsw*Lout2)</f>
        <v>0.840336134453782</v>
      </c>
      <c r="K9" s="0" t="n">
        <f aca="false">SQRT(H9^2+(J9^2)/12)</f>
        <v>0.24258414671833</v>
      </c>
      <c r="L9" s="0" t="n">
        <f aca="false">(K9^2*Rdcr*(1+Ltc*Ta-Ltc*25))/(1-K9^2*Rdcr*Ltc*ThetaCa)</f>
        <v>0.00135362913857396</v>
      </c>
      <c r="N9" s="356" t="n">
        <f aca="false">L9</f>
        <v>0.00135362913857396</v>
      </c>
      <c r="O9" s="357" t="n">
        <f aca="false">J9/(2*SQRT(3))</f>
        <v>0.24258414671833</v>
      </c>
      <c r="P9" s="357" t="n">
        <f aca="false">RCoutEsr*O9^2</f>
        <v>2.94235341195302E-005</v>
      </c>
      <c r="Q9" s="357" t="n">
        <f aca="false">P9</f>
        <v>2.94235341195302E-005</v>
      </c>
      <c r="R9" s="0" t="n">
        <f aca="false">SQRT(I9)*SQRT(H9^2+(J9^2)/12)</f>
        <v>0.140056022408964</v>
      </c>
      <c r="S9" s="400" t="n">
        <f aca="false">RCinEsr*R9^2</f>
        <v>1.96156894130201E-005</v>
      </c>
      <c r="T9" s="401" t="n">
        <f aca="false">S9</f>
        <v>1.96156894130201E-005</v>
      </c>
      <c r="U9" s="0" t="n">
        <f aca="false">SQRT(I9)*SQRT(H9^2+(J9^2)/12)</f>
        <v>0.140056022408964</v>
      </c>
      <c r="V9" s="0" t="n">
        <f aca="false">RdsonTop*U9^2</f>
        <v>9.80784470651005E-005</v>
      </c>
      <c r="W9" s="0" t="n">
        <f aca="false">(Vin*H9/2)*(Fsw)*(Tr+Tf)</f>
        <v>0</v>
      </c>
      <c r="X9" s="0" t="n">
        <f aca="false">IF(H9&gt;J9/2,0,ABS(H9-J9/2)*VsdTop*Deadtime*Fsw)</f>
        <v>0.005</v>
      </c>
      <c r="Y9" s="0" t="n">
        <f aca="false">(X9+W9+V9*(1+RdsonTopTc*Ta-RdsonTopTc*25))/(1-V9*RdsonTopTc*ThetaJaTop)</f>
        <v>0.00509817845135017</v>
      </c>
      <c r="Z9" s="0" t="n">
        <f aca="false">SQRT(1-I9)*SQRT(H9^2+(J9^2)/12)</f>
        <v>0.198069126382786</v>
      </c>
      <c r="AA9" s="0" t="n">
        <f aca="false">RdsonBot*Z9^2</f>
        <v>4.70776545912483E-005</v>
      </c>
      <c r="AB9" s="0" t="n">
        <f aca="false">2*Deadtime*Fsw*IF(VfdSky&gt;0,0,VsdBot)*(H9+J9/2)</f>
        <v>0.00905882352941176</v>
      </c>
      <c r="AC9" s="0" t="n">
        <f aca="false">(AB9+AA9*(1+RdsonBotTc*Ta-RdsonBotTc*25))/(1-AA9*RdsonBotTc*ThetaJaBot)</f>
        <v>0.00910598692170442</v>
      </c>
      <c r="AD9" s="0" t="n">
        <f aca="false">2*Deadtime*Fsw*IF(VfdSky&gt;0,VfdSky,0)*H9</f>
        <v>0</v>
      </c>
      <c r="AE9" s="0" t="n">
        <f aca="false">IF(QrrSky&gt;0,QrrSky,QrrBot)*Fsw*(Vin-H9*RdsonTop)</f>
        <v>0.4032</v>
      </c>
      <c r="AF9" s="0" t="n">
        <f aca="false">Iq*Vin</f>
        <v>0.054</v>
      </c>
      <c r="AG9" s="0" t="n">
        <f aca="false">Vin*(QgTop+QgBot)*Fsw</f>
        <v>0.35784</v>
      </c>
      <c r="AH9" s="357" t="n">
        <f aca="false">(Vin-Vdd)*Fsw*(QgTop+QgBot)+(RdsonDRT+RdsonDRT2)*Fsw*QgTop*Vdd/(RdsonDRT+2*RGateTop+RdsonDRT2)+(RdsonDRB+RdsonDRB2)*Fsw*QgBot*Vdd/(RdsonDRB+2*RGateBot+RdsonDRB2)</f>
        <v>0.31571422459893</v>
      </c>
      <c r="AI9" s="0" t="n">
        <f aca="false">SUM(AF9:AG9)</f>
        <v>0.41184</v>
      </c>
      <c r="AJ9" s="402" t="n">
        <f aca="false">SUM(N9,Q9,T9,Y9,AE9,AD9,AC9,AI9)</f>
        <v>0.830646833735161</v>
      </c>
      <c r="AK9" s="358" t="n">
        <f aca="false">Vout*H9</f>
        <v>0</v>
      </c>
      <c r="AL9" s="359" t="n">
        <f aca="false">AK9/(AK9+AJ9)</f>
        <v>0</v>
      </c>
      <c r="AM9" s="0" t="n">
        <f aca="false">ThetaJaTop*Y9</f>
        <v>0.254908922567509</v>
      </c>
      <c r="AN9" s="0" t="n">
        <f aca="false">AC9*ThetaJaBot</f>
        <v>0.455299346085221</v>
      </c>
      <c r="AP9" s="0" t="n">
        <f aca="false">AL9*100</f>
        <v>0</v>
      </c>
      <c r="AX9" s="0" t="s">
        <v>601</v>
      </c>
      <c r="AY9" s="403" t="n">
        <v>70</v>
      </c>
      <c r="AZ9" s="403" t="n">
        <v>70</v>
      </c>
      <c r="BA9" s="403" t="n">
        <v>70</v>
      </c>
      <c r="BB9" s="404" t="n">
        <f aca="false">250000*(5-Vdd)*BA9/1000000000+((250000*BA9/1000000000*Vdd)*2.5/(2*4))</f>
        <v>0.033359375</v>
      </c>
      <c r="BC9" s="0" t="n">
        <f aca="false">BC$6*$BB9</f>
        <v>2.66875</v>
      </c>
      <c r="BD9" s="0" t="n">
        <f aca="false">BD$6*$BB9</f>
        <v>3.3359375</v>
      </c>
      <c r="BE9" s="0" t="n">
        <f aca="false">BE$6*$BB9</f>
        <v>4.003125</v>
      </c>
      <c r="BF9" s="0" t="n">
        <f aca="false">BF$6*$BB9</f>
        <v>4.6703125</v>
      </c>
      <c r="BG9" s="0" t="n">
        <f aca="false">BG$6*$BB9</f>
        <v>5.3375</v>
      </c>
      <c r="BH9" s="0" t="n">
        <f aca="false">BH$6*$BB9</f>
        <v>6.0046875</v>
      </c>
      <c r="BI9" s="0" t="n">
        <f aca="false">BI$6*$BB9</f>
        <v>0.6671875</v>
      </c>
      <c r="BJ9" s="0" t="n">
        <f aca="false">BJ$6*$BB9</f>
        <v>1.00078125</v>
      </c>
      <c r="BK9" s="0" t="n">
        <f aca="false">BK$6*$BB9</f>
        <v>1.334375</v>
      </c>
      <c r="BL9" s="0" t="n">
        <f aca="false">BL$6*$BB9</f>
        <v>1.66796875</v>
      </c>
    </row>
    <row r="10" customFormat="false" ht="12.75" hidden="false" customHeight="false" outlineLevel="0" collapsed="false">
      <c r="A10" s="405"/>
      <c r="B10" s="406"/>
      <c r="C10" s="398"/>
      <c r="D10" s="399"/>
      <c r="G10" s="0" t="n">
        <v>1</v>
      </c>
      <c r="H10" s="0" t="n">
        <f aca="false">Iout*(G10/100)</f>
        <v>0.02</v>
      </c>
      <c r="I10" s="0" t="n">
        <f aca="false">(Vout+Rdcr*H10+RdsonBot*H10)/(Vin-RdsonTop*H10+RdsonBot*H10)</f>
        <v>0.333361629749103</v>
      </c>
      <c r="J10" s="0" t="n">
        <f aca="false">(Vin-Vout)*I10/(Fsw*Lout2)</f>
        <v>0.840407469955723</v>
      </c>
      <c r="K10" s="0" t="n">
        <f aca="false">SQRT(H10^2+(J10^2)/12)</f>
        <v>0.243427729788086</v>
      </c>
      <c r="L10" s="0" t="n">
        <f aca="false">(K10^2*Rdcr*(1+Ltc*Ta-Ltc*25))/(1-K10^2*Rdcr*Ltc*ThetaCa)</f>
        <v>0.0013630609900999</v>
      </c>
      <c r="N10" s="356" t="n">
        <f aca="false">L10</f>
        <v>0.0013630609900999</v>
      </c>
      <c r="O10" s="357" t="n">
        <f aca="false">J10/(2*SQRT(3))</f>
        <v>0.242604739503954</v>
      </c>
      <c r="P10" s="357" t="n">
        <f aca="false">RCoutEsr*O10^2</f>
        <v>2.94285298148908E-005</v>
      </c>
      <c r="Q10" s="357" t="n">
        <f aca="false">P10</f>
        <v>2.94285298148908E-005</v>
      </c>
      <c r="R10" s="0" t="n">
        <f aca="false">SQRT(I10)*SQRT(H10^2+(J10^2)/12)</f>
        <v>0.140549030492294</v>
      </c>
      <c r="S10" s="400" t="n">
        <f aca="false">RCinEsr*R10^2</f>
        <v>1.97540299723238E-005</v>
      </c>
      <c r="T10" s="401" t="n">
        <f aca="false">S10</f>
        <v>1.97540299723238E-005</v>
      </c>
      <c r="U10" s="0" t="n">
        <f aca="false">SQRT(I10)*SQRT(H10^2+(J10^2)/12)</f>
        <v>0.140549030492294</v>
      </c>
      <c r="V10" s="0" t="n">
        <f aca="false">RdsonTop*U10^2</f>
        <v>9.8770149861619E-005</v>
      </c>
      <c r="W10" s="0" t="n">
        <f aca="false">(Vin*H10/2)*(Fsw)*(Tr+Tf)</f>
        <v>0.000909595106261551</v>
      </c>
      <c r="X10" s="0" t="n">
        <f aca="false">IF(H10&gt;J10/2,0,ABS(H10-J10/2)*VsdTop*Deadtime*Fsw)</f>
        <v>0.00476242444623655</v>
      </c>
      <c r="Y10" s="0" t="n">
        <f aca="false">(X10+W10+V10*(1+RdsonTopTc*Ta-RdsonTopTc*25))/(1-V10*RdsonTopTc*ThetaJaTop)</f>
        <v>0.0057709037009644</v>
      </c>
      <c r="Z10" s="0" t="n">
        <f aca="false">SQRT(1-I10)*SQRT(H10^2+(J10^2)/12)</f>
        <v>0.198753690927886</v>
      </c>
      <c r="AA10" s="0" t="n">
        <f aca="false">RdsonBot*Z10^2</f>
        <v>4.74036355889494E-005</v>
      </c>
      <c r="AB10" s="0" t="n">
        <f aca="false">2*Deadtime*Fsw*IF(VfdSky&gt;0,0,VsdBot)*(H10+J10/2)</f>
        <v>0.00949079252612269</v>
      </c>
      <c r="AC10" s="0" t="n">
        <f aca="false">(AB10+AA10*(1+RdsonBotTc*Ta-RdsonBotTc*25))/(1-AA10*RdsonBotTc*ThetaJaBot)</f>
        <v>0.00953828659160399</v>
      </c>
      <c r="AD10" s="0" t="n">
        <f aca="false">2*Deadtime*Fsw*IF(VfdSky&gt;0,VfdSky,0)*H10</f>
        <v>0</v>
      </c>
      <c r="AE10" s="0" t="n">
        <f aca="false">IF(QrrSky&gt;0,QrrSky,QrrBot)*Fsw*(Vin-H10*RdsonTop)</f>
        <v>0.40319776</v>
      </c>
      <c r="AF10" s="0" t="n">
        <f aca="false">Iq*Vin</f>
        <v>0.054</v>
      </c>
      <c r="AG10" s="0" t="n">
        <f aca="false">Vin*(QgTop+QgBot)*Fsw</f>
        <v>0.35784</v>
      </c>
      <c r="AH10" s="357" t="n">
        <f aca="false">(Vin-Vdd)*Fsw*(QgTop+QgBot)+(RdsonDRT+RdsonDRT2)*Fsw*QgTop*Vdd/(RdsonDRT+2*RGateTop+RdsonDRT2)+(RdsonDRB+RdsonDRB2)*Fsw*QgBot*Vdd/(RdsonDRB+2*RGateBot+RdsonDRB2)</f>
        <v>0.31571422459893</v>
      </c>
      <c r="AI10" s="0" t="n">
        <f aca="false">SUM(AF10:AG10)</f>
        <v>0.41184</v>
      </c>
      <c r="AJ10" s="402" t="n">
        <f aca="false">SUM(N10,Q10,T10,Y10,AE10,AD10,AC10,AI10)</f>
        <v>0.831759193842456</v>
      </c>
      <c r="AK10" s="358" t="n">
        <f aca="false">Vout*H10</f>
        <v>0.12</v>
      </c>
      <c r="AL10" s="359" t="n">
        <f aca="false">AK10/(AK10+AJ10)</f>
        <v>0.126082312391997</v>
      </c>
      <c r="AM10" s="0" t="n">
        <f aca="false">ThetaJaTop*Y10</f>
        <v>0.28854518504822</v>
      </c>
      <c r="AN10" s="0" t="n">
        <f aca="false">AC10*ThetaJaBot</f>
        <v>0.476914329580199</v>
      </c>
      <c r="AP10" s="0" t="n">
        <f aca="false">AL10*100</f>
        <v>12.6082312391997</v>
      </c>
      <c r="AY10" s="403"/>
      <c r="AZ10" s="403"/>
      <c r="BA10" s="403"/>
      <c r="BB10" s="404"/>
    </row>
    <row r="11" customFormat="false" ht="12.75" hidden="false" customHeight="false" outlineLevel="0" collapsed="false">
      <c r="A11" s="407" t="s">
        <v>192</v>
      </c>
      <c r="B11" s="343" t="n">
        <f aca="false">Vin</f>
        <v>18</v>
      </c>
      <c r="C11" s="408" t="s">
        <v>9</v>
      </c>
      <c r="D11" s="409" t="s">
        <v>192</v>
      </c>
      <c r="G11" s="0" t="n">
        <v>2</v>
      </c>
      <c r="H11" s="0" t="n">
        <f aca="false">Iout*(G11/100)</f>
        <v>0.04</v>
      </c>
      <c r="I11" s="0" t="n">
        <f aca="false">(Vout+Rdcr*H11+RdsonBot*H11)/(Vin-RdsonTop*H11+RdsonBot*H11)</f>
        <v>0.333389926403823</v>
      </c>
      <c r="J11" s="0" t="n">
        <f aca="false">(Vin-Vout)*I11/(Fsw*Lout2)</f>
        <v>0.840478806060058</v>
      </c>
      <c r="K11" s="0" t="n">
        <f aca="false">SQRT(H11^2+(J11^2)/12)</f>
        <v>0.245900491973911</v>
      </c>
      <c r="L11" s="0" t="n">
        <f aca="false">(K11^2*Rdcr*(1+Ltc*Ta-Ltc*25))/(1-K11^2*Rdcr*Ltc*ThetaCa)</f>
        <v>0.00139089694524491</v>
      </c>
      <c r="N11" s="356" t="n">
        <f aca="false">L11</f>
        <v>0.00139089694524491</v>
      </c>
      <c r="O11" s="357" t="n">
        <f aca="false">J11/(2*SQRT(3))</f>
        <v>0.242625332463475</v>
      </c>
      <c r="P11" s="357" t="n">
        <f aca="false">RCoutEsr*O11^2</f>
        <v>2.94335259765058E-005</v>
      </c>
      <c r="Q11" s="357" t="n">
        <f aca="false">P11</f>
        <v>2.94335259765058E-005</v>
      </c>
      <c r="R11" s="0" t="n">
        <f aca="false">SQRT(I11)*SQRT(H11^2+(J11^2)/12)</f>
        <v>0.141982766561547</v>
      </c>
      <c r="S11" s="400" t="n">
        <f aca="false">RCinEsr*R11^2</f>
        <v>2.01591060004707E-005</v>
      </c>
      <c r="T11" s="401" t="n">
        <f aca="false">S11</f>
        <v>2.01591060004707E-005</v>
      </c>
      <c r="U11" s="0" t="n">
        <f aca="false">SQRT(I11)*SQRT(H11^2+(J11^2)/12)</f>
        <v>0.141982766561547</v>
      </c>
      <c r="V11" s="0" t="n">
        <f aca="false">RdsonTop*U11^2</f>
        <v>0.000100795530002354</v>
      </c>
      <c r="W11" s="0" t="n">
        <f aca="false">(Vin*H11/2)*(Fsw)*(Tr+Tf)</f>
        <v>0.0018191902125231</v>
      </c>
      <c r="X11" s="0" t="n">
        <f aca="false">IF(H11&gt;J11/2,0,ABS(H11-J11/2)*VsdTop*Deadtime*Fsw)</f>
        <v>0.00452484889605734</v>
      </c>
      <c r="Y11" s="0" t="n">
        <f aca="false">(X11+W11+V11*(1+RdsonTopTc*Ta-RdsonTopTc*25))/(1-V11*RdsonTopTc*ThetaJaTop)</f>
        <v>0.0064449645633066</v>
      </c>
      <c r="Z11" s="0" t="n">
        <f aca="false">SQRT(1-I11)*SQRT(H11^2+(J11^2)/12)</f>
        <v>0.200768388827875</v>
      </c>
      <c r="AA11" s="0" t="n">
        <f aca="false">RdsonBot*Z11^2</f>
        <v>4.83695351430492E-005</v>
      </c>
      <c r="AB11" s="0" t="n">
        <f aca="false">2*Deadtime*Fsw*IF(VfdSky&gt;0,0,VsdBot)*(H11+J11/2)</f>
        <v>0.00992276152932742</v>
      </c>
      <c r="AC11" s="0" t="n">
        <f aca="false">(AB11+AA11*(1+RdsonBotTc*Ta-RdsonBotTc*25))/(1-AA11*RdsonBotTc*ThetaJaBot)</f>
        <v>0.00997122752519851</v>
      </c>
      <c r="AD11" s="0" t="n">
        <f aca="false">2*Deadtime*Fsw*IF(VfdSky&gt;0,VfdSky,0)*H11</f>
        <v>0</v>
      </c>
      <c r="AE11" s="0" t="n">
        <f aca="false">IF(QrrSky&gt;0,QrrSky,QrrBot)*Fsw*(Vin-H11*RdsonTop)</f>
        <v>0.40319552</v>
      </c>
      <c r="AF11" s="0" t="n">
        <f aca="false">Iq*Vin</f>
        <v>0.054</v>
      </c>
      <c r="AG11" s="0" t="n">
        <f aca="false">Vin*(QgTop+QgBot)*Fsw</f>
        <v>0.35784</v>
      </c>
      <c r="AH11" s="357" t="n">
        <f aca="false">(Vin-Vdd)*Fsw*(QgTop+QgBot)+(RdsonDRT+RdsonDRT2)*Fsw*QgTop*Vdd/(RdsonDRT+2*RGateTop+RdsonDRT2)+(RdsonDRB+RdsonDRB2)*Fsw*QgBot*Vdd/(RdsonDRB+2*RGateBot+RdsonDRB2)</f>
        <v>0.31571422459893</v>
      </c>
      <c r="AI11" s="0" t="n">
        <f aca="false">SUM(AF11:AG11)</f>
        <v>0.41184</v>
      </c>
      <c r="AJ11" s="402" t="n">
        <f aca="false">SUM(N11,Q11,T11,Y11,AE11,AD11,AC11,AI11)</f>
        <v>0.832892201665727</v>
      </c>
      <c r="AK11" s="358" t="n">
        <f aca="false">Vout*H11</f>
        <v>0.24</v>
      </c>
      <c r="AL11" s="359" t="n">
        <f aca="false">AK11/(AK11+AJ11)</f>
        <v>0.223694421142577</v>
      </c>
      <c r="AM11" s="0" t="n">
        <f aca="false">ThetaJaTop*Y11</f>
        <v>0.32224822816533</v>
      </c>
      <c r="AN11" s="0" t="n">
        <f aca="false">AC11*ThetaJaBot</f>
        <v>0.498561376259926</v>
      </c>
      <c r="AO11" s="359"/>
      <c r="AP11" s="0" t="n">
        <f aca="false">AL11*100</f>
        <v>22.3694421142577</v>
      </c>
      <c r="AX11" s="0" t="s">
        <v>602</v>
      </c>
      <c r="AY11" s="403" t="n">
        <v>90</v>
      </c>
      <c r="AZ11" s="403" t="n">
        <v>90</v>
      </c>
      <c r="BA11" s="403" t="n">
        <v>90</v>
      </c>
      <c r="BB11" s="404" t="n">
        <f aca="false">250000*(12-Vdd)*BA11/1000000000+((250000*BA9/1000000000*Vdd)*2.5/(2*4))</f>
        <v>0.193359375</v>
      </c>
      <c r="BC11" s="0" t="n">
        <f aca="false">BC$6*$BB11</f>
        <v>15.46875</v>
      </c>
      <c r="BD11" s="0" t="n">
        <f aca="false">BD$6*$BB11</f>
        <v>19.3359375</v>
      </c>
      <c r="BE11" s="0" t="n">
        <f aca="false">BE$6*$BB11</f>
        <v>23.203125</v>
      </c>
      <c r="BF11" s="0" t="n">
        <f aca="false">BF$6*$BB11</f>
        <v>27.0703125</v>
      </c>
      <c r="BG11" s="0" t="n">
        <f aca="false">BG$6*$BB11</f>
        <v>30.9375</v>
      </c>
      <c r="BH11" s="0" t="n">
        <f aca="false">BH$6*$BB11</f>
        <v>34.8046875</v>
      </c>
      <c r="BI11" s="0" t="n">
        <f aca="false">BI$6*$BB11</f>
        <v>3.8671875</v>
      </c>
      <c r="BJ11" s="0" t="n">
        <f aca="false">BJ$6*$BB11</f>
        <v>5.80078125</v>
      </c>
      <c r="BK11" s="0" t="n">
        <f aca="false">BK$6*$BB11</f>
        <v>7.734375</v>
      </c>
      <c r="BL11" s="0" t="n">
        <f aca="false">BL$6*$BB11</f>
        <v>9.66796875</v>
      </c>
    </row>
    <row r="12" customFormat="false" ht="12.75" hidden="false" customHeight="false" outlineLevel="0" collapsed="false">
      <c r="A12" s="410" t="s">
        <v>194</v>
      </c>
      <c r="B12" s="343" t="n">
        <f aca="false">Vout</f>
        <v>6</v>
      </c>
      <c r="C12" s="408" t="s">
        <v>9</v>
      </c>
      <c r="D12" s="409" t="s">
        <v>194</v>
      </c>
      <c r="G12" s="0" t="n">
        <v>3</v>
      </c>
      <c r="H12" s="0" t="n">
        <f aca="false">Iout*(G12/100)</f>
        <v>0.06</v>
      </c>
      <c r="I12" s="0" t="n">
        <f aca="false">(Vout+Rdcr*H12+RdsonBot*H12)/(Vin-RdsonTop*H12+RdsonBot*H12)</f>
        <v>0.333418223297495</v>
      </c>
      <c r="J12" s="0" t="n">
        <f aca="false">(Vin-Vout)*I12/(Fsw*Lout2)</f>
        <v>0.840550142766794</v>
      </c>
      <c r="K12" s="0" t="n">
        <f aca="false">SQRT(H12^2+(J12^2)/12)</f>
        <v>0.249954086201393</v>
      </c>
      <c r="L12" s="0" t="n">
        <f aca="false">(K12^2*Rdcr*(1+Ltc*Ta-Ltc*25))/(1-K12^2*Rdcr*Ltc*ThetaCa)</f>
        <v>0.00143713724988542</v>
      </c>
      <c r="N12" s="356" t="n">
        <f aca="false">L12</f>
        <v>0.00143713724988542</v>
      </c>
      <c r="O12" s="357" t="n">
        <f aca="false">J12/(2*SQRT(3))</f>
        <v>0.242645925596894</v>
      </c>
      <c r="P12" s="357" t="n">
        <f aca="false">RCoutEsr*O12^2</f>
        <v>2.94385226043866E-005</v>
      </c>
      <c r="Q12" s="357" t="n">
        <f aca="false">P12</f>
        <v>2.94385226043866E-005</v>
      </c>
      <c r="R12" s="0" t="n">
        <f aca="false">SQRT(I12)*SQRT(H12^2+(J12^2)/12)</f>
        <v>0.144329433624561</v>
      </c>
      <c r="S12" s="400" t="n">
        <f aca="false">RCinEsr*R12^2</f>
        <v>2.08309854103864E-005</v>
      </c>
      <c r="T12" s="401" t="n">
        <f aca="false">S12</f>
        <v>2.08309854103864E-005</v>
      </c>
      <c r="U12" s="0" t="n">
        <f aca="false">SQRT(I12)*SQRT(H12^2+(J12^2)/12)</f>
        <v>0.144329433624561</v>
      </c>
      <c r="V12" s="0" t="n">
        <f aca="false">RdsonTop*U12^2</f>
        <v>0.000104154927051932</v>
      </c>
      <c r="W12" s="0" t="n">
        <f aca="false">(Vin*H12/2)*(Fsw)*(Tr+Tf)</f>
        <v>0.00272878531878465</v>
      </c>
      <c r="X12" s="0" t="n">
        <f aca="false">IF(H12&gt;J12/2,0,ABS(H12-J12/2)*VsdTop*Deadtime*Fsw)</f>
        <v>0.00428727334946243</v>
      </c>
      <c r="Y12" s="0" t="n">
        <f aca="false">(X12+W12+V12*(1+RdsonTopTc*Ta-RdsonTopTc*25))/(1-V12*RdsonTopTc*ThetaJaTop)</f>
        <v>0.00712036191945427</v>
      </c>
      <c r="Z12" s="0" t="n">
        <f aca="false">SQRT(1-I12)*SQRT(H12^2+(J12^2)/12)</f>
        <v>0.204073662676953</v>
      </c>
      <c r="AA12" s="0" t="n">
        <f aca="false">RdsonBot*Z12^2</f>
        <v>4.99752717580641E-005</v>
      </c>
      <c r="AB12" s="0" t="n">
        <f aca="false">2*Deadtime*Fsw*IF(VfdSky&gt;0,0,VsdBot)*(H12+J12/2)</f>
        <v>0.010354730539026</v>
      </c>
      <c r="AC12" s="0" t="n">
        <f aca="false">(AB12+AA12*(1+RdsonBotTc*Ta-RdsonBotTc*25))/(1-AA12*RdsonBotTc*ThetaJaBot)</f>
        <v>0.0104048098074237</v>
      </c>
      <c r="AD12" s="0" t="n">
        <f aca="false">2*Deadtime*Fsw*IF(VfdSky&gt;0,VfdSky,0)*H12</f>
        <v>0</v>
      </c>
      <c r="AE12" s="0" t="n">
        <f aca="false">IF(QrrSky&gt;0,QrrSky,QrrBot)*Fsw*(Vin-H12*RdsonTop)</f>
        <v>0.40319328</v>
      </c>
      <c r="AF12" s="0" t="n">
        <f aca="false">Iq*Vin</f>
        <v>0.054</v>
      </c>
      <c r="AG12" s="0" t="n">
        <f aca="false">Vin*(QgTop+QgBot)*Fsw</f>
        <v>0.35784</v>
      </c>
      <c r="AH12" s="357" t="n">
        <f aca="false">(Vin-Vdd)*Fsw*(QgTop+QgBot)+(RdsonDRT+RdsonDRT2)*Fsw*QgTop*Vdd/(RdsonDRT+2*RGateTop+RdsonDRT2)+(RdsonDRB+RdsonDRB2)*Fsw*QgBot*Vdd/(RdsonDRB+2*RGateBot+RdsonDRB2)</f>
        <v>0.31571422459893</v>
      </c>
      <c r="AI12" s="0" t="n">
        <f aca="false">SUM(AF12:AG12)</f>
        <v>0.41184</v>
      </c>
      <c r="AJ12" s="402" t="n">
        <f aca="false">SUM(N12,Q12,T12,Y12,AE12,AD12,AC12,AI12)</f>
        <v>0.834045858484778</v>
      </c>
      <c r="AK12" s="358" t="n">
        <f aca="false">Vout*H12</f>
        <v>0.36</v>
      </c>
      <c r="AL12" s="359" t="n">
        <f aca="false">AK12/(AK12+AJ12)</f>
        <v>0.301495958000167</v>
      </c>
      <c r="AM12" s="0" t="n">
        <f aca="false">ThetaJaTop*Y12</f>
        <v>0.356018095972714</v>
      </c>
      <c r="AN12" s="0" t="n">
        <f aca="false">AC12*ThetaJaBot</f>
        <v>0.520240490371183</v>
      </c>
      <c r="AO12" s="359"/>
      <c r="AP12" s="0" t="n">
        <f aca="false">AL12*100</f>
        <v>30.1495958000167</v>
      </c>
      <c r="AX12" s="0" t="s">
        <v>603</v>
      </c>
      <c r="AY12" s="403" t="n">
        <v>60</v>
      </c>
      <c r="AZ12" s="403" t="n">
        <v>60</v>
      </c>
      <c r="BA12" s="403" t="n">
        <v>60</v>
      </c>
      <c r="BB12" s="404" t="n">
        <f aca="false">250000*(18-Vdd)*BA12/1000000000+((250000*BA9/1000000000*Vdd)*2.5/(2*4))</f>
        <v>0.227109375</v>
      </c>
      <c r="BC12" s="0" t="n">
        <f aca="false">BC$6*$BB12</f>
        <v>18.16875</v>
      </c>
      <c r="BD12" s="0" t="n">
        <f aca="false">BD$6*$BB12</f>
        <v>22.7109375</v>
      </c>
      <c r="BE12" s="0" t="n">
        <f aca="false">BE$6*$BB12</f>
        <v>27.253125</v>
      </c>
      <c r="BF12" s="0" t="n">
        <f aca="false">BF$6*$BB12</f>
        <v>31.7953125</v>
      </c>
      <c r="BG12" s="0" t="n">
        <f aca="false">BG$6*$BB12</f>
        <v>36.3375</v>
      </c>
      <c r="BH12" s="0" t="n">
        <f aca="false">BH$6*$BB12</f>
        <v>40.8796875</v>
      </c>
      <c r="BI12" s="0" t="n">
        <f aca="false">BI$6*$BB12</f>
        <v>4.5421875</v>
      </c>
      <c r="BJ12" s="0" t="n">
        <f aca="false">BJ$6*$BB12</f>
        <v>6.81328125</v>
      </c>
      <c r="BK12" s="0" t="n">
        <f aca="false">BK$6*$BB12</f>
        <v>9.084375</v>
      </c>
      <c r="BL12" s="0" t="n">
        <f aca="false">BL$6*$BB12</f>
        <v>11.35546875</v>
      </c>
    </row>
    <row r="13" customFormat="false" ht="12.75" hidden="false" customHeight="false" outlineLevel="0" collapsed="false">
      <c r="A13" s="410" t="s">
        <v>198</v>
      </c>
      <c r="B13" s="343" t="n">
        <f aca="false">Fsw/1000</f>
        <v>700</v>
      </c>
      <c r="C13" s="408" t="s">
        <v>14</v>
      </c>
      <c r="D13" s="409" t="s">
        <v>604</v>
      </c>
      <c r="G13" s="0" t="n">
        <v>4</v>
      </c>
      <c r="H13" s="0" t="n">
        <f aca="false">Iout*(G13/100)</f>
        <v>0.08</v>
      </c>
      <c r="I13" s="0" t="n">
        <f aca="false">(Vout+Rdcr*H13+RdsonBot*H13)/(Vin-RdsonTop*H13+RdsonBot*H13)</f>
        <v>0.333446520430123</v>
      </c>
      <c r="J13" s="0" t="n">
        <f aca="false">(Vin-Vout)*I13/(Fsw*Lout2)</f>
        <v>0.84062148007594</v>
      </c>
      <c r="K13" s="0" t="n">
        <f aca="false">SQRT(H13^2+(J13^2)/12)</f>
        <v>0.255513286145924</v>
      </c>
      <c r="L13" s="0" t="n">
        <f aca="false">(K13^2*Rdcr*(1+Ltc*Ta-Ltc*25))/(1-K13^2*Rdcr*Ltc*ThetaCa)</f>
        <v>0.00150178231246768</v>
      </c>
      <c r="N13" s="356" t="n">
        <f aca="false">L13</f>
        <v>0.00150178231246768</v>
      </c>
      <c r="O13" s="357" t="n">
        <f aca="false">J13/(2*SQRT(3))</f>
        <v>0.242666518904213</v>
      </c>
      <c r="P13" s="357" t="n">
        <f aca="false">RCoutEsr*O13^2</f>
        <v>2.94435196985443E-005</v>
      </c>
      <c r="Q13" s="357" t="n">
        <f aca="false">P13</f>
        <v>2.94435196985443E-005</v>
      </c>
      <c r="R13" s="0" t="n">
        <f aca="false">SQRT(I13)*SQRT(H13^2+(J13^2)/12)</f>
        <v>0.147545708565663</v>
      </c>
      <c r="S13" s="400" t="n">
        <f aca="false">RCinEsr*R13^2</f>
        <v>2.17697361161435E-005</v>
      </c>
      <c r="T13" s="401" t="n">
        <f aca="false">S13</f>
        <v>2.17697361161435E-005</v>
      </c>
      <c r="U13" s="0" t="n">
        <f aca="false">SQRT(I13)*SQRT(H13^2+(J13^2)/12)</f>
        <v>0.147545708565663</v>
      </c>
      <c r="V13" s="0" t="n">
        <f aca="false">RdsonTop*U13^2</f>
        <v>0.000108848680580718</v>
      </c>
      <c r="W13" s="0" t="n">
        <f aca="false">(Vin*H13/2)*(Fsw)*(Tr+Tf)</f>
        <v>0.0036383804250462</v>
      </c>
      <c r="X13" s="0" t="n">
        <f aca="false">IF(H13&gt;J13/2,0,ABS(H13-J13/2)*VsdTop*Deadtime*Fsw)</f>
        <v>0.00404969780645184</v>
      </c>
      <c r="Y13" s="0" t="n">
        <f aca="false">(X13+W13+V13*(1+RdsonTopTc*Ta-RdsonTopTc*25))/(1-V13*RdsonTopTc*ThetaJaTop)</f>
        <v>0.00779709665281537</v>
      </c>
      <c r="Z13" s="0" t="n">
        <f aca="false">SQRT(1-I13)*SQRT(H13^2+(J13^2)/12)</f>
        <v>0.208608013462918</v>
      </c>
      <c r="AA13" s="0" t="n">
        <f aca="false">RdsonBot*Z13^2</f>
        <v>5.22207639371341E-005</v>
      </c>
      <c r="AB13" s="0" t="n">
        <f aca="false">2*Deadtime*Fsw*IF(VfdSky&gt;0,0,VsdBot)*(H13+J13/2)</f>
        <v>0.0107866995552186</v>
      </c>
      <c r="AC13" s="0" t="n">
        <f aca="false">(AB13+AA13*(1+RdsonBotTc*Ta-RdsonBotTc*25))/(1-AA13*RdsonBotTc*ThetaJaBot)</f>
        <v>0.010839033523678</v>
      </c>
      <c r="AD13" s="0" t="n">
        <f aca="false">2*Deadtime*Fsw*IF(VfdSky&gt;0,VfdSky,0)*H13</f>
        <v>0</v>
      </c>
      <c r="AE13" s="0" t="n">
        <f aca="false">IF(QrrSky&gt;0,QrrSky,QrrBot)*Fsw*(Vin-H13*RdsonTop)</f>
        <v>0.40319104</v>
      </c>
      <c r="AF13" s="0" t="n">
        <f aca="false">Iq*Vin</f>
        <v>0.054</v>
      </c>
      <c r="AG13" s="0" t="n">
        <f aca="false">Vin*(QgTop+QgBot)*Fsw</f>
        <v>0.35784</v>
      </c>
      <c r="AH13" s="357" t="n">
        <f aca="false">(Vin-Vdd)*Fsw*(QgTop+QgBot)+(RdsonDRT+RdsonDRT2)*Fsw*QgTop*Vdd/(RdsonDRT+2*RGateTop+RdsonDRT2)+(RdsonDRB+RdsonDRB2)*Fsw*QgBot*Vdd/(RdsonDRB+2*RGateBot+RdsonDRB2)</f>
        <v>0.31571422459893</v>
      </c>
      <c r="AI13" s="0" t="n">
        <f aca="false">SUM(AF13:AG13)</f>
        <v>0.41184</v>
      </c>
      <c r="AJ13" s="402" t="n">
        <f aca="false">SUM(N13,Q13,T13,Y13,AE13,AD13,AC13,AI13)</f>
        <v>0.835220165744776</v>
      </c>
      <c r="AK13" s="358" t="n">
        <f aca="false">Vout*H13</f>
        <v>0.48</v>
      </c>
      <c r="AL13" s="359" t="n">
        <f aca="false">AK13/(AK13+AJ13)</f>
        <v>0.364957907810202</v>
      </c>
      <c r="AM13" s="0" t="n">
        <f aca="false">ThetaJaTop*Y13</f>
        <v>0.389854832640768</v>
      </c>
      <c r="AN13" s="0" t="n">
        <f aca="false">AC13*ThetaJaBot</f>
        <v>0.541951676183898</v>
      </c>
      <c r="AO13" s="359"/>
      <c r="AP13" s="0" t="n">
        <f aca="false">AL13*100</f>
        <v>36.4957907810202</v>
      </c>
      <c r="AX13" s="0" t="s">
        <v>605</v>
      </c>
      <c r="AY13" s="403" t="n">
        <v>30</v>
      </c>
      <c r="AZ13" s="403" t="n">
        <v>30</v>
      </c>
      <c r="BA13" s="403" t="n">
        <v>30</v>
      </c>
      <c r="BB13" s="404" t="n">
        <f aca="false">500000*(5-Vdd)*BA13/1000000000+((500000*BA9/1000000000*Vdd)*2.5/(2*4))</f>
        <v>0.05671875</v>
      </c>
      <c r="BC13" s="0" t="n">
        <f aca="false">BC$6*$BB13</f>
        <v>4.5375</v>
      </c>
      <c r="BD13" s="0" t="n">
        <f aca="false">BD$6*$BB13</f>
        <v>5.671875</v>
      </c>
      <c r="BE13" s="0" t="n">
        <f aca="false">BE$6*$BB13</f>
        <v>6.80625</v>
      </c>
      <c r="BF13" s="0" t="n">
        <f aca="false">BF$6*$BB13</f>
        <v>7.940625</v>
      </c>
      <c r="BG13" s="0" t="n">
        <f aca="false">BG$6*$BB13</f>
        <v>9.075</v>
      </c>
      <c r="BH13" s="0" t="n">
        <f aca="false">BH$6*$BB13</f>
        <v>10.209375</v>
      </c>
      <c r="BI13" s="0" t="n">
        <f aca="false">BI$6*$BB13</f>
        <v>1.134375</v>
      </c>
      <c r="BJ13" s="0" t="n">
        <f aca="false">BJ$6*$BB13</f>
        <v>1.7015625</v>
      </c>
      <c r="BK13" s="0" t="n">
        <f aca="false">BK$6*$BB13</f>
        <v>2.26875</v>
      </c>
      <c r="BL13" s="0" t="n">
        <f aca="false">BL$6*$BB13</f>
        <v>2.8359375</v>
      </c>
    </row>
    <row r="14" customFormat="false" ht="12.75" hidden="false" customHeight="false" outlineLevel="0" collapsed="false">
      <c r="A14" s="410" t="s">
        <v>196</v>
      </c>
      <c r="B14" s="343" t="n">
        <f aca="false">Iout</f>
        <v>2</v>
      </c>
      <c r="C14" s="408" t="s">
        <v>12</v>
      </c>
      <c r="D14" s="409" t="s">
        <v>606</v>
      </c>
      <c r="G14" s="0" t="n">
        <v>5</v>
      </c>
      <c r="H14" s="0" t="n">
        <f aca="false">Iout*(G14/100)</f>
        <v>0.1</v>
      </c>
      <c r="I14" s="0" t="n">
        <f aca="false">(Vout+Rdcr*H14+RdsonBot*H14)/(Vin-RdsonTop*H14+RdsonBot*H14)</f>
        <v>0.333474817801709</v>
      </c>
      <c r="J14" s="0" t="n">
        <f aca="false">(Vin-Vout)*I14/(Fsw*Lout2)</f>
        <v>0.840692817987502</v>
      </c>
      <c r="K14" s="0" t="n">
        <f aca="false">SQRT(H14^2+(J14^2)/12)</f>
        <v>0.262482446113984</v>
      </c>
      <c r="L14" s="0" t="n">
        <f aca="false">(K14^2*Rdcr*(1+Ltc*Ta-Ltc*25))/(1-K14^2*Rdcr*Ltc*ThetaCa)</f>
        <v>0.00158483270401682</v>
      </c>
      <c r="N14" s="356" t="n">
        <f aca="false">L14</f>
        <v>0.00158483270401682</v>
      </c>
      <c r="O14" s="357" t="n">
        <f aca="false">J14/(2*SQRT(3))</f>
        <v>0.242687112385435</v>
      </c>
      <c r="P14" s="357" t="n">
        <f aca="false">RCoutEsr*O14^2</f>
        <v>2.94485172589903E-005</v>
      </c>
      <c r="Q14" s="357" t="n">
        <f aca="false">P14</f>
        <v>2.94485172589903E-005</v>
      </c>
      <c r="R14" s="0" t="n">
        <f aca="false">SQRT(I14)*SQRT(H14^2+(J14^2)/12)</f>
        <v>0.151576469258792</v>
      </c>
      <c r="S14" s="400" t="n">
        <f aca="false">RCinEsr*R14^2</f>
        <v>2.29754260329617E-005</v>
      </c>
      <c r="T14" s="401" t="n">
        <f aca="false">S14</f>
        <v>2.29754260329617E-005</v>
      </c>
      <c r="U14" s="0" t="n">
        <f aca="false">SQRT(I14)*SQRT(H14^2+(J14^2)/12)</f>
        <v>0.151576469258792</v>
      </c>
      <c r="V14" s="0" t="n">
        <f aca="false">RdsonTop*U14^2</f>
        <v>0.000114877130164808</v>
      </c>
      <c r="W14" s="0" t="n">
        <f aca="false">(Vin*H14/2)*(Fsw)*(Tr+Tf)</f>
        <v>0.00454797553130776</v>
      </c>
      <c r="X14" s="0" t="n">
        <f aca="false">IF(H14&gt;J14/2,0,ABS(H14-J14/2)*VsdTop*Deadtime*Fsw)</f>
        <v>0.00381212226702564</v>
      </c>
      <c r="Y14" s="0" t="n">
        <f aca="false">(X14+W14+V14*(1+RdsonTopTc*Ta-RdsonTopTc*25))/(1-V14*RdsonTopTc*ThetaJaTop)</f>
        <v>0.00847516964913159</v>
      </c>
      <c r="Z14" s="0" t="n">
        <f aca="false">SQRT(1-I14)*SQRT(H14^2+(J14^2)/12)</f>
        <v>0.214293276807787</v>
      </c>
      <c r="AA14" s="0" t="n">
        <f aca="false">RdsonBot*Z14^2</f>
        <v>5.51059301820227E-005</v>
      </c>
      <c r="AB14" s="0" t="n">
        <f aca="false">2*Deadtime*Fsw*IF(VfdSky&gt;0,0,VsdBot)*(H14+J14/2)</f>
        <v>0.0112186685779053</v>
      </c>
      <c r="AC14" s="0" t="n">
        <f aca="false">(AB14+AA14*(1+RdsonBotTc*Ta-RdsonBotTc*25))/(1-AA14*RdsonBotTc*ThetaJaBot)</f>
        <v>0.0112738987598229</v>
      </c>
      <c r="AD14" s="0" t="n">
        <f aca="false">2*Deadtime*Fsw*IF(VfdSky&gt;0,VfdSky,0)*H14</f>
        <v>0</v>
      </c>
      <c r="AE14" s="0" t="n">
        <f aca="false">IF(QrrSky&gt;0,QrrSky,QrrBot)*Fsw*(Vin-H14*RdsonTop)</f>
        <v>0.4031888</v>
      </c>
      <c r="AF14" s="0" t="n">
        <f aca="false">Iq*Vin</f>
        <v>0.054</v>
      </c>
      <c r="AG14" s="0" t="n">
        <f aca="false">Vin*(QgTop+QgBot)*Fsw</f>
        <v>0.35784</v>
      </c>
      <c r="AH14" s="357" t="n">
        <f aca="false">(Vin-Vdd)*Fsw*(QgTop+QgBot)+(RdsonDRT+RdsonDRT2)*Fsw*QgTop*Vdd/(RdsonDRT+2*RGateTop+RdsonDRT2)+(RdsonDRB+RdsonDRB2)*Fsw*QgBot*Vdd/(RdsonDRB+2*RGateBot+RdsonDRB2)</f>
        <v>0.31571422459893</v>
      </c>
      <c r="AI14" s="0" t="n">
        <f aca="false">SUM(AF14:AG14)</f>
        <v>0.41184</v>
      </c>
      <c r="AJ14" s="402" t="n">
        <f aca="false">SUM(N14,Q14,T14,Y14,AE14,AD14,AC14,AI14)</f>
        <v>0.836415125056263</v>
      </c>
      <c r="AK14" s="358" t="n">
        <f aca="false">Vout*H14</f>
        <v>0.6</v>
      </c>
      <c r="AL14" s="359" t="n">
        <f aca="false">AK14/(AK14+AJ14)</f>
        <v>0.41770654564536</v>
      </c>
      <c r="AM14" s="0" t="n">
        <f aca="false">ThetaJaTop*Y14</f>
        <v>0.42375848245658</v>
      </c>
      <c r="AN14" s="0" t="n">
        <f aca="false">AC14*ThetaJaBot</f>
        <v>0.563694937991144</v>
      </c>
      <c r="AO14" s="359"/>
      <c r="AP14" s="0" t="n">
        <f aca="false">AL14*100</f>
        <v>41.770654564536</v>
      </c>
      <c r="AX14" s="0" t="s">
        <v>607</v>
      </c>
      <c r="AY14" s="403" t="n">
        <v>45</v>
      </c>
      <c r="AZ14" s="403" t="n">
        <v>45</v>
      </c>
      <c r="BA14" s="403" t="n">
        <v>45</v>
      </c>
      <c r="BB14" s="404" t="n">
        <f aca="false">500000*(12-Vdd)*BA14/1000000000+((500000*BA9/1000000000*Vdd)*2.5/(2*4))</f>
        <v>0.21796875</v>
      </c>
      <c r="BC14" s="0" t="n">
        <f aca="false">BC$6*$BB14</f>
        <v>17.4375</v>
      </c>
      <c r="BD14" s="0" t="n">
        <f aca="false">BD$6*$BB14</f>
        <v>21.796875</v>
      </c>
      <c r="BE14" s="0" t="n">
        <f aca="false">BE$6*$BB14</f>
        <v>26.15625</v>
      </c>
      <c r="BF14" s="0" t="n">
        <f aca="false">BF$6*$BB14</f>
        <v>30.515625</v>
      </c>
      <c r="BG14" s="0" t="n">
        <f aca="false">BG$6*$BB14</f>
        <v>34.875</v>
      </c>
      <c r="BH14" s="0" t="n">
        <f aca="false">BH$6*$BB14</f>
        <v>39.234375</v>
      </c>
      <c r="BI14" s="0" t="n">
        <f aca="false">BI$6*$BB14</f>
        <v>4.359375</v>
      </c>
      <c r="BJ14" s="0" t="n">
        <f aca="false">BJ$6*$BB14</f>
        <v>6.5390625</v>
      </c>
      <c r="BK14" s="0" t="n">
        <f aca="false">BK$6*$BB14</f>
        <v>8.71875</v>
      </c>
      <c r="BL14" s="0" t="n">
        <f aca="false">BL$6*$BB14</f>
        <v>10.8984375</v>
      </c>
    </row>
    <row r="15" customFormat="false" ht="12.75" hidden="false" customHeight="false" outlineLevel="0" collapsed="false">
      <c r="A15" s="411" t="s">
        <v>355</v>
      </c>
      <c r="B15" s="343" t="n">
        <f aca="false">Ta</f>
        <v>25</v>
      </c>
      <c r="C15" s="408" t="s">
        <v>608</v>
      </c>
      <c r="D15" s="409" t="s">
        <v>356</v>
      </c>
      <c r="G15" s="0" t="n">
        <v>6</v>
      </c>
      <c r="H15" s="0" t="n">
        <f aca="false">Iout*(G15/100)</f>
        <v>0.12</v>
      </c>
      <c r="I15" s="0" t="n">
        <f aca="false">(Vout+Rdcr*H15+RdsonBot*H15)/(Vin-RdsonTop*H15+RdsonBot*H15)</f>
        <v>0.333503115412257</v>
      </c>
      <c r="J15" s="0" t="n">
        <f aca="false">(Vin-Vout)*I15/(Fsw*Lout2)</f>
        <v>0.840764156501489</v>
      </c>
      <c r="K15" s="0" t="n">
        <f aca="false">SQRT(H15^2+(J15^2)/12)</f>
        <v>0.270752711106411</v>
      </c>
      <c r="L15" s="0" t="n">
        <f aca="false">(K15^2*Rdcr*(1+Ltc*Ta-Ltc*25))/(1-K15^2*Rdcr*Ltc*ThetaCa)</f>
        <v>0.00168628915814945</v>
      </c>
      <c r="N15" s="356" t="n">
        <f aca="false">L15</f>
        <v>0.00168628915814945</v>
      </c>
      <c r="O15" s="357" t="n">
        <f aca="false">J15/(2*SQRT(3))</f>
        <v>0.242707706040562</v>
      </c>
      <c r="P15" s="357" t="n">
        <f aca="false">RCoutEsr*O15^2</f>
        <v>2.94535152857358E-005</v>
      </c>
      <c r="Q15" s="357" t="n">
        <f aca="false">P15</f>
        <v>2.94535152857358E-005</v>
      </c>
      <c r="R15" s="0" t="n">
        <f aca="false">SQRT(I15)*SQRT(H15^2+(J15^2)/12)</f>
        <v>0.15635895585865</v>
      </c>
      <c r="S15" s="400" t="n">
        <f aca="false">RCinEsr*R15^2</f>
        <v>2.44481230772074E-005</v>
      </c>
      <c r="T15" s="401" t="n">
        <f aca="false">S15</f>
        <v>2.44481230772074E-005</v>
      </c>
      <c r="U15" s="0" t="n">
        <f aca="false">SQRT(I15)*SQRT(H15^2+(J15^2)/12)</f>
        <v>0.15635895585865</v>
      </c>
      <c r="V15" s="0" t="n">
        <f aca="false">RdsonTop*U15^2</f>
        <v>0.000122240615386037</v>
      </c>
      <c r="W15" s="0" t="n">
        <f aca="false">(Vin*H15/2)*(Fsw)*(Tr+Tf)</f>
        <v>0.00545757063756931</v>
      </c>
      <c r="X15" s="0" t="n">
        <f aca="false">IF(H15&gt;J15/2,0,ABS(H15-J15/2)*VsdTop*Deadtime*Fsw)</f>
        <v>0.00357454673118386</v>
      </c>
      <c r="Y15" s="0" t="n">
        <f aca="false">(X15+W15+V15*(1+RdsonTopTc*Ta-RdsonTopTc*25))/(1-V15*RdsonTopTc*ThetaJaTop)</f>
        <v>0.00915458179648168</v>
      </c>
      <c r="Z15" s="0" t="n">
        <f aca="false">SQRT(1-I15)*SQRT(H15^2+(J15^2)/12)</f>
        <v>0.22104051097992</v>
      </c>
      <c r="AA15" s="0" t="n">
        <f aca="false">RdsonBot*Z15^2</f>
        <v>5.86306889931171E-005</v>
      </c>
      <c r="AB15" s="0" t="n">
        <f aca="false">2*Deadtime*Fsw*IF(VfdSky&gt;0,0,VsdBot)*(H15+J15/2)</f>
        <v>0.011650637607086</v>
      </c>
      <c r="AC15" s="0" t="n">
        <f aca="false">(AB15+AA15*(1+RdsonBotTc*Ta-RdsonBotTc*25))/(1-AA15*RdsonBotTc*ThetaJaBot)</f>
        <v>0.0117094056021828</v>
      </c>
      <c r="AD15" s="0" t="n">
        <f aca="false">2*Deadtime*Fsw*IF(VfdSky&gt;0,VfdSky,0)*H15</f>
        <v>0</v>
      </c>
      <c r="AE15" s="0" t="n">
        <f aca="false">IF(QrrSky&gt;0,QrrSky,QrrBot)*Fsw*(Vin-H15*RdsonTop)</f>
        <v>0.40318656</v>
      </c>
      <c r="AF15" s="0" t="n">
        <f aca="false">Iq*Vin</f>
        <v>0.054</v>
      </c>
      <c r="AG15" s="0" t="n">
        <f aca="false">Vin*(QgTop+QgBot)*Fsw</f>
        <v>0.35784</v>
      </c>
      <c r="AH15" s="357" t="n">
        <f aca="false">(Vin-Vdd)*Fsw*(QgTop+QgBot)+(RdsonDRT+RdsonDRT2)*Fsw*QgTop*Vdd/(RdsonDRT+2*RGateTop+RdsonDRT2)+(RdsonDRB+RdsonDRB2)*Fsw*QgBot*Vdd/(RdsonDRB+2*RGateBot+RdsonDRB2)</f>
        <v>0.31571422459893</v>
      </c>
      <c r="AI15" s="0" t="n">
        <f aca="false">SUM(AF15:AG15)</f>
        <v>0.41184</v>
      </c>
      <c r="AJ15" s="402" t="n">
        <f aca="false">SUM(N15,Q15,T15,Y15,AE15,AD15,AC15,AI15)</f>
        <v>0.837630738195177</v>
      </c>
      <c r="AK15" s="358" t="n">
        <f aca="false">Vout*H15</f>
        <v>0.72</v>
      </c>
      <c r="AL15" s="359" t="n">
        <f aca="false">AK15/(AK15+AJ15)</f>
        <v>0.462240492784742</v>
      </c>
      <c r="AM15" s="0" t="n">
        <f aca="false">ThetaJaTop*Y15</f>
        <v>0.457729089824084</v>
      </c>
      <c r="AN15" s="0" t="n">
        <f aca="false">AC15*ThetaJaBot</f>
        <v>0.58547028010914</v>
      </c>
      <c r="AO15" s="359"/>
      <c r="AP15" s="0" t="n">
        <f aca="false">AL15*100</f>
        <v>46.2240492784742</v>
      </c>
      <c r="AX15" s="0" t="s">
        <v>609</v>
      </c>
      <c r="AY15" s="403" t="n">
        <v>20</v>
      </c>
      <c r="AZ15" s="403" t="n">
        <v>20</v>
      </c>
      <c r="BA15" s="403" t="n">
        <v>20</v>
      </c>
      <c r="BB15" s="404" t="n">
        <f aca="false">1000000*(5-Vdd)*BA15/1000000000+((1000000*BA9/1000000000*Vdd)*2.5/(2*4))</f>
        <v>0.1084375</v>
      </c>
      <c r="BC15" s="0" t="n">
        <f aca="false">BC$6*$BB15</f>
        <v>8.675</v>
      </c>
      <c r="BD15" s="0" t="n">
        <f aca="false">BD$6*$BB15</f>
        <v>10.84375</v>
      </c>
      <c r="BE15" s="0" t="n">
        <f aca="false">BE$6*$BB15</f>
        <v>13.0125</v>
      </c>
      <c r="BF15" s="0" t="n">
        <f aca="false">BF$6*$BB15</f>
        <v>15.18125</v>
      </c>
      <c r="BG15" s="0" t="n">
        <f aca="false">BG$6*$BB15</f>
        <v>17.35</v>
      </c>
      <c r="BH15" s="0" t="n">
        <f aca="false">BH$6*$BB15</f>
        <v>19.51875</v>
      </c>
      <c r="BI15" s="0" t="n">
        <f aca="false">BI$6*$BB15</f>
        <v>2.16875</v>
      </c>
      <c r="BJ15" s="0" t="n">
        <f aca="false">BJ$6*$BB15</f>
        <v>3.253125</v>
      </c>
      <c r="BK15" s="0" t="n">
        <f aca="false">BK$6*$BB15</f>
        <v>4.3375</v>
      </c>
      <c r="BL15" s="0" t="n">
        <f aca="false">BL$6*$BB15</f>
        <v>5.421875</v>
      </c>
    </row>
    <row r="16" customFormat="false" ht="12.75" hidden="false" customHeight="false" outlineLevel="0" collapsed="false">
      <c r="A16" s="410" t="s">
        <v>365</v>
      </c>
      <c r="B16" s="343" t="n">
        <f aca="false">Vdd</f>
        <v>4.5</v>
      </c>
      <c r="C16" s="408" t="s">
        <v>9</v>
      </c>
      <c r="D16" s="409" t="s">
        <v>610</v>
      </c>
      <c r="G16" s="0" t="n">
        <v>7</v>
      </c>
      <c r="H16" s="0" t="n">
        <f aca="false">Iout*(G16/100)</f>
        <v>0.14</v>
      </c>
      <c r="I16" s="0" t="n">
        <f aca="false">(Vout+Rdcr*H16+RdsonBot*H16)/(Vin-RdsonTop*H16+RdsonBot*H16)</f>
        <v>0.33353141326177</v>
      </c>
      <c r="J16" s="0" t="n">
        <f aca="false">(Vin-Vout)*I16/(Fsw*Lout2)</f>
        <v>0.840835495617907</v>
      </c>
      <c r="K16" s="0" t="n">
        <f aca="false">SQRT(H16^2+(J16^2)/12)</f>
        <v>0.280208899854348</v>
      </c>
      <c r="L16" s="0" t="n">
        <f aca="false">(K16^2*Rdcr*(1+Ltc*Ta-Ltc*25))/(1-K16^2*Rdcr*Ltc*ThetaCa)</f>
        <v>0.00180615257108984</v>
      </c>
      <c r="N16" s="356" t="n">
        <f aca="false">L16</f>
        <v>0.00180615257108984</v>
      </c>
      <c r="O16" s="357" t="n">
        <f aca="false">J16/(2*SQRT(3))</f>
        <v>0.242728299869595</v>
      </c>
      <c r="P16" s="357" t="n">
        <f aca="false">RCoutEsr*O16^2</f>
        <v>2.94585137787921E-005</v>
      </c>
      <c r="Q16" s="357" t="n">
        <f aca="false">P16</f>
        <v>2.94585137787921E-005</v>
      </c>
      <c r="R16" s="0" t="n">
        <f aca="false">SQRT(I16)*SQRT(H16^2+(J16^2)/12)</f>
        <v>0.161826744286581</v>
      </c>
      <c r="S16" s="400" t="n">
        <f aca="false">RCinEsr*R16^2</f>
        <v>2.61878951663944E-005</v>
      </c>
      <c r="T16" s="401" t="n">
        <f aca="false">S16</f>
        <v>2.61878951663944E-005</v>
      </c>
      <c r="U16" s="0" t="n">
        <f aca="false">SQRT(I16)*SQRT(H16^2+(J16^2)/12)</f>
        <v>0.161826744286581</v>
      </c>
      <c r="V16" s="0" t="n">
        <f aca="false">RdsonTop*U16^2</f>
        <v>0.000130939475831972</v>
      </c>
      <c r="W16" s="0" t="n">
        <f aca="false">(Vin*H16/2)*(Fsw)*(Tr+Tf)</f>
        <v>0.00636716574383086</v>
      </c>
      <c r="X16" s="0" t="n">
        <f aca="false">IF(H16&gt;J16/2,0,ABS(H16-J16/2)*VsdTop*Deadtime*Fsw)</f>
        <v>0.00333697119892655</v>
      </c>
      <c r="Y16" s="0" t="n">
        <f aca="false">(X16+W16+V16*(1+RdsonTopTc*Ta-RdsonTopTc*25))/(1-V16*RdsonTopTc*ThetaJaTop)</f>
        <v>0.00983533398528471</v>
      </c>
      <c r="Z16" s="0" t="n">
        <f aca="false">SQRT(1-I16)*SQRT(H16^2+(J16^2)/12)</f>
        <v>0.228755617179535</v>
      </c>
      <c r="AA16" s="0" t="n">
        <f aca="false">RdsonBot*Z16^2</f>
        <v>6.27949588694278E-005</v>
      </c>
      <c r="AB16" s="0" t="n">
        <f aca="false">2*Deadtime*Fsw*IF(VfdSky&gt;0,0,VsdBot)*(H16+J16/2)</f>
        <v>0.012082606642761</v>
      </c>
      <c r="AC16" s="0" t="n">
        <f aca="false">(AB16+AA16*(1+RdsonBotTc*Ta-RdsonBotTc*25))/(1-AA16*RdsonBotTc*ThetaJaBot)</f>
        <v>0.012145554137545</v>
      </c>
      <c r="AD16" s="0" t="n">
        <f aca="false">2*Deadtime*Fsw*IF(VfdSky&gt;0,VfdSky,0)*H16</f>
        <v>0</v>
      </c>
      <c r="AE16" s="0" t="n">
        <f aca="false">IF(QrrSky&gt;0,QrrSky,QrrBot)*Fsw*(Vin-H16*RdsonTop)</f>
        <v>0.40318432</v>
      </c>
      <c r="AF16" s="0" t="n">
        <f aca="false">Iq*Vin</f>
        <v>0.054</v>
      </c>
      <c r="AG16" s="0" t="n">
        <f aca="false">Vin*(QgTop+QgBot)*Fsw</f>
        <v>0.35784</v>
      </c>
      <c r="AH16" s="357" t="n">
        <f aca="false">(Vin-Vdd)*Fsw*(QgTop+QgBot)+(RdsonDRT+RdsonDRT2)*Fsw*QgTop*Vdd/(RdsonDRT+2*RGateTop+RdsonDRT2)+(RdsonDRB+RdsonDRB2)*Fsw*QgBot*Vdd/(RdsonDRB+2*RGateBot+RdsonDRB2)</f>
        <v>0.31571422459893</v>
      </c>
      <c r="AI16" s="0" t="n">
        <f aca="false">SUM(AF16:AG16)</f>
        <v>0.41184</v>
      </c>
      <c r="AJ16" s="402" t="n">
        <f aca="false">SUM(N16,Q16,T16,Y16,AE16,AD16,AC16,AI16)</f>
        <v>0.838867007102865</v>
      </c>
      <c r="AK16" s="358" t="n">
        <f aca="false">Vout*H16</f>
        <v>0.84</v>
      </c>
      <c r="AL16" s="359" t="n">
        <f aca="false">AK16/(AK16+AJ16)</f>
        <v>0.500337427828512</v>
      </c>
      <c r="AM16" s="0" t="n">
        <f aca="false">ThetaJaTop*Y16</f>
        <v>0.491766699264236</v>
      </c>
      <c r="AN16" s="0" t="n">
        <f aca="false">AC16*ThetaJaBot</f>
        <v>0.607277706877248</v>
      </c>
      <c r="AO16" s="359"/>
      <c r="AP16" s="0" t="n">
        <f aca="false">AL16*100</f>
        <v>50.0337427828512</v>
      </c>
      <c r="AX16" s="0" t="s">
        <v>611</v>
      </c>
      <c r="AY16" s="403" t="n">
        <v>25</v>
      </c>
      <c r="AZ16" s="403" t="n">
        <v>25</v>
      </c>
      <c r="BA16" s="403" t="n">
        <v>25</v>
      </c>
      <c r="BB16" s="404" t="n">
        <f aca="false">1000000*(12-Vdd)*BA16/1000000000+((1000000*BA9/1000000000*Vdd)*2.5/(2*4))</f>
        <v>0.2859375</v>
      </c>
      <c r="BC16" s="0" t="n">
        <f aca="false">BC$6*$BB16</f>
        <v>22.875</v>
      </c>
      <c r="BD16" s="0" t="n">
        <f aca="false">BD$6*$BB16</f>
        <v>28.59375</v>
      </c>
      <c r="BE16" s="0" t="n">
        <f aca="false">BE$6*$BB16</f>
        <v>34.3125</v>
      </c>
      <c r="BF16" s="0" t="n">
        <f aca="false">BF$6*$BB16</f>
        <v>40.03125</v>
      </c>
      <c r="BG16" s="0" t="n">
        <f aca="false">BG$6*$BB16</f>
        <v>45.75</v>
      </c>
      <c r="BH16" s="0" t="n">
        <f aca="false">BH$6*$BB16</f>
        <v>51.46875</v>
      </c>
      <c r="BI16" s="0" t="n">
        <f aca="false">BI$6*$BB16</f>
        <v>5.71875</v>
      </c>
      <c r="BJ16" s="0" t="n">
        <f aca="false">BJ$6*$BB16</f>
        <v>8.578125</v>
      </c>
      <c r="BK16" s="0" t="n">
        <f aca="false">BK$6*$BB16</f>
        <v>11.4375</v>
      </c>
      <c r="BL16" s="0" t="n">
        <f aca="false">BL$6*$BB16</f>
        <v>14.296875</v>
      </c>
    </row>
    <row r="17" customFormat="false" ht="12.75" hidden="false" customHeight="false" outlineLevel="0" collapsed="false">
      <c r="A17" s="412" t="s">
        <v>357</v>
      </c>
      <c r="B17" s="398" t="s">
        <v>600</v>
      </c>
      <c r="C17" s="412" t="s">
        <v>430</v>
      </c>
      <c r="D17" s="399" t="s">
        <v>123</v>
      </c>
      <c r="G17" s="0" t="n">
        <v>8</v>
      </c>
      <c r="H17" s="0" t="n">
        <f aca="false">Iout*(G17/100)</f>
        <v>0.16</v>
      </c>
      <c r="I17" s="0" t="n">
        <f aca="false">(Vout+Rdcr*H17+RdsonBot*H17)/(Vin-RdsonTop*H17+RdsonBot*H17)</f>
        <v>0.33355971135025</v>
      </c>
      <c r="J17" s="0" t="n">
        <f aca="false">(Vin-Vout)*I17/(Fsw*Lout2)</f>
        <v>0.840906835336765</v>
      </c>
      <c r="K17" s="0" t="n">
        <f aca="false">SQRT(H17^2+(J17^2)/12)</f>
        <v>0.290735318591225</v>
      </c>
      <c r="L17" s="0" t="n">
        <f aca="false">(K17^2*Rdcr*(1+Ltc*Ta-Ltc*25))/(1-K17^2*Rdcr*Ltc*ThetaCa)</f>
        <v>0.00194442400168976</v>
      </c>
      <c r="N17" s="356" t="n">
        <f aca="false">L17</f>
        <v>0.00194442400168976</v>
      </c>
      <c r="O17" s="357" t="n">
        <f aca="false">J17/(2*SQRT(3))</f>
        <v>0.242748893872539</v>
      </c>
      <c r="P17" s="357" t="n">
        <f aca="false">RCoutEsr*O17^2</f>
        <v>2.94635127381706E-005</v>
      </c>
      <c r="Q17" s="357" t="n">
        <f aca="false">P17</f>
        <v>2.94635127381706E-005</v>
      </c>
      <c r="R17" s="0" t="n">
        <f aca="false">SQRT(I17)*SQRT(H17^2+(J17^2)/12)</f>
        <v>0.167913103178947</v>
      </c>
      <c r="S17" s="400" t="n">
        <f aca="false">RCinEsr*R17^2</f>
        <v>2.81948102191836E-005</v>
      </c>
      <c r="T17" s="401" t="n">
        <f aca="false">S17</f>
        <v>2.81948102191836E-005</v>
      </c>
      <c r="U17" s="0" t="n">
        <f aca="false">SQRT(I17)*SQRT(H17^2+(J17^2)/12)</f>
        <v>0.167913103178947</v>
      </c>
      <c r="V17" s="0" t="n">
        <f aca="false">RdsonTop*U17^2</f>
        <v>0.000140974051095918</v>
      </c>
      <c r="W17" s="0" t="n">
        <f aca="false">(Vin*H17/2)*(Fsw)*(Tr+Tf)</f>
        <v>0.00727676085009241</v>
      </c>
      <c r="X17" s="0" t="n">
        <f aca="false">IF(H17&gt;J17/2,0,ABS(H17-J17/2)*VsdTop*Deadtime*Fsw)</f>
        <v>0.00309939567025375</v>
      </c>
      <c r="Y17" s="0" t="n">
        <f aca="false">(X17+W17+V17*(1+RdsonTopTc*Ta-RdsonTopTc*25))/(1-V17*RdsonTopTc*ThetaJaTop)</f>
        <v>0.0105174271083034</v>
      </c>
      <c r="Z17" s="0" t="n">
        <f aca="false">SQRT(1-I17)*SQRT(H17^2+(J17^2)/12)</f>
        <v>0.237344086206414</v>
      </c>
      <c r="AA17" s="0" t="n">
        <f aca="false">RdsonBot*Z17^2</f>
        <v>6.7598658308589E-005</v>
      </c>
      <c r="AB17" s="0" t="n">
        <f aca="false">2*Deadtime*Fsw*IF(VfdSky&gt;0,0,VsdBot)*(H17+J17/2)</f>
        <v>0.0125145756849303</v>
      </c>
      <c r="AC17" s="0" t="n">
        <f aca="false">(AB17+AA17*(1+RdsonBotTc*Ta-RdsonBotTc*25))/(1-AA17*RdsonBotTc*ThetaJaBot)</f>
        <v>0.0125823444531596</v>
      </c>
      <c r="AD17" s="0" t="n">
        <f aca="false">2*Deadtime*Fsw*IF(VfdSky&gt;0,VfdSky,0)*H17</f>
        <v>0</v>
      </c>
      <c r="AE17" s="0" t="n">
        <f aca="false">IF(QrrSky&gt;0,QrrSky,QrrBot)*Fsw*(Vin-H17*RdsonTop)</f>
        <v>0.40318208</v>
      </c>
      <c r="AF17" s="0" t="n">
        <f aca="false">Iq*Vin</f>
        <v>0.054</v>
      </c>
      <c r="AG17" s="0" t="n">
        <f aca="false">Vin*(QgTop+QgBot)*Fsw</f>
        <v>0.35784</v>
      </c>
      <c r="AH17" s="357" t="n">
        <f aca="false">(Vin-Vdd)*Fsw*(QgTop+QgBot)+(RdsonDRT+RdsonDRT2)*Fsw*QgTop*Vdd/(RdsonDRT+2*RGateTop+RdsonDRT2)+(RdsonDRB+RdsonDRB2)*Fsw*QgBot*Vdd/(RdsonDRB+2*RGateBot+RdsonDRB2)</f>
        <v>0.31571422459893</v>
      </c>
      <c r="AI17" s="0" t="n">
        <f aca="false">SUM(AF17:AG17)</f>
        <v>0.41184</v>
      </c>
      <c r="AJ17" s="402" t="n">
        <f aca="false">SUM(N17,Q17,T17,Y17,AE17,AD17,AC17,AI17)</f>
        <v>0.84012393388611</v>
      </c>
      <c r="AK17" s="358" t="n">
        <f aca="false">Vout*H17</f>
        <v>0.96</v>
      </c>
      <c r="AL17" s="359" t="n">
        <f aca="false">AK17/(AK17+AJ17)</f>
        <v>0.53329661471005</v>
      </c>
      <c r="AM17" s="0" t="n">
        <f aca="false">ThetaJaTop*Y17</f>
        <v>0.52587135541517</v>
      </c>
      <c r="AN17" s="0" t="n">
        <f aca="false">AC17*ThetaJaBot</f>
        <v>0.62911722265798</v>
      </c>
      <c r="AO17" s="359"/>
      <c r="AP17" s="0" t="n">
        <f aca="false">AL17*100</f>
        <v>53.329661471005</v>
      </c>
      <c r="AX17" s="0" t="s">
        <v>612</v>
      </c>
      <c r="AY17" s="403" t="n">
        <v>50</v>
      </c>
      <c r="AZ17" s="403" t="n">
        <v>50</v>
      </c>
      <c r="BA17" s="403" t="n">
        <v>50</v>
      </c>
      <c r="BB17" s="404" t="n">
        <f aca="false">500000*(18-Vdd)*BA17/1000000000+((500000*BA15/1000000000*Vdd)*2.5/(2*4))</f>
        <v>0.3515625</v>
      </c>
      <c r="BC17" s="0" t="n">
        <f aca="false">BC$6*$BB17</f>
        <v>28.125</v>
      </c>
      <c r="BD17" s="0" t="n">
        <f aca="false">BD$6*$BB17</f>
        <v>35.15625</v>
      </c>
      <c r="BE17" s="0" t="n">
        <f aca="false">BE$6*$BB17</f>
        <v>42.1875</v>
      </c>
      <c r="BF17" s="0" t="n">
        <f aca="false">BF$6*$BB17</f>
        <v>49.21875</v>
      </c>
      <c r="BG17" s="0" t="n">
        <f aca="false">BG$6*$BB17</f>
        <v>56.25</v>
      </c>
      <c r="BH17" s="0" t="n">
        <f aca="false">BH$6*$BB17</f>
        <v>63.28125</v>
      </c>
      <c r="BI17" s="0" t="n">
        <f aca="false">BI$6*$BB17</f>
        <v>7.03125</v>
      </c>
      <c r="BJ17" s="0" t="n">
        <f aca="false">BJ$6*$BB17</f>
        <v>10.546875</v>
      </c>
      <c r="BK17" s="0" t="n">
        <f aca="false">BK$6*$BB17</f>
        <v>14.0625</v>
      </c>
      <c r="BL17" s="0" t="n">
        <f aca="false">BL$6*$BB17</f>
        <v>17.578125</v>
      </c>
    </row>
    <row r="18" customFormat="false" ht="12.75" hidden="false" customHeight="false" outlineLevel="0" collapsed="false">
      <c r="A18" s="413" t="s">
        <v>613</v>
      </c>
      <c r="B18" s="414" t="n">
        <f aca="false">Lout2*1000000</f>
        <v>6.8</v>
      </c>
      <c r="C18" s="415" t="s">
        <v>614</v>
      </c>
      <c r="D18" s="409" t="s">
        <v>615</v>
      </c>
      <c r="G18" s="0" t="n">
        <v>9</v>
      </c>
      <c r="H18" s="0" t="n">
        <f aca="false">Iout*(G18/100)</f>
        <v>0.18</v>
      </c>
      <c r="I18" s="0" t="n">
        <f aca="false">(Vout+Rdcr*H18+RdsonBot*H18)/(Vin-RdsonTop*H18+RdsonBot*H18)</f>
        <v>0.333588009677701</v>
      </c>
      <c r="J18" s="0" t="n">
        <f aca="false">(Vin-Vout)*I18/(Fsw*Lout2)</f>
        <v>0.84097817565807</v>
      </c>
      <c r="K18" s="0" t="n">
        <f aca="false">SQRT(H18^2+(J18^2)/12)</f>
        <v>0.302220158705148</v>
      </c>
      <c r="L18" s="0" t="n">
        <f aca="false">(K18^2*Rdcr*(1+Ltc*Ta-Ltc*25))/(1-K18^2*Rdcr*Ltc*ThetaCa)</f>
        <v>0.00210110467145181</v>
      </c>
      <c r="N18" s="356" t="n">
        <f aca="false">L18</f>
        <v>0.00210110467145181</v>
      </c>
      <c r="O18" s="357" t="n">
        <f aca="false">J18/(2*SQRT(3))</f>
        <v>0.242769488049394</v>
      </c>
      <c r="P18" s="357" t="n">
        <f aca="false">RCoutEsr*O18^2</f>
        <v>2.94685121638823E-005</v>
      </c>
      <c r="Q18" s="357" t="n">
        <f aca="false">P18</f>
        <v>2.94685121638823E-005</v>
      </c>
      <c r="R18" s="0" t="n">
        <f aca="false">SQRT(I18)*SQRT(H18^2+(J18^2)/12)</f>
        <v>0.174553533780851</v>
      </c>
      <c r="S18" s="400" t="n">
        <f aca="false">RCinEsr*R18^2</f>
        <v>3.04689361553828E-005</v>
      </c>
      <c r="T18" s="401" t="n">
        <f aca="false">S18</f>
        <v>3.04689361553828E-005</v>
      </c>
      <c r="U18" s="0" t="n">
        <f aca="false">SQRT(I18)*SQRT(H18^2+(J18^2)/12)</f>
        <v>0.174553533780851</v>
      </c>
      <c r="V18" s="0" t="n">
        <f aca="false">RdsonTop*U18^2</f>
        <v>0.000152344680776914</v>
      </c>
      <c r="W18" s="0" t="n">
        <f aca="false">(Vin*H18/2)*(Fsw)*(Tr+Tf)</f>
        <v>0.00818635595635396</v>
      </c>
      <c r="X18" s="0" t="n">
        <f aca="false">IF(H18&gt;J18/2,0,ABS(H18-J18/2)*VsdTop*Deadtime*Fsw)</f>
        <v>0.00286182014516552</v>
      </c>
      <c r="Y18" s="0" t="n">
        <f aca="false">(X18+W18+V18*(1+RdsonTopTc*Ta-RdsonTopTc*25))/(1-V18*RdsonTopTc*ThetaJaTop)</f>
        <v>0.0112008620606474</v>
      </c>
      <c r="Z18" s="0" t="n">
        <f aca="false">SQRT(1-I18)*SQRT(H18^2+(J18^2)/12)</f>
        <v>0.246714588487146</v>
      </c>
      <c r="AA18" s="0" t="n">
        <f aca="false">RdsonBot*Z18^2</f>
        <v>7.30417058068583E-005</v>
      </c>
      <c r="AB18" s="0" t="n">
        <f aca="false">2*Deadtime*Fsw*IF(VfdSky&gt;0,0,VsdBot)*(H18+J18/2)</f>
        <v>0.012946544733594</v>
      </c>
      <c r="AC18" s="0" t="n">
        <f aca="false">(AB18+AA18*(1+RdsonBotTc*Ta-RdsonBotTc*25))/(1-AA18*RdsonBotTc*ThetaJaBot)</f>
        <v>0.0130197766367398</v>
      </c>
      <c r="AD18" s="0" t="n">
        <f aca="false">2*Deadtime*Fsw*IF(VfdSky&gt;0,VfdSky,0)*H18</f>
        <v>0</v>
      </c>
      <c r="AE18" s="0" t="n">
        <f aca="false">IF(QrrSky&gt;0,QrrSky,QrrBot)*Fsw*(Vin-H18*RdsonTop)</f>
        <v>0.40317984</v>
      </c>
      <c r="AF18" s="0" t="n">
        <f aca="false">Iq*Vin</f>
        <v>0.054</v>
      </c>
      <c r="AG18" s="0" t="n">
        <f aca="false">Vin*(QgTop+QgBot)*Fsw</f>
        <v>0.35784</v>
      </c>
      <c r="AH18" s="357" t="n">
        <f aca="false">(Vin-Vdd)*Fsw*(QgTop+QgBot)+(RdsonDRT+RdsonDRT2)*Fsw*QgTop*Vdd/(RdsonDRT+2*RGateTop+RdsonDRT2)+(RdsonDRB+RdsonDRB2)*Fsw*QgBot*Vdd/(RdsonDRB+2*RGateBot+RdsonDRB2)</f>
        <v>0.31571422459893</v>
      </c>
      <c r="AI18" s="0" t="n">
        <f aca="false">SUM(AF18:AG18)</f>
        <v>0.41184</v>
      </c>
      <c r="AJ18" s="402" t="n">
        <f aca="false">SUM(N18,Q18,T18,Y18,AE18,AD18,AC18,AI18)</f>
        <v>0.841401520817158</v>
      </c>
      <c r="AK18" s="358" t="n">
        <f aca="false">Vout*H18</f>
        <v>1.08</v>
      </c>
      <c r="AL18" s="359" t="n">
        <f aca="false">AK18/(AK18+AJ18)</f>
        <v>0.562089697701854</v>
      </c>
      <c r="AM18" s="0" t="n">
        <f aca="false">ThetaJaTop*Y18</f>
        <v>0.56004310303237</v>
      </c>
      <c r="AN18" s="0" t="n">
        <f aca="false">AC18*ThetaJaBot</f>
        <v>0.65098883183699</v>
      </c>
      <c r="AO18" s="359"/>
      <c r="AP18" s="0" t="n">
        <f aca="false">AL18*100</f>
        <v>56.2089697701854</v>
      </c>
      <c r="AX18" s="0" t="s">
        <v>616</v>
      </c>
      <c r="AZ18" s="403"/>
      <c r="BA18" s="404"/>
    </row>
    <row r="19" customFormat="false" ht="12.75" hidden="false" customHeight="false" outlineLevel="0" collapsed="false">
      <c r="A19" s="413" t="s">
        <v>217</v>
      </c>
      <c r="B19" s="416" t="n">
        <f aca="false">Rdcr*1000</f>
        <v>23</v>
      </c>
      <c r="C19" s="417" t="s">
        <v>617</v>
      </c>
      <c r="D19" s="409" t="s">
        <v>618</v>
      </c>
      <c r="G19" s="0" t="n">
        <v>10</v>
      </c>
      <c r="H19" s="0" t="n">
        <f aca="false">Iout*(G19/100)</f>
        <v>0.2</v>
      </c>
      <c r="I19" s="0" t="n">
        <f aca="false">(Vout+Rdcr*H19+RdsonBot*H19)/(Vin-RdsonTop*H19+RdsonBot*H19)</f>
        <v>0.333616308244126</v>
      </c>
      <c r="J19" s="0" t="n">
        <f aca="false">(Vin-Vout)*I19/(Fsw*Lout2)</f>
        <v>0.84104951658183</v>
      </c>
      <c r="K19" s="0" t="n">
        <f aca="false">SQRT(H19^2+(J19^2)/12)</f>
        <v>0.31455845897365</v>
      </c>
      <c r="L19" s="0" t="n">
        <f aca="false">(K19^2*Rdcr*(1+Ltc*Ta-Ltc*25))/(1-K19^2*Rdcr*Ltc*ThetaCa)</f>
        <v>0.00227619596455644</v>
      </c>
      <c r="N19" s="356" t="n">
        <f aca="false">L19</f>
        <v>0.00227619596455644</v>
      </c>
      <c r="O19" s="357" t="n">
        <f aca="false">J19/(2*SQRT(3))</f>
        <v>0.242790082400162</v>
      </c>
      <c r="P19" s="357" t="n">
        <f aca="false">RCoutEsr*O19^2</f>
        <v>2.94735120559387E-005</v>
      </c>
      <c r="Q19" s="357" t="n">
        <f aca="false">P19</f>
        <v>2.94735120559387E-005</v>
      </c>
      <c r="R19" s="0" t="n">
        <f aca="false">SQRT(I19)*SQRT(H19^2+(J19^2)/12)</f>
        <v>0.181687481395794</v>
      </c>
      <c r="S19" s="400" t="n">
        <f aca="false">RCinEsr*R19^2</f>
        <v>3.30103408959471E-005</v>
      </c>
      <c r="T19" s="401" t="n">
        <f aca="false">S19</f>
        <v>3.30103408959471E-005</v>
      </c>
      <c r="U19" s="0" t="n">
        <f aca="false">SQRT(I19)*SQRT(H19^2+(J19^2)/12)</f>
        <v>0.181687481395794</v>
      </c>
      <c r="V19" s="0" t="n">
        <f aca="false">RdsonTop*U19^2</f>
        <v>0.000165051704479735</v>
      </c>
      <c r="W19" s="0" t="n">
        <f aca="false">(Vin*H19/2)*(Fsw)*(Tr+Tf)</f>
        <v>0.00909595106261551</v>
      </c>
      <c r="X19" s="0" t="n">
        <f aca="false">IF(H19&gt;J19/2,0,ABS(H19-J19/2)*VsdTop*Deadtime*Fsw)</f>
        <v>0.00262424462366189</v>
      </c>
      <c r="Y19" s="0" t="n">
        <f aca="false">(X19+W19+V19*(1+RdsonTopTc*Ta-RdsonTopTc*25))/(1-V19*RdsonTopTc*ThetaJaTop)</f>
        <v>0.0118856397397767</v>
      </c>
      <c r="Z19" s="0" t="n">
        <f aca="false">SQRT(1-I19)*SQRT(H19^2+(J19^2)/12)</f>
        <v>0.256781391880195</v>
      </c>
      <c r="AA19" s="0" t="n">
        <f aca="false">RdsonBot*Z19^2</f>
        <v>7.91240198591165E-005</v>
      </c>
      <c r="AB19" s="0" t="n">
        <f aca="false">2*Deadtime*Fsw*IF(VfdSky&gt;0,0,VsdBot)*(H19+J19/2)</f>
        <v>0.0133785137887521</v>
      </c>
      <c r="AC19" s="0" t="n">
        <f aca="false">(AB19+AA19*(1+RdsonBotTc*Ta-RdsonBotTc*25))/(1-AA19*RdsonBotTc*ThetaJaBot)</f>
        <v>0.0134578507764617</v>
      </c>
      <c r="AD19" s="0" t="n">
        <f aca="false">2*Deadtime*Fsw*IF(VfdSky&gt;0,VfdSky,0)*H19</f>
        <v>0</v>
      </c>
      <c r="AE19" s="0" t="n">
        <f aca="false">IF(QrrSky&gt;0,QrrSky,QrrBot)*Fsw*(Vin-H19*RdsonTop)</f>
        <v>0.4031776</v>
      </c>
      <c r="AF19" s="0" t="n">
        <f aca="false">Iq*Vin</f>
        <v>0.054</v>
      </c>
      <c r="AG19" s="0" t="n">
        <f aca="false">Vin*(QgTop+QgBot)*Fsw</f>
        <v>0.35784</v>
      </c>
      <c r="AH19" s="357" t="n">
        <f aca="false">(Vin-Vdd)*Fsw*(QgTop+QgBot)+(RdsonDRT+RdsonDRT2)*Fsw*QgTop*Vdd/(RdsonDRT+2*RGateTop+RdsonDRT2)+(RdsonDRB+RdsonDRB2)*Fsw*QgBot*Vdd/(RdsonDRB+2*RGateBot+RdsonDRB2)</f>
        <v>0.31571422459893</v>
      </c>
      <c r="AI19" s="0" t="n">
        <f aca="false">SUM(AF19:AG19)</f>
        <v>0.41184</v>
      </c>
      <c r="AJ19" s="402" t="n">
        <f aca="false">SUM(N19,Q19,T19,Y19,AE19,AD19,AC19,AI19)</f>
        <v>0.842699770333747</v>
      </c>
      <c r="AK19" s="358" t="n">
        <f aca="false">Vout*H19</f>
        <v>1.2</v>
      </c>
      <c r="AL19" s="359" t="n">
        <f aca="false">AK19/(AK19+AJ19)</f>
        <v>0.587457842521781</v>
      </c>
      <c r="AM19" s="0" t="n">
        <f aca="false">ThetaJaTop*Y19</f>
        <v>0.594281986988836</v>
      </c>
      <c r="AN19" s="0" t="n">
        <f aca="false">AC19*ThetaJaBot</f>
        <v>0.672892538823083</v>
      </c>
      <c r="AO19" s="359"/>
      <c r="AP19" s="0" t="n">
        <f aca="false">AL19*100</f>
        <v>58.7457842521781</v>
      </c>
      <c r="AX19" s="0" t="s">
        <v>619</v>
      </c>
      <c r="AZ19" s="403"/>
      <c r="BA19" s="404"/>
    </row>
    <row r="20" customFormat="false" ht="12.75" hidden="false" customHeight="false" outlineLevel="0" collapsed="false">
      <c r="A20" s="413" t="s">
        <v>358</v>
      </c>
      <c r="B20" s="416" t="n">
        <f aca="false">Ltc*1000000</f>
        <v>4000</v>
      </c>
      <c r="C20" s="415" t="s">
        <v>620</v>
      </c>
      <c r="D20" s="409" t="s">
        <v>360</v>
      </c>
      <c r="G20" s="0" t="n">
        <v>11</v>
      </c>
      <c r="H20" s="0" t="n">
        <f aca="false">Iout*(G20/100)</f>
        <v>0.22</v>
      </c>
      <c r="I20" s="0" t="n">
        <f aca="false">(Vout+Rdcr*H20+RdsonBot*H20)/(Vin-RdsonTop*H20+RdsonBot*H20)</f>
        <v>0.333644607049527</v>
      </c>
      <c r="J20" s="0" t="n">
        <f aca="false">(Vin-Vout)*I20/(Fsw*Lout2)</f>
        <v>0.841120858108052</v>
      </c>
      <c r="K20" s="0" t="n">
        <f aca="false">SQRT(H20^2+(J20^2)/12)</f>
        <v>0.327653818577935</v>
      </c>
      <c r="L20" s="0" t="n">
        <f aca="false">(K20^2*Rdcr*(1+Ltc*Ta-Ltc*25))/(1-K20^2*Rdcr*Ltc*ThetaCa)</f>
        <v>0.0024696994278925</v>
      </c>
      <c r="N20" s="356" t="n">
        <f aca="false">L20</f>
        <v>0.0024696994278925</v>
      </c>
      <c r="O20" s="357" t="n">
        <f aca="false">J20/(2*SQRT(3))</f>
        <v>0.242810676924846</v>
      </c>
      <c r="P20" s="357" t="n">
        <f aca="false">RCoutEsr*O20^2</f>
        <v>2.94785124143511E-005</v>
      </c>
      <c r="Q20" s="357" t="n">
        <f aca="false">P20</f>
        <v>2.94785124143511E-005</v>
      </c>
      <c r="R20" s="0" t="n">
        <f aca="false">SQRT(I20)*SQRT(H20^2+(J20^2)/12)</f>
        <v>0.189259325696196</v>
      </c>
      <c r="S20" s="400" t="n">
        <f aca="false">RCinEsr*R20^2</f>
        <v>3.58190923629787E-005</v>
      </c>
      <c r="T20" s="401" t="n">
        <f aca="false">S20</f>
        <v>3.58190923629787E-005</v>
      </c>
      <c r="U20" s="0" t="n">
        <f aca="false">SQRT(I20)*SQRT(H20^2+(J20^2)/12)</f>
        <v>0.189259325696196</v>
      </c>
      <c r="V20" s="0" t="n">
        <f aca="false">RdsonTop*U20^2</f>
        <v>0.000179095461814894</v>
      </c>
      <c r="W20" s="0" t="n">
        <f aca="false">(Vin*H20/2)*(Fsw)*(Tr+Tf)</f>
        <v>0.0100055461688771</v>
      </c>
      <c r="X20" s="0" t="n">
        <f aca="false">IF(H20&gt;J20/2,0,ABS(H20-J20/2)*VsdTop*Deadtime*Fsw)</f>
        <v>0.00238666910574291</v>
      </c>
      <c r="Y20" s="0" t="n">
        <f aca="false">(X20+W20+V20*(1+RdsonTopTc*Ta-RdsonTopTc*25))/(1-V20*RdsonTopTc*ThetaJaTop)</f>
        <v>0.0125717610455049</v>
      </c>
      <c r="Z20" s="0" t="n">
        <f aca="false">SQRT(1-I20)*SQRT(H20^2+(J20^2)/12)</f>
        <v>0.267465759426741</v>
      </c>
      <c r="AA20" s="0" t="n">
        <f aca="false">RdsonBot*Z20^2</f>
        <v>8.58455189588682E-005</v>
      </c>
      <c r="AB20" s="0" t="n">
        <f aca="false">2*Deadtime*Fsw*IF(VfdSky&gt;0,0,VsdBot)*(H20+J20/2)</f>
        <v>0.0138104828504048</v>
      </c>
      <c r="AC20" s="0" t="n">
        <f aca="false">(AB20+AA20*(1+RdsonBotTc*Ta-RdsonBotTc*25))/(1-AA20*RdsonBotTc*ThetaJaBot)</f>
        <v>0.0138965669609642</v>
      </c>
      <c r="AD20" s="0" t="n">
        <f aca="false">2*Deadtime*Fsw*IF(VfdSky&gt;0,VfdSky,0)*H20</f>
        <v>0</v>
      </c>
      <c r="AE20" s="0" t="n">
        <f aca="false">IF(QrrSky&gt;0,QrrSky,QrrBot)*Fsw*(Vin-H20*RdsonTop)</f>
        <v>0.40317536</v>
      </c>
      <c r="AF20" s="0" t="n">
        <f aca="false">Iq*Vin</f>
        <v>0.054</v>
      </c>
      <c r="AG20" s="0" t="n">
        <f aca="false">Vin*(QgTop+QgBot)*Fsw</f>
        <v>0.35784</v>
      </c>
      <c r="AH20" s="357" t="n">
        <f aca="false">(Vin-Vdd)*Fsw*(QgTop+QgBot)+(RdsonDRT+RdsonDRT2)*Fsw*QgTop*Vdd/(RdsonDRT+2*RGateTop+RdsonDRT2)+(RdsonDRB+RdsonDRB2)*Fsw*QgBot*Vdd/(RdsonDRB+2*RGateBot+RdsonDRB2)</f>
        <v>0.31571422459893</v>
      </c>
      <c r="AI20" s="0" t="n">
        <f aca="false">SUM(AF20:AG20)</f>
        <v>0.41184</v>
      </c>
      <c r="AJ20" s="402" t="n">
        <f aca="false">SUM(N20,Q20,T20,Y20,AE20,AD20,AC20,AI20)</f>
        <v>0.844018685039139</v>
      </c>
      <c r="AK20" s="358" t="n">
        <f aca="false">Vout*H20</f>
        <v>1.32</v>
      </c>
      <c r="AL20" s="359" t="n">
        <f aca="false">AK20/(AK20+AJ20)</f>
        <v>0.609976248877041</v>
      </c>
      <c r="AM20" s="0" t="n">
        <f aca="false">ThetaJaTop*Y20</f>
        <v>0.628588052275246</v>
      </c>
      <c r="AN20" s="0" t="n">
        <f aca="false">AC20*ThetaJaBot</f>
        <v>0.694828348048209</v>
      </c>
      <c r="AO20" s="359"/>
      <c r="AP20" s="0" t="n">
        <f aca="false">AL20*100</f>
        <v>60.9976248877041</v>
      </c>
      <c r="AZ20" s="403"/>
      <c r="BA20" s="404"/>
    </row>
    <row r="21" customFormat="false" ht="12.75" hidden="false" customHeight="false" outlineLevel="0" collapsed="false">
      <c r="A21" s="418" t="s">
        <v>361</v>
      </c>
      <c r="B21" s="416" t="n">
        <f aca="false">ThetaCa</f>
        <v>20</v>
      </c>
      <c r="C21" s="419" t="s">
        <v>621</v>
      </c>
      <c r="D21" s="420" t="s">
        <v>362</v>
      </c>
      <c r="G21" s="0" t="n">
        <v>12</v>
      </c>
      <c r="H21" s="0" t="n">
        <f aca="false">Iout*(G21/100)</f>
        <v>0.24</v>
      </c>
      <c r="I21" s="0" t="n">
        <f aca="false">(Vout+Rdcr*H21+RdsonBot*H21)/(Vin-RdsonTop*H21+RdsonBot*H21)</f>
        <v>0.333672906093909</v>
      </c>
      <c r="J21" s="0" t="n">
        <f aca="false">(Vin-Vout)*I21/(Fsw*Lout2)</f>
        <v>0.841192200236745</v>
      </c>
      <c r="K21" s="0" t="n">
        <f aca="false">SQRT(H21^2+(J21^2)/12)</f>
        <v>0.341419136075091</v>
      </c>
      <c r="L21" s="0" t="n">
        <f aca="false">(K21^2*Rdcr*(1+Ltc*Ta-Ltc*25))/(1-K21^2*Rdcr*Ltc*ThetaCa)</f>
        <v>0.00268161677109142</v>
      </c>
      <c r="N21" s="356" t="n">
        <f aca="false">L21</f>
        <v>0.00268161677109142</v>
      </c>
      <c r="O21" s="357" t="n">
        <f aca="false">J21/(2*SQRT(3))</f>
        <v>0.242831271623449</v>
      </c>
      <c r="P21" s="357" t="n">
        <f aca="false">RCoutEsr*O21^2</f>
        <v>2.94835132391307E-005</v>
      </c>
      <c r="Q21" s="357" t="n">
        <f aca="false">P21</f>
        <v>2.94835132391307E-005</v>
      </c>
      <c r="R21" s="0" t="n">
        <f aca="false">SQRT(I21)*SQRT(H21^2+(J21^2)/12)</f>
        <v>0.197218808635807</v>
      </c>
      <c r="S21" s="400" t="n">
        <f aca="false">RCinEsr*R21^2</f>
        <v>3.88952584797271E-005</v>
      </c>
      <c r="T21" s="401" t="n">
        <f aca="false">S21</f>
        <v>3.88952584797271E-005</v>
      </c>
      <c r="U21" s="0" t="n">
        <f aca="false">SQRT(I21)*SQRT(H21^2+(J21^2)/12)</f>
        <v>0.197218808635807</v>
      </c>
      <c r="V21" s="0" t="n">
        <f aca="false">RdsonTop*U21^2</f>
        <v>0.000194476292398635</v>
      </c>
      <c r="W21" s="0" t="n">
        <f aca="false">(Vin*H21/2)*(Fsw)*(Tr+Tf)</f>
        <v>0.0109151412751386</v>
      </c>
      <c r="X21" s="0" t="n">
        <f aca="false">IF(H21&gt;J21/2,0,ABS(H21-J21/2)*VsdTop*Deadtime*Fsw)</f>
        <v>0.00214909359140863</v>
      </c>
      <c r="Y21" s="0" t="n">
        <f aca="false">(X21+W21+V21*(1+RdsonTopTc*Ta-RdsonTopTc*25))/(1-V21*RdsonTopTc*ThetaJaTop)</f>
        <v>0.0132592268800026</v>
      </c>
      <c r="Z21" s="0" t="n">
        <f aca="false">SQRT(1-I21)*SQRT(H21^2+(J21^2)/12)</f>
        <v>0.278696551823904</v>
      </c>
      <c r="AA21" s="0" t="n">
        <f aca="false">RdsonBot*Z21^2</f>
        <v>9.32061215982411E-005</v>
      </c>
      <c r="AB21" s="0" t="n">
        <f aca="false">2*Deadtime*Fsw*IF(VfdSky&gt;0,0,VsdBot)*(H21+J21/2)</f>
        <v>0.0142424519185521</v>
      </c>
      <c r="AC21" s="0" t="n">
        <f aca="false">(AB21+AA21*(1+RdsonBotTc*Ta-RdsonBotTc*25))/(1-AA21*RdsonBotTc*ThetaJaBot)</f>
        <v>0.0143359252793493</v>
      </c>
      <c r="AD21" s="0" t="n">
        <f aca="false">2*Deadtime*Fsw*IF(VfdSky&gt;0,VfdSky,0)*H21</f>
        <v>0</v>
      </c>
      <c r="AE21" s="0" t="n">
        <f aca="false">IF(QrrSky&gt;0,QrrSky,QrrBot)*Fsw*(Vin-H21*RdsonTop)</f>
        <v>0.40317312</v>
      </c>
      <c r="AF21" s="0" t="n">
        <f aca="false">Iq*Vin</f>
        <v>0.054</v>
      </c>
      <c r="AG21" s="0" t="n">
        <f aca="false">Vin*(QgTop+QgBot)*Fsw</f>
        <v>0.35784</v>
      </c>
      <c r="AH21" s="357" t="n">
        <f aca="false">(Vin-Vdd)*Fsw*(QgTop+QgBot)+(RdsonDRT+RdsonDRT2)*Fsw*QgTop*Vdd/(RdsonDRT+2*RGateTop+RdsonDRT2)+(RdsonDRB+RdsonDRB2)*Fsw*QgBot*Vdd/(RdsonDRB+2*RGateBot+RdsonDRB2)</f>
        <v>0.31571422459893</v>
      </c>
      <c r="AI21" s="0" t="n">
        <f aca="false">SUM(AF21:AG21)</f>
        <v>0.41184</v>
      </c>
      <c r="AJ21" s="402" t="n">
        <f aca="false">SUM(N21,Q21,T21,Y21,AE21,AD21,AC21,AI21)</f>
        <v>0.845358267702162</v>
      </c>
      <c r="AK21" s="358" t="n">
        <f aca="false">Vout*H21</f>
        <v>1.44</v>
      </c>
      <c r="AL21" s="359" t="n">
        <f aca="false">AK21/(AK21+AJ21)</f>
        <v>0.630098142751098</v>
      </c>
      <c r="AM21" s="0" t="n">
        <f aca="false">ThetaJaTop*Y21</f>
        <v>0.662961344000131</v>
      </c>
      <c r="AN21" s="0" t="n">
        <f aca="false">AC21*ThetaJaBot</f>
        <v>0.716796263967466</v>
      </c>
      <c r="AO21" s="359"/>
      <c r="AP21" s="0" t="n">
        <f aca="false">AL21*100</f>
        <v>63.0098142751099</v>
      </c>
      <c r="AZ21" s="403"/>
      <c r="BA21" s="404"/>
    </row>
    <row r="22" customFormat="false" ht="12.75" hidden="false" customHeight="false" outlineLevel="0" collapsed="false">
      <c r="A22" s="421" t="s">
        <v>271</v>
      </c>
      <c r="B22" s="416" t="n">
        <f aca="false">Cin*1000000</f>
        <v>10</v>
      </c>
      <c r="C22" s="422" t="s">
        <v>622</v>
      </c>
      <c r="D22" s="409" t="s">
        <v>623</v>
      </c>
      <c r="G22" s="0" t="n">
        <v>13</v>
      </c>
      <c r="H22" s="0" t="n">
        <f aca="false">Iout*(G22/100)</f>
        <v>0.26</v>
      </c>
      <c r="I22" s="0" t="n">
        <f aca="false">(Vout+Rdcr*H22+RdsonBot*H22)/(Vin-RdsonTop*H22+RdsonBot*H22)</f>
        <v>0.333701205377273</v>
      </c>
      <c r="J22" s="0" t="n">
        <f aca="false">(Vin-Vout)*I22/(Fsw*Lout2)</f>
        <v>0.841263542967915</v>
      </c>
      <c r="K22" s="0" t="n">
        <f aca="false">SQRT(H22^2+(J22^2)/12)</f>
        <v>0.355776656149019</v>
      </c>
      <c r="L22" s="0" t="n">
        <f aca="false">(K22^2*Rdcr*(1+Ltc*Ta-Ltc*25))/(1-K22^2*Rdcr*Ltc*ThetaCa)</f>
        <v>0.00291194986656498</v>
      </c>
      <c r="N22" s="356" t="n">
        <f aca="false">L22</f>
        <v>0.00291194986656498</v>
      </c>
      <c r="O22" s="357" t="n">
        <f aca="false">J22/(2*SQRT(3))</f>
        <v>0.242851866495972</v>
      </c>
      <c r="P22" s="357" t="n">
        <f aca="false">RCoutEsr*O22^2</f>
        <v>2.94885145302887E-005</v>
      </c>
      <c r="Q22" s="357" t="n">
        <f aca="false">P22</f>
        <v>2.94885145302887E-005</v>
      </c>
      <c r="R22" s="0" t="n">
        <f aca="false">SQRT(I22)*SQRT(H22^2+(J22^2)/12)</f>
        <v>0.205521062596</v>
      </c>
      <c r="S22" s="400" t="n">
        <f aca="false">RCinEsr*R22^2</f>
        <v>4.22389071705888E-005</v>
      </c>
      <c r="T22" s="401" t="n">
        <f aca="false">S22</f>
        <v>4.22389071705888E-005</v>
      </c>
      <c r="U22" s="0" t="n">
        <f aca="false">SQRT(I22)*SQRT(H22^2+(J22^2)/12)</f>
        <v>0.205521062596</v>
      </c>
      <c r="V22" s="0" t="n">
        <f aca="false">RdsonTop*U22^2</f>
        <v>0.000211194535852944</v>
      </c>
      <c r="W22" s="0" t="n">
        <f aca="false">(Vin*H22/2)*(Fsw)*(Tr+Tf)</f>
        <v>0.0118247363814002</v>
      </c>
      <c r="X22" s="0" t="n">
        <f aca="false">IF(H22&gt;J22/2,0,ABS(H22-J22/2)*VsdTop*Deadtime*Fsw)</f>
        <v>0.00191151808065909</v>
      </c>
      <c r="Y22" s="0" t="n">
        <f aca="false">(X22+W22+V22*(1+RdsonTopTc*Ta-RdsonTopTc*25))/(1-V22*RdsonTopTc*ThetaJaTop)</f>
        <v>0.0139480381478007</v>
      </c>
      <c r="Z22" s="0" t="n">
        <f aca="false">SQRT(1-I22)*SQRT(H22^2+(J22^2)/12)</f>
        <v>0.290410264780687</v>
      </c>
      <c r="AA22" s="0" t="n">
        <f aca="false">RdsonBot*Z22^2</f>
        <v>0.000101205746267986</v>
      </c>
      <c r="AB22" s="0" t="n">
        <f aca="false">2*Deadtime*Fsw*IF(VfdSky&gt;0,0,VsdBot)*(H22+J22/2)</f>
        <v>0.0146744209931941</v>
      </c>
      <c r="AC22" s="0" t="n">
        <f aca="false">(AB22+AA22*(1+RdsonBotTc*Ta-RdsonBotTc*25))/(1-AA22*RdsonBotTc*ThetaJaBot)</f>
        <v>0.014775925821182</v>
      </c>
      <c r="AD22" s="0" t="n">
        <f aca="false">2*Deadtime*Fsw*IF(VfdSky&gt;0,VfdSky,0)*H22</f>
        <v>0</v>
      </c>
      <c r="AE22" s="0" t="n">
        <f aca="false">IF(QrrSky&gt;0,QrrSky,QrrBot)*Fsw*(Vin-H22*RdsonTop)</f>
        <v>0.40317088</v>
      </c>
      <c r="AF22" s="0" t="n">
        <f aca="false">Iq*Vin</f>
        <v>0.054</v>
      </c>
      <c r="AG22" s="0" t="n">
        <f aca="false">Vin*(QgTop+QgBot)*Fsw</f>
        <v>0.35784</v>
      </c>
      <c r="AH22" s="357" t="n">
        <f aca="false">(Vin-Vdd)*Fsw*(QgTop+QgBot)+(RdsonDRT+RdsonDRT2)*Fsw*QgTop*Vdd/(RdsonDRT+2*RGateTop+RdsonDRT2)+(RdsonDRB+RdsonDRB2)*Fsw*QgBot*Vdd/(RdsonDRB+2*RGateBot+RdsonDRB2)</f>
        <v>0.31571422459893</v>
      </c>
      <c r="AI22" s="0" t="n">
        <f aca="false">SUM(AF22:AG22)</f>
        <v>0.41184</v>
      </c>
      <c r="AJ22" s="402" t="n">
        <f aca="false">SUM(N22,Q22,T22,Y22,AE22,AD22,AC22,AI22)</f>
        <v>0.846718521257249</v>
      </c>
      <c r="AK22" s="358" t="n">
        <f aca="false">Vout*H22</f>
        <v>1.56</v>
      </c>
      <c r="AL22" s="359" t="n">
        <f aca="false">AK22/(AK22+AJ22)</f>
        <v>0.648185480030739</v>
      </c>
      <c r="AM22" s="0" t="n">
        <f aca="false">ThetaJaTop*Y22</f>
        <v>0.697401907390037</v>
      </c>
      <c r="AN22" s="0" t="n">
        <f aca="false">AC22*ThetaJaBot</f>
        <v>0.738796291059101</v>
      </c>
      <c r="AO22" s="359"/>
      <c r="AP22" s="0" t="n">
        <f aca="false">AL22*100</f>
        <v>64.8185480030739</v>
      </c>
      <c r="AZ22" s="403"/>
      <c r="BA22" s="404"/>
    </row>
    <row r="23" customFormat="false" ht="12.75" hidden="false" customHeight="false" outlineLevel="0" collapsed="false">
      <c r="A23" s="421" t="s">
        <v>274</v>
      </c>
      <c r="B23" s="416" t="n">
        <f aca="false">RCinEsr*1000</f>
        <v>1</v>
      </c>
      <c r="C23" s="415" t="s">
        <v>617</v>
      </c>
      <c r="D23" s="409" t="s">
        <v>363</v>
      </c>
      <c r="G23" s="0" t="n">
        <v>14</v>
      </c>
      <c r="H23" s="0" t="n">
        <f aca="false">Iout*(G23/100)</f>
        <v>0.28</v>
      </c>
      <c r="I23" s="0" t="n">
        <f aca="false">(Vout+Rdcr*H23+RdsonBot*H23)/(Vin-RdsonTop*H23+RdsonBot*H23)</f>
        <v>0.333729504899623</v>
      </c>
      <c r="J23" s="0" t="n">
        <f aca="false">(Vin-Vout)*I23/(Fsw*Lout2)</f>
        <v>0.84133488630157</v>
      </c>
      <c r="K23" s="0" t="n">
        <f aca="false">SQRT(H23^2+(J23^2)/12)</f>
        <v>0.370657567811144</v>
      </c>
      <c r="L23" s="0" t="n">
        <f aca="false">(K23^2*Rdcr*(1+Ltc*Ta-Ltc*25))/(1-K23^2*Rdcr*Ltc*ThetaCa)</f>
        <v>0.00316070074954667</v>
      </c>
      <c r="N23" s="356" t="n">
        <f aca="false">L23</f>
        <v>0.00316070074954667</v>
      </c>
      <c r="O23" s="357" t="n">
        <f aca="false">J23/(2*SQRT(3))</f>
        <v>0.242872461542417</v>
      </c>
      <c r="P23" s="357" t="n">
        <f aca="false">RCoutEsr*O23^2</f>
        <v>2.94935162878365E-005</v>
      </c>
      <c r="Q23" s="357" t="n">
        <f aca="false">P23</f>
        <v>2.94935162878365E-005</v>
      </c>
      <c r="R23" s="0" t="n">
        <f aca="false">SQRT(I23)*SQRT(H23^2+(J23^2)/12)</f>
        <v>0.214126379414372</v>
      </c>
      <c r="S23" s="400" t="n">
        <f aca="false">RCinEsr*R23^2</f>
        <v>4.58501063611077E-005</v>
      </c>
      <c r="T23" s="401" t="n">
        <f aca="false">S23</f>
        <v>4.58501063611077E-005</v>
      </c>
      <c r="U23" s="0" t="n">
        <f aca="false">SQRT(I23)*SQRT(H23^2+(J23^2)/12)</f>
        <v>0.214126379414372</v>
      </c>
      <c r="V23" s="0" t="n">
        <f aca="false">RdsonTop*U23^2</f>
        <v>0.000229250531805539</v>
      </c>
      <c r="W23" s="0" t="n">
        <f aca="false">(Vin*H23/2)*(Fsw)*(Tr+Tf)</f>
        <v>0.0127343314876617</v>
      </c>
      <c r="X23" s="0" t="n">
        <f aca="false">IF(H23&gt;J23/2,0,ABS(H23-J23/2)*VsdTop*Deadtime*Fsw)</f>
        <v>0.00167394257349434</v>
      </c>
      <c r="Y23" s="0" t="n">
        <f aca="false">(X23+W23+V23*(1+RdsonTopTc*Ta-RdsonTopTc*25))/(1-V23*RdsonTopTc*ThetaJaTop)</f>
        <v>0.0146381957557939</v>
      </c>
      <c r="Z23" s="0" t="n">
        <f aca="false">SQRT(1-I23)*SQRT(H23^2+(J23^2)/12)</f>
        <v>0.302550700238101</v>
      </c>
      <c r="AA23" s="0" t="n">
        <f aca="false">RdsonBot*Z23^2</f>
        <v>0.000109844311457478</v>
      </c>
      <c r="AB23" s="0" t="n">
        <f aca="false">2*Deadtime*Fsw*IF(VfdSky&gt;0,0,VsdBot)*(H23+J23/2)</f>
        <v>0.0151063900743309</v>
      </c>
      <c r="AC23" s="0" t="n">
        <f aca="false">(AB23+AA23*(1+RdsonBotTc*Ta-RdsonBotTc*25))/(1-AA23*RdsonBotTc*ThetaJaBot)</f>
        <v>0.0152165686764902</v>
      </c>
      <c r="AD23" s="0" t="n">
        <f aca="false">2*Deadtime*Fsw*IF(VfdSky&gt;0,VfdSky,0)*H23</f>
        <v>0</v>
      </c>
      <c r="AE23" s="0" t="n">
        <f aca="false">IF(QrrSky&gt;0,QrrSky,QrrBot)*Fsw*(Vin-H23*RdsonTop)</f>
        <v>0.40316864</v>
      </c>
      <c r="AF23" s="0" t="n">
        <f aca="false">Iq*Vin</f>
        <v>0.054</v>
      </c>
      <c r="AG23" s="0" t="n">
        <f aca="false">Vin*(QgTop+QgBot)*Fsw</f>
        <v>0.35784</v>
      </c>
      <c r="AH23" s="357" t="n">
        <f aca="false">(Vin-Vdd)*Fsw*(QgTop+QgBot)+(RdsonDRT+RdsonDRT2)*Fsw*QgTop*Vdd/(RdsonDRT+2*RGateTop+RdsonDRT2)+(RdsonDRB+RdsonDRB2)*Fsw*QgBot*Vdd/(RdsonDRB+2*RGateBot+RdsonDRB2)</f>
        <v>0.31571422459893</v>
      </c>
      <c r="AI23" s="0" t="n">
        <f aca="false">SUM(AF23:AG23)</f>
        <v>0.41184</v>
      </c>
      <c r="AJ23" s="402" t="n">
        <f aca="false">SUM(N23,Q23,T23,Y23,AE23,AD23,AC23,AI23)</f>
        <v>0.84809944880448</v>
      </c>
      <c r="AK23" s="358" t="n">
        <f aca="false">Vout*H23</f>
        <v>1.68</v>
      </c>
      <c r="AL23" s="359" t="n">
        <f aca="false">AK23/(AK23+AJ23)</f>
        <v>0.664530820096678</v>
      </c>
      <c r="AM23" s="0" t="n">
        <f aca="false">ThetaJaTop*Y23</f>
        <v>0.731909787789697</v>
      </c>
      <c r="AN23" s="0" t="n">
        <f aca="false">AC23*ThetaJaBot</f>
        <v>0.760828433824511</v>
      </c>
      <c r="AO23" s="359"/>
      <c r="AP23" s="0" t="n">
        <f aca="false">AL23*100</f>
        <v>66.4530820096678</v>
      </c>
      <c r="AZ23" s="403"/>
      <c r="BA23" s="404"/>
    </row>
    <row r="24" customFormat="false" ht="12.75" hidden="false" customHeight="false" outlineLevel="0" collapsed="false">
      <c r="A24" s="413" t="s">
        <v>260</v>
      </c>
      <c r="B24" s="416" t="n">
        <f aca="false">Cout*1000000</f>
        <v>2</v>
      </c>
      <c r="C24" s="415" t="s">
        <v>622</v>
      </c>
      <c r="D24" s="409" t="s">
        <v>375</v>
      </c>
      <c r="G24" s="0" t="n">
        <v>15</v>
      </c>
      <c r="H24" s="0" t="n">
        <f aca="false">Iout*(G24/100)</f>
        <v>0.3</v>
      </c>
      <c r="I24" s="0" t="n">
        <f aca="false">(Vout+Rdcr*H24+RdsonBot*H24)/(Vin-RdsonTop*H24+RdsonBot*H24)</f>
        <v>0.333757804660962</v>
      </c>
      <c r="J24" s="0" t="n">
        <f aca="false">(Vin-Vout)*I24/(Fsw*Lout2)</f>
        <v>0.841406230237719</v>
      </c>
      <c r="K24" s="0" t="n">
        <f aca="false">SQRT(H24^2+(J24^2)/12)</f>
        <v>0.386001343292443</v>
      </c>
      <c r="L24" s="0" t="n">
        <f aca="false">(K24^2*Rdcr*(1+Ltc*Ta-Ltc*25))/(1-K24^2*Rdcr*Ltc*ThetaCa)</f>
        <v>0.00342787161813662</v>
      </c>
      <c r="N24" s="356" t="n">
        <f aca="false">L24</f>
        <v>0.00342787161813662</v>
      </c>
      <c r="O24" s="357" t="n">
        <f aca="false">J24/(2*SQRT(3))</f>
        <v>0.242893056762788</v>
      </c>
      <c r="P24" s="357" t="n">
        <f aca="false">RCoutEsr*O24^2</f>
        <v>2.94985185117854E-005</v>
      </c>
      <c r="Q24" s="357" t="n">
        <f aca="false">P24</f>
        <v>2.94985185117854E-005</v>
      </c>
      <c r="R24" s="0" t="n">
        <f aca="false">SQRT(I24)*SQRT(H24^2+(J24^2)/12)</f>
        <v>0.222999829546964</v>
      </c>
      <c r="S24" s="400" t="n">
        <f aca="false">RCinEsr*R24^2</f>
        <v>4.9728923977975E-005</v>
      </c>
      <c r="T24" s="401" t="n">
        <f aca="false">S24</f>
        <v>4.9728923977975E-005</v>
      </c>
      <c r="U24" s="0" t="n">
        <f aca="false">SQRT(I24)*SQRT(H24^2+(J24^2)/12)</f>
        <v>0.222999829546964</v>
      </c>
      <c r="V24" s="0" t="n">
        <f aca="false">RdsonTop*U24^2</f>
        <v>0.000248644619889875</v>
      </c>
      <c r="W24" s="0" t="n">
        <f aca="false">(Vin*H24/2)*(Fsw)*(Tr+Tf)</f>
        <v>0.0136439265939233</v>
      </c>
      <c r="X24" s="0" t="n">
        <f aca="false">IF(H24&gt;J24/2,0,ABS(H24-J24/2)*VsdTop*Deadtime*Fsw)</f>
        <v>0.00143636706991443</v>
      </c>
      <c r="Y24" s="0" t="n">
        <f aca="false">(X24+W24+V24*(1+RdsonTopTc*Ta-RdsonTopTc*25))/(1-V24*RdsonTopTc*ThetaJaTop)</f>
        <v>0.015329700613244</v>
      </c>
      <c r="Z24" s="0" t="n">
        <f aca="false">SQRT(1-I24)*SQRT(H24^2+(J24^2)/12)</f>
        <v>0.315068425973781</v>
      </c>
      <c r="AA24" s="0" t="n">
        <f aca="false">RdsonBot*Z24^2</f>
        <v>0.000119121735654715</v>
      </c>
      <c r="AB24" s="0" t="n">
        <f aca="false">2*Deadtime*Fsw*IF(VfdSky&gt;0,0,VsdBot)*(H24+J24/2)</f>
        <v>0.0155383591619626</v>
      </c>
      <c r="AC24" s="0" t="n">
        <f aca="false">(AB24+AA24*(1+RdsonBotTc*Ta-RdsonBotTc*25))/(1-AA24*RdsonBotTc*ThetaJaBot)</f>
        <v>0.0156578539357648</v>
      </c>
      <c r="AD24" s="0" t="n">
        <f aca="false">2*Deadtime*Fsw*IF(VfdSky&gt;0,VfdSky,0)*H24</f>
        <v>0</v>
      </c>
      <c r="AE24" s="0" t="n">
        <f aca="false">IF(QrrSky&gt;0,QrrSky,QrrBot)*Fsw*(Vin-H24*RdsonTop)</f>
        <v>0.4031664</v>
      </c>
      <c r="AF24" s="0" t="n">
        <f aca="false">Iq*Vin</f>
        <v>0.054</v>
      </c>
      <c r="AG24" s="0" t="n">
        <f aca="false">Vin*(QgTop+QgBot)*Fsw</f>
        <v>0.35784</v>
      </c>
      <c r="AH24" s="357" t="n">
        <f aca="false">(Vin-Vdd)*Fsw*(QgTop+QgBot)+(RdsonDRT+RdsonDRT2)*Fsw*QgTop*Vdd/(RdsonDRT+2*RGateTop+RdsonDRT2)+(RdsonDRB+RdsonDRB2)*Fsw*QgBot*Vdd/(RdsonDRB+2*RGateBot+RdsonDRB2)</f>
        <v>0.31571422459893</v>
      </c>
      <c r="AI24" s="0" t="n">
        <f aca="false">SUM(AF24:AG24)</f>
        <v>0.41184</v>
      </c>
      <c r="AJ24" s="402" t="n">
        <f aca="false">SUM(N24,Q24,T24,Y24,AE24,AD24,AC24,AI24)</f>
        <v>0.849501053609635</v>
      </c>
      <c r="AK24" s="358" t="n">
        <f aca="false">Vout*H24</f>
        <v>1.8</v>
      </c>
      <c r="AL24" s="359" t="n">
        <f aca="false">AK24/(AK24+AJ24)</f>
        <v>0.679373196529856</v>
      </c>
      <c r="AM24" s="0" t="n">
        <f aca="false">ThetaJaTop*Y24</f>
        <v>0.766485030662199</v>
      </c>
      <c r="AN24" s="0" t="n">
        <f aca="false">AC24*ThetaJaBot</f>
        <v>0.782892696788241</v>
      </c>
      <c r="AO24" s="359"/>
      <c r="AP24" s="0" t="n">
        <f aca="false">AL24*100</f>
        <v>67.9373196529856</v>
      </c>
      <c r="AZ24" s="403"/>
      <c r="BA24" s="404"/>
    </row>
    <row r="25" customFormat="false" ht="12.75" hidden="false" customHeight="false" outlineLevel="0" collapsed="false">
      <c r="A25" s="413" t="s">
        <v>624</v>
      </c>
      <c r="B25" s="423" t="n">
        <f aca="false">CoutEsr*1000</f>
        <v>0.5</v>
      </c>
      <c r="C25" s="415" t="s">
        <v>617</v>
      </c>
      <c r="D25" s="409" t="s">
        <v>625</v>
      </c>
      <c r="G25" s="0" t="n">
        <v>16</v>
      </c>
      <c r="H25" s="0" t="n">
        <f aca="false">Iout*(G25/100)</f>
        <v>0.32</v>
      </c>
      <c r="I25" s="0" t="n">
        <f aca="false">(Vout+Rdcr*H25+RdsonBot*H25)/(Vin-RdsonTop*H25+RdsonBot*H25)</f>
        <v>0.333786104661293</v>
      </c>
      <c r="J25" s="0" t="n">
        <f aca="false">(Vin-Vout)*I25/(Fsw*Lout2)</f>
        <v>0.841477574776368</v>
      </c>
      <c r="K25" s="0" t="n">
        <f aca="false">SQRT(H25^2+(J25^2)/12)</f>
        <v>0.401754953179539</v>
      </c>
      <c r="L25" s="0" t="n">
        <f aca="false">(K25^2*Rdcr*(1+Ltc*Ta-Ltc*25))/(1-K25^2*Rdcr*Ltc*ThetaCa)</f>
        <v>0.00371346483335026</v>
      </c>
      <c r="N25" s="356" t="n">
        <f aca="false">L25</f>
        <v>0.00371346483335026</v>
      </c>
      <c r="O25" s="357" t="n">
        <f aca="false">J25/(2*SQRT(3))</f>
        <v>0.242913652157085</v>
      </c>
      <c r="P25" s="357" t="n">
        <f aca="false">RCoutEsr*O25^2</f>
        <v>2.95035212021466E-005</v>
      </c>
      <c r="Q25" s="357" t="n">
        <f aca="false">P25</f>
        <v>2.95035212021466E-005</v>
      </c>
      <c r="R25" s="0" t="n">
        <f aca="false">SQRT(I25)*SQRT(H25^2+(J25^2)/12)</f>
        <v>0.232110809634168</v>
      </c>
      <c r="S25" s="400" t="n">
        <f aca="false">RCinEsr*R25^2</f>
        <v>5.38754279490291E-005</v>
      </c>
      <c r="T25" s="401" t="n">
        <f aca="false">S25</f>
        <v>5.38754279490291E-005</v>
      </c>
      <c r="U25" s="0" t="n">
        <f aca="false">SQRT(I25)*SQRT(H25^2+(J25^2)/12)</f>
        <v>0.232110809634168</v>
      </c>
      <c r="V25" s="0" t="n">
        <f aca="false">RdsonTop*U25^2</f>
        <v>0.000269377139745146</v>
      </c>
      <c r="W25" s="0" t="n">
        <f aca="false">(Vin*H25/2)*(Fsw)*(Tr+Tf)</f>
        <v>0.0145535217001848</v>
      </c>
      <c r="X25" s="0" t="n">
        <f aca="false">IF(H25&gt;J25/2,0,ABS(H25-J25/2)*VsdTop*Deadtime*Fsw)</f>
        <v>0.00119879156991939</v>
      </c>
      <c r="Y25" s="0" t="n">
        <f aca="false">(X25+W25+V25*(1+RdsonTopTc*Ta-RdsonTopTc*25))/(1-V25*RdsonTopTc*ThetaJaTop)</f>
        <v>0.0160225536317831</v>
      </c>
      <c r="Z25" s="0" t="n">
        <f aca="false">SQRT(1-I25)*SQRT(H25^2+(J25^2)/12)</f>
        <v>0.327920134263305</v>
      </c>
      <c r="AA25" s="0" t="n">
        <f aca="false">RdsonBot*Z25^2</f>
        <v>0.000129037937346317</v>
      </c>
      <c r="AB25" s="0" t="n">
        <f aca="false">2*Deadtime*Fsw*IF(VfdSky&gt;0,0,VsdBot)*(H25+J25/2)</f>
        <v>0.0159703282560893</v>
      </c>
      <c r="AC25" s="0" t="n">
        <f aca="false">(AB25+AA25*(1+RdsonBotTc*Ta-RdsonBotTc*25))/(1-AA25*RdsonBotTc*ThetaJaBot)</f>
        <v>0.0160997816899598</v>
      </c>
      <c r="AD25" s="0" t="n">
        <f aca="false">2*Deadtime*Fsw*IF(VfdSky&gt;0,VfdSky,0)*H25</f>
        <v>0</v>
      </c>
      <c r="AE25" s="0" t="n">
        <f aca="false">IF(QrrSky&gt;0,QrrSky,QrrBot)*Fsw*(Vin-H25*RdsonTop)</f>
        <v>0.40316416</v>
      </c>
      <c r="AF25" s="0" t="n">
        <f aca="false">Iq*Vin</f>
        <v>0.054</v>
      </c>
      <c r="AG25" s="0" t="n">
        <f aca="false">Vin*(QgTop+QgBot)*Fsw</f>
        <v>0.35784</v>
      </c>
      <c r="AH25" s="357" t="n">
        <f aca="false">(Vin-Vdd)*Fsw*(QgTop+QgBot)+(RdsonDRT+RdsonDRT2)*Fsw*QgTop*Vdd/(RdsonDRT+2*RGateTop+RdsonDRT2)+(RdsonDRB+RdsonDRB2)*Fsw*QgBot*Vdd/(RdsonDRB+2*RGateBot+RdsonDRB2)</f>
        <v>0.31571422459893</v>
      </c>
      <c r="AI25" s="0" t="n">
        <f aca="false">SUM(AF25:AG25)</f>
        <v>0.41184</v>
      </c>
      <c r="AJ25" s="402" t="n">
        <f aca="false">SUM(N25,Q25,T25,Y25,AE25,AD25,AC25,AI25)</f>
        <v>0.850923339104244</v>
      </c>
      <c r="AK25" s="358" t="n">
        <f aca="false">Vout*H25</f>
        <v>1.92</v>
      </c>
      <c r="AL25" s="359" t="n">
        <f aca="false">AK25/(AK25+AJ25)</f>
        <v>0.692909822839299</v>
      </c>
      <c r="AM25" s="0" t="n">
        <f aca="false">ThetaJaTop*Y25</f>
        <v>0.801127681589155</v>
      </c>
      <c r="AN25" s="0" t="n">
        <f aca="false">AC25*ThetaJaBot</f>
        <v>0.804989084497988</v>
      </c>
      <c r="AO25" s="359"/>
      <c r="AP25" s="0" t="n">
        <f aca="false">AL25*100</f>
        <v>69.2909822839299</v>
      </c>
      <c r="AX25" s="0" t="s">
        <v>626</v>
      </c>
      <c r="AY25" s="0" t="s">
        <v>192</v>
      </c>
      <c r="AZ25" s="0" t="s">
        <v>196</v>
      </c>
      <c r="BA25" s="0" t="s">
        <v>194</v>
      </c>
      <c r="BB25" s="0" t="s">
        <v>627</v>
      </c>
      <c r="BC25" s="0" t="s">
        <v>628</v>
      </c>
    </row>
    <row r="26" customFormat="false" ht="12.75" hidden="false" customHeight="false" outlineLevel="0" collapsed="false">
      <c r="A26" s="412" t="s">
        <v>366</v>
      </c>
      <c r="B26" s="424" t="s">
        <v>600</v>
      </c>
      <c r="C26" s="412" t="s">
        <v>430</v>
      </c>
      <c r="D26" s="399" t="s">
        <v>123</v>
      </c>
      <c r="G26" s="0" t="n">
        <v>17</v>
      </c>
      <c r="H26" s="0" t="n">
        <f aca="false">Iout*(G26/100)</f>
        <v>0.34</v>
      </c>
      <c r="I26" s="0" t="n">
        <f aca="false">(Vout+Rdcr*H26+RdsonBot*H26)/(Vin-RdsonTop*H26+RdsonBot*H26)</f>
        <v>0.333814404900618</v>
      </c>
      <c r="J26" s="0" t="n">
        <f aca="false">(Vin-Vout)*I26/(Fsw*Lout2)</f>
        <v>0.841548919917525</v>
      </c>
      <c r="K26" s="0" t="n">
        <f aca="false">SQRT(H26^2+(J26^2)/12)</f>
        <v>0.417872048261023</v>
      </c>
      <c r="L26" s="0" t="n">
        <f aca="false">(K26^2*Rdcr*(1+Ltc*Ta-Ltc*25))/(1-K26^2*Rdcr*Ltc*ThetaCa)</f>
        <v>0.00401748291917039</v>
      </c>
      <c r="N26" s="356" t="n">
        <f aca="false">L26</f>
        <v>0.00401748291917039</v>
      </c>
      <c r="O26" s="357" t="n">
        <f aca="false">J26/(2*SQRT(3))</f>
        <v>0.242934247725311</v>
      </c>
      <c r="P26" s="357" t="n">
        <f aca="false">RCoutEsr*O26^2</f>
        <v>2.95085243589314E-005</v>
      </c>
      <c r="Q26" s="357" t="n">
        <f aca="false">P26</f>
        <v>2.95085243589314E-005</v>
      </c>
      <c r="R26" s="0" t="n">
        <f aca="false">SQRT(I26)*SQRT(H26^2+(J26^2)/12)</f>
        <v>0.24143257071749</v>
      </c>
      <c r="S26" s="400" t="n">
        <f aca="false">RCinEsr*R26^2</f>
        <v>5.82896862032557E-005</v>
      </c>
      <c r="T26" s="401" t="n">
        <f aca="false">S26</f>
        <v>5.82896862032557E-005</v>
      </c>
      <c r="U26" s="0" t="n">
        <f aca="false">SQRT(I26)*SQRT(H26^2+(J26^2)/12)</f>
        <v>0.24143257071749</v>
      </c>
      <c r="V26" s="0" t="n">
        <f aca="false">RdsonTop*U26^2</f>
        <v>0.000291448431016278</v>
      </c>
      <c r="W26" s="0" t="n">
        <f aca="false">(Vin*H26/2)*(Fsw)*(Tr+Tf)</f>
        <v>0.0154631168064464</v>
      </c>
      <c r="X26" s="0" t="n">
        <f aca="false">IF(H26&gt;J26/2,0,ABS(H26-J26/2)*VsdTop*Deadtime*Fsw)</f>
        <v>0.000961216073509276</v>
      </c>
      <c r="Y26" s="0" t="n">
        <f aca="false">(X26+W26+V26*(1+RdsonTopTc*Ta-RdsonTopTc*25))/(1-V26*RdsonTopTc*ThetaJaTop)</f>
        <v>0.0167167557254175</v>
      </c>
      <c r="Z26" s="0" t="n">
        <f aca="false">SQRT(1-I26)*SQRT(H26^2+(J26^2)/12)</f>
        <v>0.341067973451931</v>
      </c>
      <c r="AA26" s="0" t="n">
        <f aca="false">RdsonBot*Z26^2</f>
        <v>0.000139592835017529</v>
      </c>
      <c r="AB26" s="0" t="n">
        <f aca="false">2*Deadtime*Fsw*IF(VfdSky&gt;0,0,VsdBot)*(H26+J26/2)</f>
        <v>0.0164022973567109</v>
      </c>
      <c r="AC26" s="0" t="n">
        <f aca="false">(AB26+AA26*(1+RdsonBotTc*Ta-RdsonBotTc*25))/(1-AA26*RdsonBotTc*ThetaJaBot)</f>
        <v>0.016542352030492</v>
      </c>
      <c r="AD26" s="0" t="n">
        <f aca="false">2*Deadtime*Fsw*IF(VfdSky&gt;0,VfdSky,0)*H26</f>
        <v>0</v>
      </c>
      <c r="AE26" s="0" t="n">
        <f aca="false">IF(QrrSky&gt;0,QrrSky,QrrBot)*Fsw*(Vin-H26*RdsonTop)</f>
        <v>0.40316192</v>
      </c>
      <c r="AF26" s="0" t="n">
        <f aca="false">Iq*Vin</f>
        <v>0.054</v>
      </c>
      <c r="AG26" s="0" t="n">
        <f aca="false">Vin*(QgTop+QgBot)*Fsw</f>
        <v>0.35784</v>
      </c>
      <c r="AH26" s="357" t="n">
        <f aca="false">(Vin-Vdd)*Fsw*(QgTop+QgBot)+(RdsonDRT+RdsonDRT2)*Fsw*QgTop*Vdd/(RdsonDRT+2*RGateTop+RdsonDRT2)+(RdsonDRB+RdsonDRB2)*Fsw*QgBot*Vdd/(RdsonDRB+2*RGateBot+RdsonDRB2)</f>
        <v>0.31571422459893</v>
      </c>
      <c r="AI26" s="0" t="n">
        <f aca="false">SUM(AF26:AG26)</f>
        <v>0.41184</v>
      </c>
      <c r="AJ26" s="402" t="n">
        <f aca="false">SUM(N26,Q26,T26,Y26,AE26,AD26,AC26,AI26)</f>
        <v>0.852366308885642</v>
      </c>
      <c r="AK26" s="358" t="n">
        <f aca="false">Vout*H26</f>
        <v>2.04</v>
      </c>
      <c r="AL26" s="359" t="n">
        <f aca="false">AK26/(AK26+AJ26)</f>
        <v>0.705304854966991</v>
      </c>
      <c r="AM26" s="0" t="n">
        <f aca="false">ThetaJaTop*Y26</f>
        <v>0.835837786270875</v>
      </c>
      <c r="AN26" s="0" t="n">
        <f aca="false">AC26*ThetaJaBot</f>
        <v>0.827117601524601</v>
      </c>
      <c r="AO26" s="359"/>
      <c r="AP26" s="0" t="n">
        <f aca="false">AL26*100</f>
        <v>70.5304854966991</v>
      </c>
      <c r="AX26" s="0" t="s">
        <v>629</v>
      </c>
      <c r="AY26" s="0" t="n">
        <v>9.998964</v>
      </c>
      <c r="AZ26" s="0" t="n">
        <v>0.1027</v>
      </c>
      <c r="BA26" s="0" t="n">
        <v>5.121136</v>
      </c>
      <c r="BB26" s="0" t="n">
        <v>61.870683235325</v>
      </c>
      <c r="BC26" s="0" t="n">
        <v>324.12365701136</v>
      </c>
    </row>
    <row r="27" customFormat="false" ht="12.75" hidden="false" customHeight="false" outlineLevel="0" collapsed="false">
      <c r="A27" s="410" t="s">
        <v>367</v>
      </c>
      <c r="B27" s="343" t="n">
        <f aca="false">RdsonDRT</f>
        <v>1.5</v>
      </c>
      <c r="C27" s="408" t="s">
        <v>228</v>
      </c>
      <c r="D27" s="409" t="s">
        <v>368</v>
      </c>
      <c r="G27" s="0" t="n">
        <v>18</v>
      </c>
      <c r="H27" s="0" t="n">
        <f aca="false">Iout*(G27/100)</f>
        <v>0.36</v>
      </c>
      <c r="I27" s="0" t="n">
        <f aca="false">(Vout+Rdcr*H27+RdsonBot*H27)/(Vin-RdsonTop*H27+RdsonBot*H27)</f>
        <v>0.333842705378942</v>
      </c>
      <c r="J27" s="0" t="n">
        <f aca="false">(Vin-Vout)*I27/(Fsw*Lout2)</f>
        <v>0.841620265661199</v>
      </c>
      <c r="K27" s="0" t="n">
        <f aca="false">SQRT(H27^2+(J27^2)/12)</f>
        <v>0.434312164191037</v>
      </c>
      <c r="L27" s="0" t="n">
        <f aca="false">(K27^2*Rdcr*(1+Ltc*Ta-Ltc*25))/(1-K27^2*Rdcr*Ltc*ThetaCa)</f>
        <v>0.00433992856260301</v>
      </c>
      <c r="N27" s="356" t="n">
        <f aca="false">L27</f>
        <v>0.00433992856260301</v>
      </c>
      <c r="O27" s="357" t="n">
        <f aca="false">J27/(2*SQRT(3))</f>
        <v>0.242954843467469</v>
      </c>
      <c r="P27" s="357" t="n">
        <f aca="false">RCoutEsr*O27^2</f>
        <v>2.95135279821511E-005</v>
      </c>
      <c r="Q27" s="357" t="n">
        <f aca="false">P27</f>
        <v>2.95135279821511E-005</v>
      </c>
      <c r="R27" s="0" t="n">
        <f aca="false">SQRT(I27)*SQRT(H27^2+(J27^2)/12)</f>
        <v>0.25094175951959</v>
      </c>
      <c r="S27" s="400" t="n">
        <f aca="false">RCinEsr*R27^2</f>
        <v>6.29717666707878E-005</v>
      </c>
      <c r="T27" s="401" t="n">
        <f aca="false">S27</f>
        <v>6.29717666707878E-005</v>
      </c>
      <c r="U27" s="0" t="n">
        <f aca="false">SQRT(I27)*SQRT(H27^2+(J27^2)/12)</f>
        <v>0.25094175951959</v>
      </c>
      <c r="V27" s="0" t="n">
        <f aca="false">RdsonTop*U27^2</f>
        <v>0.000314858833353939</v>
      </c>
      <c r="W27" s="0" t="n">
        <f aca="false">(Vin*H27/2)*(Fsw)*(Tr+Tf)</f>
        <v>0.0163727119127079</v>
      </c>
      <c r="X27" s="0" t="n">
        <f aca="false">IF(H27&gt;J27/2,0,ABS(H27-J27/2)*VsdTop*Deadtime*Fsw)</f>
        <v>0.000723640580684132</v>
      </c>
      <c r="Y27" s="0" t="n">
        <f aca="false">(X27+W27+V27*(1+RdsonTopTc*Ta-RdsonTopTc*25))/(1-V27*RdsonTopTc*ThetaJaTop)</f>
        <v>0.0174123078105306</v>
      </c>
      <c r="Z27" s="0" t="n">
        <f aca="false">SQRT(1-I27)*SQRT(H27^2+(J27^2)/12)</f>
        <v>0.354478898234457</v>
      </c>
      <c r="AA27" s="0" t="n">
        <f aca="false">RdsonBot*Z27^2</f>
        <v>0.000150786347152217</v>
      </c>
      <c r="AB27" s="0" t="n">
        <f aca="false">2*Deadtime*Fsw*IF(VfdSky&gt;0,0,VsdBot)*(H27+J27/2)</f>
        <v>0.0168342664638277</v>
      </c>
      <c r="AC27" s="0" t="n">
        <f aca="false">(AB27+AA27*(1+RdsonBotTc*Ta-RdsonBotTc*25))/(1-AA27*RdsonBotTc*ThetaJaBot)</f>
        <v>0.0169855650492416</v>
      </c>
      <c r="AD27" s="0" t="n">
        <f aca="false">2*Deadtime*Fsw*IF(VfdSky&gt;0,VfdSky,0)*H27</f>
        <v>0</v>
      </c>
      <c r="AE27" s="0" t="n">
        <f aca="false">IF(QrrSky&gt;0,QrrSky,QrrBot)*Fsw*(Vin-H27*RdsonTop)</f>
        <v>0.40315968</v>
      </c>
      <c r="AF27" s="0" t="n">
        <f aca="false">Iq*Vin</f>
        <v>0.054</v>
      </c>
      <c r="AG27" s="0" t="n">
        <f aca="false">Vin*(QgTop+QgBot)*Fsw</f>
        <v>0.35784</v>
      </c>
      <c r="AH27" s="357" t="n">
        <f aca="false">(Vin-Vdd)*Fsw*(QgTop+QgBot)+(RdsonDRT+RdsonDRT2)*Fsw*QgTop*Vdd/(RdsonDRT+2*RGateTop+RdsonDRT2)+(RdsonDRB+RdsonDRB2)*Fsw*QgBot*Vdd/(RdsonDRB+2*RGateBot+RdsonDRB2)</f>
        <v>0.31571422459893</v>
      </c>
      <c r="AI27" s="0" t="n">
        <f aca="false">SUM(AF27:AG27)</f>
        <v>0.41184</v>
      </c>
      <c r="AJ27" s="402" t="n">
        <f aca="false">SUM(N27,Q27,T27,Y27,AE27,AD27,AC27,AI27)</f>
        <v>0.853829966717028</v>
      </c>
      <c r="AK27" s="358" t="n">
        <f aca="false">Vout*H27</f>
        <v>2.16</v>
      </c>
      <c r="AL27" s="359" t="n">
        <f aca="false">AK27/(AK27+AJ27)</f>
        <v>0.716696039210498</v>
      </c>
      <c r="AM27" s="0" t="n">
        <f aca="false">ThetaJaTop*Y27</f>
        <v>0.870615390526532</v>
      </c>
      <c r="AN27" s="0" t="n">
        <f aca="false">AC27*ThetaJaBot</f>
        <v>0.849278252462078</v>
      </c>
      <c r="AO27" s="359"/>
      <c r="AP27" s="0" t="n">
        <f aca="false">AL27*100</f>
        <v>71.6696039210498</v>
      </c>
      <c r="AX27" s="0" t="s">
        <v>630</v>
      </c>
      <c r="AY27" s="0" t="n">
        <v>9.998667</v>
      </c>
      <c r="AZ27" s="0" t="n">
        <v>0.1166</v>
      </c>
      <c r="BA27" s="0" t="n">
        <v>5.121298</v>
      </c>
      <c r="BB27" s="0" t="n">
        <v>64.7294205705582</v>
      </c>
      <c r="BC27" s="0" t="n">
        <v>325.37886459484</v>
      </c>
    </row>
    <row r="28" customFormat="false" ht="12.75" hidden="false" customHeight="false" outlineLevel="0" collapsed="false">
      <c r="A28" s="410" t="s">
        <v>369</v>
      </c>
      <c r="B28" s="343" t="n">
        <f aca="false">RdsonDRT2</f>
        <v>1</v>
      </c>
      <c r="C28" s="408" t="s">
        <v>228</v>
      </c>
      <c r="D28" s="409" t="s">
        <v>370</v>
      </c>
      <c r="G28" s="0" t="n">
        <v>19</v>
      </c>
      <c r="H28" s="0" t="n">
        <f aca="false">Iout*(G28/100)</f>
        <v>0.38</v>
      </c>
      <c r="I28" s="0" t="n">
        <f aca="false">(Vout+Rdcr*H28+RdsonBot*H28)/(Vin-RdsonTop*H28+RdsonBot*H28)</f>
        <v>0.333871006096267</v>
      </c>
      <c r="J28" s="0" t="n">
        <f aca="false">(Vin-Vout)*I28/(Fsw*Lout2)</f>
        <v>0.841691612007396</v>
      </c>
      <c r="K28" s="0" t="n">
        <f aca="false">SQRT(H28^2+(J28^2)/12)</f>
        <v>0.45103998064876</v>
      </c>
      <c r="L28" s="0" t="n">
        <f aca="false">(K28^2*Rdcr*(1+Ltc*Ta-Ltc*25))/(1-K28^2*Rdcr*Ltc*ThetaCa)</f>
        <v>0.00468080461373673</v>
      </c>
      <c r="N28" s="356" t="n">
        <f aca="false">L28</f>
        <v>0.00468080461373673</v>
      </c>
      <c r="O28" s="357" t="n">
        <f aca="false">J28/(2*SQRT(3))</f>
        <v>0.24297543938356</v>
      </c>
      <c r="P28" s="357" t="n">
        <f aca="false">RCoutEsr*O28^2</f>
        <v>2.9518532071817E-005</v>
      </c>
      <c r="Q28" s="357" t="n">
        <f aca="false">P28</f>
        <v>2.9518532071817E-005</v>
      </c>
      <c r="R28" s="0" t="n">
        <f aca="false">SQRT(I28)*SQRT(H28^2+(J28^2)/12)</f>
        <v>0.260617991095983</v>
      </c>
      <c r="S28" s="400" t="n">
        <f aca="false">RCinEsr*R28^2</f>
        <v>6.79217372829059E-005</v>
      </c>
      <c r="T28" s="401" t="n">
        <f aca="false">S28</f>
        <v>6.79217372829059E-005</v>
      </c>
      <c r="U28" s="0" t="n">
        <f aca="false">SQRT(I28)*SQRT(H28^2+(J28^2)/12)</f>
        <v>0.260617991095983</v>
      </c>
      <c r="V28" s="0" t="n">
        <f aca="false">RdsonTop*U28^2</f>
        <v>0.000339608686414529</v>
      </c>
      <c r="W28" s="0" t="n">
        <f aca="false">(Vin*H28/2)*(Fsw)*(Tr+Tf)</f>
        <v>0.0172823070189695</v>
      </c>
      <c r="X28" s="0" t="n">
        <f aca="false">IF(H28&gt;J28/2,0,ABS(H28-J28/2)*VsdTop*Deadtime*Fsw)</f>
        <v>0.000486065091444003</v>
      </c>
      <c r="Y28" s="0" t="n">
        <f aca="false">(X28+W28+V28*(1+RdsonTopTc*Ta-RdsonTopTc*25))/(1-V28*RdsonTopTc*ThetaJaTop)</f>
        <v>0.0181092108058868</v>
      </c>
      <c r="Z28" s="0" t="n">
        <f aca="false">SQRT(1-I28)*SQRT(H28^2+(J28^2)/12)</f>
        <v>0.368124064495556</v>
      </c>
      <c r="AA28" s="0" t="n">
        <f aca="false">RdsonBot*Z28^2</f>
        <v>0.000162618392232874</v>
      </c>
      <c r="AB28" s="0" t="n">
        <f aca="false">2*Deadtime*Fsw*IF(VfdSky&gt;0,0,VsdBot)*(H28+J28/2)</f>
        <v>0.0172662355774397</v>
      </c>
      <c r="AC28" s="0" t="n">
        <f aca="false">(AB28+AA28*(1+RdsonBotTc*Ta-RdsonBotTc*25))/(1-AA28*RdsonBotTc*ThetaJaBot)</f>
        <v>0.0174294208385515</v>
      </c>
      <c r="AD28" s="0" t="n">
        <f aca="false">2*Deadtime*Fsw*IF(VfdSky&gt;0,VfdSky,0)*H28</f>
        <v>0</v>
      </c>
      <c r="AE28" s="0" t="n">
        <f aca="false">IF(QrrSky&gt;0,QrrSky,QrrBot)*Fsw*(Vin-H28*RdsonTop)</f>
        <v>0.40315744</v>
      </c>
      <c r="AF28" s="0" t="n">
        <f aca="false">Iq*Vin</f>
        <v>0.054</v>
      </c>
      <c r="AG28" s="0" t="n">
        <f aca="false">Vin*(QgTop+QgBot)*Fsw</f>
        <v>0.35784</v>
      </c>
      <c r="AH28" s="357" t="n">
        <f aca="false">(Vin-Vdd)*Fsw*(QgTop+QgBot)+(RdsonDRT+RdsonDRT2)*Fsw*QgTop*Vdd/(RdsonDRT+2*RGateTop+RdsonDRT2)+(RdsonDRB+RdsonDRB2)*Fsw*QgBot*Vdd/(RdsonDRB+2*RGateBot+RdsonDRB2)</f>
        <v>0.31571422459893</v>
      </c>
      <c r="AI28" s="0" t="n">
        <f aca="false">SUM(AF28:AG28)</f>
        <v>0.41184</v>
      </c>
      <c r="AJ28" s="402" t="n">
        <f aca="false">SUM(N28,Q28,T28,Y28,AE28,AD28,AC28,AI28)</f>
        <v>0.85531431652753</v>
      </c>
      <c r="AK28" s="358" t="n">
        <f aca="false">Vout*H28</f>
        <v>2.28</v>
      </c>
      <c r="AL28" s="359" t="n">
        <f aca="false">AK28/(AK28+AJ28)</f>
        <v>0.727199817887854</v>
      </c>
      <c r="AM28" s="0" t="n">
        <f aca="false">ThetaJaTop*Y28</f>
        <v>0.905460540294338</v>
      </c>
      <c r="AN28" s="0" t="n">
        <f aca="false">AC28*ThetaJaBot</f>
        <v>0.871471041927573</v>
      </c>
      <c r="AO28" s="359"/>
      <c r="AP28" s="0" t="n">
        <f aca="false">AL28*100</f>
        <v>72.7199817887854</v>
      </c>
      <c r="AX28" s="0" t="s">
        <v>631</v>
      </c>
      <c r="AY28" s="0" t="n">
        <v>9.998766</v>
      </c>
      <c r="AZ28" s="0" t="n">
        <v>0.1466</v>
      </c>
      <c r="BA28" s="0" t="n">
        <v>5.121323</v>
      </c>
      <c r="BB28" s="0" t="n">
        <v>69.8853769186918</v>
      </c>
      <c r="BC28" s="0" t="n">
        <v>323.5244619338</v>
      </c>
    </row>
    <row r="29" customFormat="false" ht="12.75" hidden="false" customHeight="false" outlineLevel="0" collapsed="false">
      <c r="A29" s="412" t="s">
        <v>371</v>
      </c>
      <c r="B29" s="397" t="s">
        <v>600</v>
      </c>
      <c r="C29" s="412" t="s">
        <v>430</v>
      </c>
      <c r="D29" s="399" t="s">
        <v>123</v>
      </c>
      <c r="G29" s="0" t="n">
        <v>20</v>
      </c>
      <c r="H29" s="0" t="n">
        <f aca="false">Iout*(G29/100)</f>
        <v>0.4</v>
      </c>
      <c r="I29" s="0" t="n">
        <f aca="false">(Vout+Rdcr*H29+RdsonBot*H29)/(Vin-RdsonTop*H29+RdsonBot*H29)</f>
        <v>0.333899307052596</v>
      </c>
      <c r="J29" s="0" t="n">
        <f aca="false">(Vin-Vout)*I29/(Fsw*Lout2)</f>
        <v>0.841762958956123</v>
      </c>
      <c r="K29" s="0" t="n">
        <f aca="false">SQRT(H29^2+(J29^2)/12)</f>
        <v>0.468024650265219</v>
      </c>
      <c r="L29" s="0" t="n">
        <f aca="false">(K29^2*Rdcr*(1+Ltc*Ta-Ltc*25))/(1-K29^2*Rdcr*Ltc*ThetaCa)</f>
        <v>0.0050401140858057</v>
      </c>
      <c r="N29" s="356" t="n">
        <f aca="false">L29</f>
        <v>0.0050401140858057</v>
      </c>
      <c r="O29" s="357" t="n">
        <f aca="false">J29/(2*SQRT(3))</f>
        <v>0.242996035473587</v>
      </c>
      <c r="P29" s="357" t="n">
        <f aca="false">RCoutEsr*O29^2</f>
        <v>2.95235366279403E-005</v>
      </c>
      <c r="Q29" s="357" t="n">
        <f aca="false">P29</f>
        <v>2.95235366279403E-005</v>
      </c>
      <c r="R29" s="0" t="n">
        <f aca="false">SQRT(I29)*SQRT(H29^2+(J29^2)/12)</f>
        <v>0.270443461692158</v>
      </c>
      <c r="S29" s="400" t="n">
        <f aca="false">RCinEsr*R29^2</f>
        <v>7.31396659720377E-005</v>
      </c>
      <c r="T29" s="401" t="n">
        <f aca="false">S29</f>
        <v>7.31396659720377E-005</v>
      </c>
      <c r="U29" s="0" t="n">
        <f aca="false">SQRT(I29)*SQRT(H29^2+(J29^2)/12)</f>
        <v>0.270443461692158</v>
      </c>
      <c r="V29" s="0" t="n">
        <f aca="false">RdsonTop*U29^2</f>
        <v>0.000365698329860188</v>
      </c>
      <c r="W29" s="0" t="n">
        <f aca="false">(Vin*H29/2)*(Fsw)*(Tr+Tf)</f>
        <v>0.018191902125231</v>
      </c>
      <c r="X29" s="0" t="n">
        <f aca="false">IF(H29&gt;J29/2,0,ABS(H29-J29/2)*VsdTop*Deadtime*Fsw)</f>
        <v>0.000248489605788933</v>
      </c>
      <c r="Y29" s="0" t="n">
        <f aca="false">(X29+W29+V29*(1+RdsonTopTc*Ta-RdsonTopTc*25))/(1-V29*RdsonTopTc*ThetaJaTop)</f>
        <v>0.0188074656326343</v>
      </c>
      <c r="Z29" s="0" t="n">
        <f aca="false">SQRT(1-I29)*SQRT(H29^2+(J29^2)/12)</f>
        <v>0.381978281167716</v>
      </c>
      <c r="AA29" s="0" t="n">
        <f aca="false">RdsonBot*Z29^2</f>
        <v>0.000175088888740612</v>
      </c>
      <c r="AB29" s="0" t="n">
        <f aca="false">2*Deadtime*Fsw*IF(VfdSky&gt;0,0,VsdBot)*(H29+J29/2)</f>
        <v>0.017698204697547</v>
      </c>
      <c r="AC29" s="0" t="n">
        <f aca="false">(AB29+AA29*(1+RdsonBotTc*Ta-RdsonBotTc*25))/(1-AA29*RdsonBotTc*ThetaJaBot)</f>
        <v>0.0178739194912279</v>
      </c>
      <c r="AD29" s="0" t="n">
        <f aca="false">2*Deadtime*Fsw*IF(VfdSky&gt;0,VfdSky,0)*H29</f>
        <v>0</v>
      </c>
      <c r="AE29" s="0" t="n">
        <f aca="false">IF(QrrSky&gt;0,QrrSky,QrrBot)*Fsw*(Vin-H29*RdsonTop)</f>
        <v>0.4031552</v>
      </c>
      <c r="AF29" s="0" t="n">
        <f aca="false">Iq*Vin</f>
        <v>0.054</v>
      </c>
      <c r="AG29" s="0" t="n">
        <f aca="false">Vin*(QgTop+QgBot)*Fsw</f>
        <v>0.35784</v>
      </c>
      <c r="AH29" s="357" t="n">
        <f aca="false">(Vin-Vdd)*Fsw*(QgTop+QgBot)+(RdsonDRT+RdsonDRT2)*Fsw*QgTop*Vdd/(RdsonDRT+2*RGateTop+RdsonDRT2)+(RdsonDRB+RdsonDRB2)*Fsw*QgBot*Vdd/(RdsonDRB+2*RGateBot+RdsonDRB2)</f>
        <v>0.31571422459893</v>
      </c>
      <c r="AI29" s="0" t="n">
        <f aca="false">SUM(AF29:AG29)</f>
        <v>0.41184</v>
      </c>
      <c r="AJ29" s="402" t="n">
        <f aca="false">SUM(N29,Q29,T29,Y29,AE29,AD29,AC29,AI29)</f>
        <v>0.856819362412268</v>
      </c>
      <c r="AK29" s="358" t="n">
        <f aca="false">Vout*H29</f>
        <v>2.4</v>
      </c>
      <c r="AL29" s="359" t="n">
        <f aca="false">AK29/(AK29+AJ29)</f>
        <v>0.736915294627321</v>
      </c>
      <c r="AM29" s="0" t="n">
        <f aca="false">ThetaJaTop*Y29</f>
        <v>0.940373281631715</v>
      </c>
      <c r="AN29" s="0" t="n">
        <f aca="false">AC29*ThetaJaBot</f>
        <v>0.893695974561393</v>
      </c>
      <c r="AO29" s="359"/>
      <c r="AP29" s="0" t="n">
        <f aca="false">AL29*100</f>
        <v>73.6915294627321</v>
      </c>
      <c r="AX29" s="0" t="s">
        <v>632</v>
      </c>
      <c r="AY29" s="0" t="n">
        <v>9.99879</v>
      </c>
      <c r="AZ29" s="0" t="n">
        <v>0.1958</v>
      </c>
      <c r="BA29" s="0" t="n">
        <v>5.12176</v>
      </c>
      <c r="BB29" s="0" t="n">
        <v>75.6625165665159</v>
      </c>
      <c r="BC29" s="0" t="n">
        <v>322.571997667</v>
      </c>
    </row>
    <row r="30" customFormat="false" ht="12.75" hidden="false" customHeight="false" outlineLevel="0" collapsed="false">
      <c r="A30" s="410" t="s">
        <v>372</v>
      </c>
      <c r="B30" s="425" t="n">
        <f aca="false">RdsonDRB</f>
        <v>1.5</v>
      </c>
      <c r="C30" s="408" t="s">
        <v>228</v>
      </c>
      <c r="D30" s="409" t="s">
        <v>368</v>
      </c>
      <c r="G30" s="0" t="n">
        <v>21</v>
      </c>
      <c r="H30" s="0" t="n">
        <f aca="false">Iout*(G30/100)</f>
        <v>0.42</v>
      </c>
      <c r="I30" s="0" t="n">
        <f aca="false">(Vout+Rdcr*H30+RdsonBot*H30)/(Vin-RdsonTop*H30+RdsonBot*H30)</f>
        <v>0.333927608247931</v>
      </c>
      <c r="J30" s="0" t="n">
        <f aca="false">(Vin-Vout)*I30/(Fsw*Lout2)</f>
        <v>0.84183430650739</v>
      </c>
      <c r="K30" s="0" t="n">
        <f aca="false">SQRT(H30^2+(J30^2)/12)</f>
        <v>0.485239202147832</v>
      </c>
      <c r="L30" s="0" t="n">
        <f aca="false">(K30^2*Rdcr*(1+Ltc*Ta-Ltc*25))/(1-K30^2*Rdcr*Ltc*ThetaCa)</f>
        <v>0.00541786015525629</v>
      </c>
      <c r="N30" s="356" t="n">
        <f aca="false">L30</f>
        <v>0.00541786015525629</v>
      </c>
      <c r="O30" s="357" t="n">
        <f aca="false">J30/(2*SQRT(3))</f>
        <v>0.243016631737552</v>
      </c>
      <c r="P30" s="357" t="n">
        <f aca="false">RCoutEsr*O30^2</f>
        <v>2.95285416505324E-005</v>
      </c>
      <c r="Q30" s="357" t="n">
        <f aca="false">P30</f>
        <v>2.95285416505324E-005</v>
      </c>
      <c r="R30" s="0" t="n">
        <f aca="false">SQRT(I30)*SQRT(H30^2+(J30^2)/12)</f>
        <v>0.280402604609441</v>
      </c>
      <c r="S30" s="400" t="n">
        <f aca="false">RCinEsr*R30^2</f>
        <v>7.86256206717585E-005</v>
      </c>
      <c r="T30" s="401" t="n">
        <f aca="false">S30</f>
        <v>7.86256206717585E-005</v>
      </c>
      <c r="U30" s="0" t="n">
        <f aca="false">SQRT(I30)*SQRT(H30^2+(J30^2)/12)</f>
        <v>0.280402604609441</v>
      </c>
      <c r="V30" s="0" t="n">
        <f aca="false">RdsonTop*U30^2</f>
        <v>0.000393128103358793</v>
      </c>
      <c r="W30" s="0" t="n">
        <f aca="false">(Vin*H30/2)*(Fsw)*(Tr+Tf)</f>
        <v>0.0191014972314926</v>
      </c>
      <c r="X30" s="0" t="n">
        <f aca="false">IF(H30&gt;J30/2,0,ABS(H30-J30/2)*VsdTop*Deadtime*Fsw)</f>
        <v>1.09141237189707E-005</v>
      </c>
      <c r="Y30" s="0" t="n">
        <f aca="false">(X30+W30+V30*(1+RdsonTopTc*Ta-RdsonTopTc*25))/(1-V30*RdsonTopTc*ThetaJaTop)</f>
        <v>0.0195070732143093</v>
      </c>
      <c r="Z30" s="0" t="n">
        <f aca="false">SQRT(1-I30)*SQRT(H30^2+(J30^2)/12)</f>
        <v>0.396019523040603</v>
      </c>
      <c r="AA30" s="0" t="n">
        <f aca="false">RdsonBot*Z30^2</f>
        <v>0.000188197755155168</v>
      </c>
      <c r="AB30" s="0" t="n">
        <f aca="false">2*Deadtime*Fsw*IF(VfdSky&gt;0,0,VsdBot)*(H30+J30/2)</f>
        <v>0.0181301738241497</v>
      </c>
      <c r="AC30" s="0" t="n">
        <f aca="false">(AB30+AA30*(1+RdsonBotTc*Ta-RdsonBotTc*25))/(1-AA30*RdsonBotTc*ThetaJaBot)</f>
        <v>0.01831906110054</v>
      </c>
      <c r="AD30" s="0" t="n">
        <f aca="false">2*Deadtime*Fsw*IF(VfdSky&gt;0,VfdSky,0)*H30</f>
        <v>0</v>
      </c>
      <c r="AE30" s="0" t="n">
        <f aca="false">IF(QrrSky&gt;0,QrrSky,QrrBot)*Fsw*(Vin-H30*RdsonTop)</f>
        <v>0.40315296</v>
      </c>
      <c r="AF30" s="0" t="n">
        <f aca="false">Iq*Vin</f>
        <v>0.054</v>
      </c>
      <c r="AG30" s="0" t="n">
        <f aca="false">Vin*(QgTop+QgBot)*Fsw</f>
        <v>0.35784</v>
      </c>
      <c r="AH30" s="357" t="n">
        <f aca="false">(Vin-Vdd)*Fsw*(QgTop+QgBot)+(RdsonDRT+RdsonDRT2)*Fsw*QgTop*Vdd/(RdsonDRT+2*RGateTop+RdsonDRT2)+(RdsonDRB+RdsonDRB2)*Fsw*QgBot*Vdd/(RdsonDRB+2*RGateBot+RdsonDRB2)</f>
        <v>0.31571422459893</v>
      </c>
      <c r="AI30" s="0" t="n">
        <f aca="false">SUM(AF30:AG30)</f>
        <v>0.41184</v>
      </c>
      <c r="AJ30" s="402" t="n">
        <f aca="false">SUM(N30,Q30,T30,Y30,AE30,AD30,AC30,AI30)</f>
        <v>0.858345108632428</v>
      </c>
      <c r="AK30" s="358" t="n">
        <f aca="false">Vout*H30</f>
        <v>2.52</v>
      </c>
      <c r="AL30" s="359" t="n">
        <f aca="false">AK30/(AK30+AJ30)</f>
        <v>0.745927345776734</v>
      </c>
      <c r="AM30" s="0" t="n">
        <f aca="false">ThetaJaTop*Y30</f>
        <v>0.975353660715465</v>
      </c>
      <c r="AN30" s="0" t="n">
        <f aca="false">AC30*ThetaJaBot</f>
        <v>0.915953055026998</v>
      </c>
      <c r="AO30" s="359"/>
      <c r="AP30" s="0" t="n">
        <f aca="false">AL30*100</f>
        <v>74.5927345776734</v>
      </c>
      <c r="AY30" s="0" t="n">
        <v>9.998766</v>
      </c>
      <c r="AZ30" s="0" t="n">
        <v>0.2681</v>
      </c>
      <c r="BA30" s="0" t="n">
        <v>5.122408</v>
      </c>
      <c r="BB30" s="0" t="n">
        <v>80.9575534458877</v>
      </c>
      <c r="BC30" s="0" t="n">
        <v>323.0250606832</v>
      </c>
    </row>
    <row r="31" customFormat="false" ht="12.75" hidden="false" customHeight="false" outlineLevel="0" collapsed="false">
      <c r="A31" s="410" t="s">
        <v>373</v>
      </c>
      <c r="B31" s="425" t="n">
        <f aca="false">RdsonDRB2</f>
        <v>0.9</v>
      </c>
      <c r="C31" s="408" t="s">
        <v>228</v>
      </c>
      <c r="D31" s="409" t="s">
        <v>370</v>
      </c>
      <c r="G31" s="0" t="n">
        <v>22</v>
      </c>
      <c r="H31" s="0" t="n">
        <f aca="false">Iout*(G31/100)</f>
        <v>0.44</v>
      </c>
      <c r="I31" s="0" t="n">
        <f aca="false">(Vout+Rdcr*H31+RdsonBot*H31)/(Vin-RdsonTop*H31+RdsonBot*H31)</f>
        <v>0.333955909682277</v>
      </c>
      <c r="J31" s="0" t="n">
        <f aca="false">(Vin-Vout)*I31/(Fsw*Lout2)</f>
        <v>0.841905654661203</v>
      </c>
      <c r="K31" s="0" t="n">
        <f aca="false">SQRT(H31^2+(J31^2)/12)</f>
        <v>0.502660018580361</v>
      </c>
      <c r="L31" s="0" t="n">
        <f aca="false">(K31^2*Rdcr*(1+Ltc*Ta-Ltc*25))/(1-K31^2*Rdcr*Ltc*ThetaCa)</f>
        <v>0.00581404616181728</v>
      </c>
      <c r="N31" s="356" t="n">
        <f aca="false">L31</f>
        <v>0.00581404616181728</v>
      </c>
      <c r="O31" s="357" t="n">
        <f aca="false">J31/(2*SQRT(3))</f>
        <v>0.243037228175457</v>
      </c>
      <c r="P31" s="357" t="n">
        <f aca="false">RCoutEsr*O31^2</f>
        <v>2.95335471396045E-005</v>
      </c>
      <c r="Q31" s="357" t="n">
        <f aca="false">P31</f>
        <v>2.95335471396045E-005</v>
      </c>
      <c r="R31" s="0" t="n">
        <f aca="false">SQRT(I31)*SQRT(H31^2+(J31^2)/12)</f>
        <v>0.290481788270437</v>
      </c>
      <c r="S31" s="400" t="n">
        <f aca="false">RCinEsr*R31^2</f>
        <v>8.43796693167909E-005</v>
      </c>
      <c r="T31" s="401" t="n">
        <f aca="false">S31</f>
        <v>8.43796693167909E-005</v>
      </c>
      <c r="U31" s="0" t="n">
        <f aca="false">SQRT(I31)*SQRT(H31^2+(J31^2)/12)</f>
        <v>0.290481788270437</v>
      </c>
      <c r="V31" s="0" t="n">
        <f aca="false">RdsonTop*U31^2</f>
        <v>0.000421898346583955</v>
      </c>
      <c r="W31" s="0" t="n">
        <f aca="false">(Vin*H31/2)*(Fsw)*(Tr+Tf)</f>
        <v>0.0200110923377541</v>
      </c>
      <c r="X31" s="0" t="n">
        <f aca="false">IF(H31&gt;J31/2,0,ABS(H31-J31/2)*VsdTop*Deadtime*Fsw)</f>
        <v>0</v>
      </c>
      <c r="Y31" s="0" t="n">
        <f aca="false">(X31+W31+V31*(1+RdsonTopTc*Ta-RdsonTopTc*25))/(1-V31*RdsonTopTc*ThetaJaTop)</f>
        <v>0.0204347149588289</v>
      </c>
      <c r="Z31" s="0" t="n">
        <f aca="false">SQRT(1-I31)*SQRT(H31^2+(J31^2)/12)</f>
        <v>0.410228503351996</v>
      </c>
      <c r="AA31" s="0" t="n">
        <f aca="false">RdsonBot*Z31^2</f>
        <v>0.000201944909954902</v>
      </c>
      <c r="AB31" s="0" t="n">
        <f aca="false">2*Deadtime*Fsw*IF(VfdSky&gt;0,0,VsdBot)*(H31+J31/2)</f>
        <v>0.0185621429572478</v>
      </c>
      <c r="AC31" s="0" t="n">
        <f aca="false">(AB31+AA31*(1+RdsonBotTc*Ta-RdsonBotTc*25))/(1-AA31*RdsonBotTc*ThetaJaBot)</f>
        <v>0.0187648457602201</v>
      </c>
      <c r="AD31" s="0" t="n">
        <f aca="false">2*Deadtime*Fsw*IF(VfdSky&gt;0,VfdSky,0)*H31</f>
        <v>0</v>
      </c>
      <c r="AE31" s="0" t="n">
        <f aca="false">IF(QrrSky&gt;0,QrrSky,QrrBot)*Fsw*(Vin-H31*RdsonTop)</f>
        <v>0.40315072</v>
      </c>
      <c r="AF31" s="0" t="n">
        <f aca="false">Iq*Vin</f>
        <v>0.054</v>
      </c>
      <c r="AG31" s="0" t="n">
        <f aca="false">Vin*(QgTop+QgBot)*Fsw</f>
        <v>0.35784</v>
      </c>
      <c r="AH31" s="357" t="n">
        <f aca="false">(Vin-Vdd)*Fsw*(QgTop+QgBot)+(RdsonDRT+RdsonDRT2)*Fsw*QgTop*Vdd/(RdsonDRT+2*RGateTop+RdsonDRT2)+(RdsonDRB+RdsonDRB2)*Fsw*QgBot*Vdd/(RdsonDRB+2*RGateBot+RdsonDRB2)</f>
        <v>0.31571422459893</v>
      </c>
      <c r="AI31" s="0" t="n">
        <f aca="false">SUM(AF31:AG31)</f>
        <v>0.41184</v>
      </c>
      <c r="AJ31" s="402" t="n">
        <f aca="false">SUM(N31,Q31,T31,Y31,AE31,AD31,AC31,AI31)</f>
        <v>0.860118240097323</v>
      </c>
      <c r="AK31" s="358" t="n">
        <f aca="false">Vout*H31</f>
        <v>2.64</v>
      </c>
      <c r="AL31" s="359" t="n">
        <f aca="false">AK31/(AK31+AJ31)</f>
        <v>0.754260233199034</v>
      </c>
      <c r="AM31" s="0" t="n">
        <f aca="false">ThetaJaTop*Y31</f>
        <v>1.02173574794144</v>
      </c>
      <c r="AN31" s="0" t="n">
        <f aca="false">AC31*ThetaJaBot</f>
        <v>0.938242288011007</v>
      </c>
      <c r="AO31" s="359"/>
      <c r="AP31" s="0" t="n">
        <f aca="false">AL31*100</f>
        <v>75.4260233199034</v>
      </c>
      <c r="AY31" s="0" t="n">
        <v>9.998704</v>
      </c>
      <c r="AZ31" s="0" t="n">
        <v>0.3655</v>
      </c>
      <c r="BA31" s="0" t="n">
        <v>5.123094</v>
      </c>
      <c r="BB31" s="0" t="n">
        <v>85.4190222732131</v>
      </c>
      <c r="BC31" s="0" t="n">
        <v>319.6330069232</v>
      </c>
    </row>
    <row r="32" customFormat="false" ht="12.75" hidden="false" customHeight="false" outlineLevel="0" collapsed="false">
      <c r="A32" s="412" t="s">
        <v>374</v>
      </c>
      <c r="B32" s="397" t="s">
        <v>600</v>
      </c>
      <c r="C32" s="412" t="s">
        <v>430</v>
      </c>
      <c r="D32" s="399" t="s">
        <v>123</v>
      </c>
      <c r="E32" s="270"/>
      <c r="G32" s="0" t="n">
        <v>23</v>
      </c>
      <c r="H32" s="0" t="n">
        <f aca="false">Iout*(G32/100)</f>
        <v>0.46</v>
      </c>
      <c r="I32" s="0" t="n">
        <f aca="false">(Vout+Rdcr*H32+RdsonBot*H32)/(Vin-RdsonTop*H32+RdsonBot*H32)</f>
        <v>0.333984211355636</v>
      </c>
      <c r="J32" s="0" t="n">
        <f aca="false">(Vin-Vout)*I32/(Fsw*Lout2)</f>
        <v>0.84197700341757</v>
      </c>
      <c r="K32" s="0" t="n">
        <f aca="false">SQRT(H32^2+(J32^2)/12)</f>
        <v>0.520266380030784</v>
      </c>
      <c r="L32" s="0" t="n">
        <f aca="false">(K32^2*Rdcr*(1+Ltc*Ta-Ltc*25))/(1-K32^2*Rdcr*Ltc*ThetaCa)</f>
        <v>0.00622867560857372</v>
      </c>
      <c r="N32" s="356" t="n">
        <f aca="false">L32</f>
        <v>0.00622867560857372</v>
      </c>
      <c r="O32" s="357" t="n">
        <f aca="false">J32/(2*SQRT(3))</f>
        <v>0.243057824787304</v>
      </c>
      <c r="P32" s="357" t="n">
        <f aca="false">RCoutEsr*O32^2</f>
        <v>2.9538553095168E-005</v>
      </c>
      <c r="Q32" s="357" t="n">
        <f aca="false">P32</f>
        <v>2.9538553095168E-005</v>
      </c>
      <c r="R32" s="0" t="n">
        <f aca="false">SQRT(I32)*SQRT(H32^2+(J32^2)/12)</f>
        <v>0.300669053683623</v>
      </c>
      <c r="S32" s="400" t="n">
        <f aca="false">RCinEsr*R32^2</f>
        <v>9.04018798430051E-005</v>
      </c>
      <c r="T32" s="401" t="n">
        <f aca="false">S32</f>
        <v>9.04018798430051E-005</v>
      </c>
      <c r="U32" s="0" t="n">
        <f aca="false">SQRT(I32)*SQRT(H32^2+(J32^2)/12)</f>
        <v>0.300669053683623</v>
      </c>
      <c r="V32" s="0" t="n">
        <f aca="false">RdsonTop*U32^2</f>
        <v>0.000452009399215026</v>
      </c>
      <c r="W32" s="0" t="n">
        <f aca="false">(Vin*H32/2)*(Fsw)*(Tr+Tf)</f>
        <v>0.0209206874440157</v>
      </c>
      <c r="X32" s="0" t="n">
        <f aca="false">IF(H32&gt;J32/2,0,ABS(H32-J32/2)*VsdTop*Deadtime*Fsw)</f>
        <v>0</v>
      </c>
      <c r="Y32" s="0" t="n">
        <f aca="false">(X32+W32+V32*(1+RdsonTopTc*Ta-RdsonTopTc*25))/(1-V32*RdsonTopTc*ThetaJaTop)</f>
        <v>0.0213746291498868</v>
      </c>
      <c r="Z32" s="0" t="n">
        <f aca="false">SQRT(1-I32)*SQRT(H32^2+(J32^2)/12)</f>
        <v>0.4245883021791</v>
      </c>
      <c r="AA32" s="0" t="n">
        <f aca="false">RdsonBot*Z32^2</f>
        <v>0.000216330271616797</v>
      </c>
      <c r="AB32" s="0" t="n">
        <f aca="false">2*Deadtime*Fsw*IF(VfdSky&gt;0,0,VsdBot)*(H32+J32/2)</f>
        <v>0.0189941120968414</v>
      </c>
      <c r="AC32" s="0" t="n">
        <f aca="false">(AB32+AA32*(1+RdsonBotTc*Ta-RdsonBotTc*25))/(1-AA32*RdsonBotTc*ThetaJaBot)</f>
        <v>0.0192112735644639</v>
      </c>
      <c r="AD32" s="0" t="n">
        <f aca="false">2*Deadtime*Fsw*IF(VfdSky&gt;0,VfdSky,0)*H32</f>
        <v>0</v>
      </c>
      <c r="AE32" s="0" t="n">
        <f aca="false">IF(QrrSky&gt;0,QrrSky,QrrBot)*Fsw*(Vin-H32*RdsonTop)</f>
        <v>0.40314848</v>
      </c>
      <c r="AF32" s="0" t="n">
        <f aca="false">Iq*Vin</f>
        <v>0.054</v>
      </c>
      <c r="AG32" s="0" t="n">
        <f aca="false">Vin*(QgTop+QgBot)*Fsw</f>
        <v>0.35784</v>
      </c>
      <c r="AH32" s="357" t="n">
        <f aca="false">(Vin-Vdd)*Fsw*(QgTop+QgBot)+(RdsonDRT+RdsonDRT2)*Fsw*QgTop*Vdd/(RdsonDRT+2*RGateTop+RdsonDRT2)+(RdsonDRB+RdsonDRB2)*Fsw*QgBot*Vdd/(RdsonDRB+2*RGateBot+RdsonDRB2)</f>
        <v>0.31571422459893</v>
      </c>
      <c r="AI32" s="0" t="n">
        <f aca="false">SUM(AF32:AG32)</f>
        <v>0.41184</v>
      </c>
      <c r="AJ32" s="402" t="n">
        <f aca="false">SUM(N32,Q32,T32,Y32,AE32,AD32,AC32,AI32)</f>
        <v>0.861922998755863</v>
      </c>
      <c r="AK32" s="358" t="n">
        <f aca="false">Vout*H32</f>
        <v>2.76</v>
      </c>
      <c r="AL32" s="359" t="n">
        <f aca="false">AK32/(AK32+AJ32)</f>
        <v>0.762026139414909</v>
      </c>
      <c r="AM32" s="0" t="n">
        <f aca="false">ThetaJaTop*Y32</f>
        <v>1.06873145749434</v>
      </c>
      <c r="AN32" s="0" t="n">
        <f aca="false">AC32*ThetaJaBot</f>
        <v>0.960563678223193</v>
      </c>
      <c r="AO32" s="359"/>
      <c r="AP32" s="0" t="n">
        <f aca="false">AL32*100</f>
        <v>76.2026139414909</v>
      </c>
      <c r="AY32" s="0" t="n">
        <v>9.998729</v>
      </c>
      <c r="AZ32" s="0" t="n">
        <v>0.4906</v>
      </c>
      <c r="BA32" s="0" t="n">
        <v>5.123817</v>
      </c>
      <c r="BB32" s="0" t="n">
        <v>88.5518502670522</v>
      </c>
      <c r="BC32" s="0" t="n">
        <v>324.981531842301</v>
      </c>
    </row>
    <row r="33" customFormat="false" ht="12.75" hidden="false" customHeight="false" outlineLevel="0" collapsed="false">
      <c r="A33" s="410" t="s">
        <v>374</v>
      </c>
      <c r="B33" s="343" t="n">
        <f aca="false">Deadtime*1000000000</f>
        <v>20</v>
      </c>
      <c r="C33" s="408" t="s">
        <v>633</v>
      </c>
      <c r="D33" s="409" t="s">
        <v>376</v>
      </c>
      <c r="E33" s="270"/>
      <c r="G33" s="0" t="n">
        <v>24</v>
      </c>
      <c r="H33" s="0" t="n">
        <f aca="false">Iout*(G33/100)</f>
        <v>0.48</v>
      </c>
      <c r="I33" s="0" t="n">
        <f aca="false">(Vout+Rdcr*H33+RdsonBot*H33)/(Vin-RdsonTop*H33+RdsonBot*H33)</f>
        <v>0.334012513268011</v>
      </c>
      <c r="J33" s="0" t="n">
        <f aca="false">(Vin-Vout)*I33/(Fsw*Lout2)</f>
        <v>0.842048352776499</v>
      </c>
      <c r="K33" s="0" t="n">
        <f aca="false">SQRT(H33^2+(J33^2)/12)</f>
        <v>0.538040071959764</v>
      </c>
      <c r="L33" s="0" t="n">
        <f aca="false">(K33^2*Rdcr*(1+Ltc*Ta-Ltc*25))/(1-K33^2*Rdcr*Ltc*ThetaCa)</f>
        <v>0.00666175216204441</v>
      </c>
      <c r="N33" s="356" t="n">
        <f aca="false">L33</f>
        <v>0.00666175216204441</v>
      </c>
      <c r="O33" s="357" t="n">
        <f aca="false">J33/(2*SQRT(3))</f>
        <v>0.243078421573096</v>
      </c>
      <c r="P33" s="357" t="n">
        <f aca="false">RCoutEsr*O33^2</f>
        <v>2.9543559517234E-005</v>
      </c>
      <c r="Q33" s="357" t="n">
        <f aca="false">P33</f>
        <v>2.9543559517234E-005</v>
      </c>
      <c r="R33" s="0" t="n">
        <f aca="false">SQRT(I33)*SQRT(H33^2+(J33^2)/12)</f>
        <v>0.310953887557976</v>
      </c>
      <c r="S33" s="400" t="n">
        <f aca="false">RCinEsr*R33^2</f>
        <v>9.66923201874186E-005</v>
      </c>
      <c r="T33" s="401" t="n">
        <f aca="false">S33</f>
        <v>9.66923201874186E-005</v>
      </c>
      <c r="U33" s="0" t="n">
        <f aca="false">SQRT(I33)*SQRT(H33^2+(J33^2)/12)</f>
        <v>0.310953887557976</v>
      </c>
      <c r="V33" s="0" t="n">
        <f aca="false">RdsonTop*U33^2</f>
        <v>0.000483461600937093</v>
      </c>
      <c r="W33" s="0" t="n">
        <f aca="false">(Vin*H33/2)*(Fsw)*(Tr+Tf)</f>
        <v>0.0218302825502772</v>
      </c>
      <c r="X33" s="0" t="n">
        <f aca="false">IF(H33&gt;J33/2,0,ABS(H33-J33/2)*VsdTop*Deadtime*Fsw)</f>
        <v>0</v>
      </c>
      <c r="Y33" s="0" t="n">
        <f aca="false">(X33+W33+V33*(1+RdsonTopTc*Ta-RdsonTopTc*25))/(1-V33*RdsonTopTc*ThetaJaTop)</f>
        <v>0.0223159019275488</v>
      </c>
      <c r="Z33" s="0" t="n">
        <f aca="false">SQRT(1-I33)*SQRT(H33^2+(J33^2)/12)</f>
        <v>0.439084045311429</v>
      </c>
      <c r="AA33" s="0" t="n">
        <f aca="false">RdsonBot*Z33^2</f>
        <v>0.000231353758616459</v>
      </c>
      <c r="AB33" s="0" t="n">
        <f aca="false">2*Deadtime*Fsw*IF(VfdSky&gt;0,0,VsdBot)*(H33+J33/2)</f>
        <v>0.0194260812429307</v>
      </c>
      <c r="AC33" s="0" t="n">
        <f aca="false">(AB33+AA33*(1+RdsonBotTc*Ta-RdsonBotTc*25))/(1-AA33*RdsonBotTc*ThetaJaBot)</f>
        <v>0.0196583446079298</v>
      </c>
      <c r="AD33" s="0" t="n">
        <f aca="false">2*Deadtime*Fsw*IF(VfdSky&gt;0,VfdSky,0)*H33</f>
        <v>0</v>
      </c>
      <c r="AE33" s="0" t="n">
        <f aca="false">IF(QrrSky&gt;0,QrrSky,QrrBot)*Fsw*(Vin-H33*RdsonTop)</f>
        <v>0.40314624</v>
      </c>
      <c r="AF33" s="0" t="n">
        <f aca="false">Iq*Vin</f>
        <v>0.054</v>
      </c>
      <c r="AG33" s="0" t="n">
        <f aca="false">Vin*(QgTop+QgBot)*Fsw</f>
        <v>0.35784</v>
      </c>
      <c r="AH33" s="357" t="n">
        <f aca="false">(Vin-Vdd)*Fsw*(QgTop+QgBot)+(RdsonDRT+RdsonDRT2)*Fsw*QgTop*Vdd/(RdsonDRT+2*RGateTop+RdsonDRT2)+(RdsonDRB+RdsonDRB2)*Fsw*QgBot*Vdd/(RdsonDRB+2*RGateBot+RdsonDRB2)</f>
        <v>0.31571422459893</v>
      </c>
      <c r="AI33" s="0" t="n">
        <f aca="false">SUM(AF33:AG33)</f>
        <v>0.41184</v>
      </c>
      <c r="AJ33" s="402" t="n">
        <f aca="false">SUM(N33,Q33,T33,Y33,AE33,AD33,AC33,AI33)</f>
        <v>0.863748474577228</v>
      </c>
      <c r="AK33" s="358" t="n">
        <f aca="false">Vout*H33</f>
        <v>2.88</v>
      </c>
      <c r="AL33" s="359" t="n">
        <f aca="false">AK33/(AK33+AJ33)</f>
        <v>0.769282450345501</v>
      </c>
      <c r="AM33" s="0" t="n">
        <f aca="false">ThetaJaTop*Y33</f>
        <v>1.11579509637744</v>
      </c>
      <c r="AN33" s="0" t="n">
        <f aca="false">AC33*ThetaJaBot</f>
        <v>0.982917230396488</v>
      </c>
      <c r="AO33" s="359"/>
      <c r="AP33" s="0" t="n">
        <f aca="false">AL33*100</f>
        <v>76.9282450345501</v>
      </c>
      <c r="AY33" s="0" t="n">
        <v>9.998642</v>
      </c>
      <c r="AZ33" s="0" t="n">
        <v>0.6455</v>
      </c>
      <c r="BA33" s="0" t="n">
        <v>5.12373</v>
      </c>
      <c r="BB33" s="0" t="n">
        <v>90.4189385711991</v>
      </c>
      <c r="BC33" s="0" t="n">
        <v>350.4584847366</v>
      </c>
    </row>
    <row r="34" customFormat="false" ht="12.75" hidden="false" customHeight="false" outlineLevel="0" collapsed="false">
      <c r="A34" s="412" t="s">
        <v>377</v>
      </c>
      <c r="B34" s="397" t="s">
        <v>600</v>
      </c>
      <c r="C34" s="412" t="s">
        <v>430</v>
      </c>
      <c r="D34" s="399" t="s">
        <v>123</v>
      </c>
      <c r="E34" s="270"/>
      <c r="G34" s="0" t="n">
        <v>25</v>
      </c>
      <c r="H34" s="0" t="n">
        <f aca="false">Iout*(G34/100)</f>
        <v>0.5</v>
      </c>
      <c r="I34" s="0" t="n">
        <f aca="false">(Vout+Rdcr*H34+RdsonBot*H34)/(Vin-RdsonTop*H34+RdsonBot*H34)</f>
        <v>0.334040815419405</v>
      </c>
      <c r="J34" s="0" t="n">
        <f aca="false">(Vin-Vout)*I34/(Fsw*Lout2)</f>
        <v>0.842119702737997</v>
      </c>
      <c r="K34" s="0" t="n">
        <f aca="false">SQRT(H34^2+(J34^2)/12)</f>
        <v>0.555965046393771</v>
      </c>
      <c r="L34" s="0" t="n">
        <f aca="false">(K34^2*Rdcr*(1+Ltc*Ta-Ltc*25))/(1-K34^2*Rdcr*Ltc*ThetaCa)</f>
        <v>0.00711327965226298</v>
      </c>
      <c r="N34" s="356" t="n">
        <f aca="false">L34</f>
        <v>0.00711327965226298</v>
      </c>
      <c r="O34" s="357" t="n">
        <f aca="false">J34/(2*SQRT(3))</f>
        <v>0.243099018532835</v>
      </c>
      <c r="P34" s="357" t="n">
        <f aca="false">RCoutEsr*O34^2</f>
        <v>2.95485664058139E-005</v>
      </c>
      <c r="Q34" s="357" t="n">
        <f aca="false">P34</f>
        <v>2.95485664058139E-005</v>
      </c>
      <c r="R34" s="0" t="n">
        <f aca="false">SQRT(I34)*SQRT(H34^2+(J34^2)/12)</f>
        <v>0.321327027011729</v>
      </c>
      <c r="S34" s="400" t="n">
        <f aca="false">RCinEsr*R34^2</f>
        <v>0.000103251058288196</v>
      </c>
      <c r="T34" s="401" t="n">
        <f aca="false">S34</f>
        <v>0.000103251058288196</v>
      </c>
      <c r="U34" s="0" t="n">
        <f aca="false">SQRT(I34)*SQRT(H34^2+(J34^2)/12)</f>
        <v>0.321327027011729</v>
      </c>
      <c r="V34" s="0" t="n">
        <f aca="false">RdsonTop*U34^2</f>
        <v>0.000516255291440982</v>
      </c>
      <c r="W34" s="0" t="n">
        <f aca="false">(Vin*H34/2)*(Fsw)*(Tr+Tf)</f>
        <v>0.0227398776565388</v>
      </c>
      <c r="X34" s="0" t="n">
        <f aca="false">IF(H34&gt;J34/2,0,ABS(H34-J34/2)*VsdTop*Deadtime*Fsw)</f>
        <v>0</v>
      </c>
      <c r="Y34" s="0" t="n">
        <f aca="false">(X34+W34+V34*(1+RdsonTopTc*Ta-RdsonTopTc*25))/(1-V34*RdsonTopTc*ThetaJaTop)</f>
        <v>0.0232585344162725</v>
      </c>
      <c r="Z34" s="0" t="n">
        <f aca="false">SQRT(1-I34)*SQRT(H34^2+(J34^2)/12)</f>
        <v>0.45370262785599</v>
      </c>
      <c r="AA34" s="0" t="n">
        <f aca="false">RdsonBot*Z34^2</f>
        <v>0.000247015289428118</v>
      </c>
      <c r="AB34" s="0" t="n">
        <f aca="false">2*Deadtime*Fsw*IF(VfdSky&gt;0,0,VsdBot)*(H34+J34/2)</f>
        <v>0.0198580503955156</v>
      </c>
      <c r="AC34" s="0" t="n">
        <f aca="false">(AB34+AA34*(1+RdsonBotTc*Ta-RdsonBotTc*25))/(1-AA34*RdsonBotTc*ThetaJaBot)</f>
        <v>0.0201060589857396</v>
      </c>
      <c r="AD34" s="0" t="n">
        <f aca="false">2*Deadtime*Fsw*IF(VfdSky&gt;0,VfdSky,0)*H34</f>
        <v>0</v>
      </c>
      <c r="AE34" s="0" t="n">
        <f aca="false">IF(QrrSky&gt;0,QrrSky,QrrBot)*Fsw*(Vin-H34*RdsonTop)</f>
        <v>0.403144</v>
      </c>
      <c r="AF34" s="0" t="n">
        <f aca="false">Iq*Vin</f>
        <v>0.054</v>
      </c>
      <c r="AG34" s="0" t="n">
        <f aca="false">Vin*(QgTop+QgBot)*Fsw</f>
        <v>0.35784</v>
      </c>
      <c r="AH34" s="357" t="n">
        <f aca="false">(Vin-Vdd)*Fsw*(QgTop+QgBot)+(RdsonDRT+RdsonDRT2)*Fsw*QgTop*Vdd/(RdsonDRT+2*RGateTop+RdsonDRT2)+(RdsonDRB+RdsonDRB2)*Fsw*QgBot*Vdd/(RdsonDRB+2*RGateBot+RdsonDRB2)</f>
        <v>0.31571422459893</v>
      </c>
      <c r="AI34" s="0" t="n">
        <f aca="false">SUM(AF34:AG34)</f>
        <v>0.41184</v>
      </c>
      <c r="AJ34" s="402" t="n">
        <f aca="false">SUM(N34,Q34,T34,Y34,AE34,AD34,AC34,AI34)</f>
        <v>0.865594672678969</v>
      </c>
      <c r="AK34" s="358" t="n">
        <f aca="false">Vout*H34</f>
        <v>3</v>
      </c>
      <c r="AL34" s="359" t="n">
        <f aca="false">AK34/(AK34+AJ34)</f>
        <v>0.776077228480065</v>
      </c>
      <c r="AM34" s="0" t="n">
        <f aca="false">ThetaJaTop*Y34</f>
        <v>1.16292672081362</v>
      </c>
      <c r="AN34" s="0" t="n">
        <f aca="false">AC34*ThetaJaBot</f>
        <v>1.00530294928698</v>
      </c>
      <c r="AO34" s="359"/>
      <c r="AP34" s="0" t="n">
        <f aca="false">AL34*100</f>
        <v>77.6077228480065</v>
      </c>
      <c r="AY34" s="0" t="n">
        <v>9.998605</v>
      </c>
      <c r="AZ34" s="0" t="n">
        <v>0.8324</v>
      </c>
      <c r="BA34" s="0" t="n">
        <v>5.123156</v>
      </c>
      <c r="BB34" s="0" t="n">
        <v>91.6789463611051</v>
      </c>
      <c r="BC34" s="0" t="n">
        <v>387.059960352</v>
      </c>
    </row>
    <row r="35" customFormat="false" ht="12.75" hidden="false" customHeight="false" outlineLevel="0" collapsed="false">
      <c r="A35" s="410" t="s">
        <v>378</v>
      </c>
      <c r="B35" s="343" t="n">
        <f aca="false">Iq*1000</f>
        <v>3</v>
      </c>
      <c r="C35" s="408" t="s">
        <v>634</v>
      </c>
      <c r="D35" s="409" t="s">
        <v>379</v>
      </c>
      <c r="G35" s="0" t="n">
        <v>26</v>
      </c>
      <c r="H35" s="0" t="n">
        <f aca="false">Iout*(G35/100)</f>
        <v>0.52</v>
      </c>
      <c r="I35" s="0" t="n">
        <f aca="false">(Vout+Rdcr*H35+RdsonBot*H35)/(Vin-RdsonTop*H35+RdsonBot*H35)</f>
        <v>0.334069117809822</v>
      </c>
      <c r="J35" s="0" t="n">
        <f aca="false">(Vin-Vout)*I35/(Fsw*Lout2)</f>
        <v>0.842191053302072</v>
      </c>
      <c r="K35" s="0" t="n">
        <f aca="false">SQRT(H35^2+(J35^2)/12)</f>
        <v>0.574027131346453</v>
      </c>
      <c r="L35" s="0" t="n">
        <f aca="false">(K35^2*Rdcr*(1+Ltc*Ta-Ltc*25))/(1-K35^2*Rdcr*Ltc*ThetaCa)</f>
        <v>0.00758326207286262</v>
      </c>
      <c r="N35" s="356" t="n">
        <f aca="false">L35</f>
        <v>0.00758326207286262</v>
      </c>
      <c r="O35" s="357" t="n">
        <f aca="false">J35/(2*SQRT(3))</f>
        <v>0.243119615666523</v>
      </c>
      <c r="P35" s="357" t="n">
        <f aca="false">RCoutEsr*O35^2</f>
        <v>2.95535737609189E-005</v>
      </c>
      <c r="Q35" s="357" t="n">
        <f aca="false">P35</f>
        <v>2.95535737609189E-005</v>
      </c>
      <c r="R35" s="0" t="n">
        <f aca="false">SQRT(I35)*SQRT(H35^2+(J35^2)/12)</f>
        <v>0.331780291887043</v>
      </c>
      <c r="S35" s="400" t="n">
        <f aca="false">RCinEsr*R35^2</f>
        <v>0.000110078162084651</v>
      </c>
      <c r="T35" s="401" t="n">
        <f aca="false">S35</f>
        <v>0.000110078162084651</v>
      </c>
      <c r="U35" s="0" t="n">
        <f aca="false">SQRT(I35)*SQRT(H35^2+(J35^2)/12)</f>
        <v>0.331780291887043</v>
      </c>
      <c r="V35" s="0" t="n">
        <f aca="false">RdsonTop*U35^2</f>
        <v>0.000550390810423256</v>
      </c>
      <c r="W35" s="0" t="n">
        <f aca="false">(Vin*H35/2)*(Fsw)*(Tr+Tf)</f>
        <v>0.0236494727628003</v>
      </c>
      <c r="X35" s="0" t="n">
        <f aca="false">IF(H35&gt;J35/2,0,ABS(H35-J35/2)*VsdTop*Deadtime*Fsw)</f>
        <v>0</v>
      </c>
      <c r="Y35" s="0" t="n">
        <f aca="false">(X35+W35+V35*(1+RdsonTopTc*Ta-RdsonTopTc*25))/(1-V35*RdsonTopTc*ThetaJaTop)</f>
        <v>0.0242025277429953</v>
      </c>
      <c r="Z35" s="0" t="n">
        <f aca="false">SQRT(1-I35)*SQRT(H35^2+(J35^2)/12)</f>
        <v>0.468432476924035</v>
      </c>
      <c r="AA35" s="0" t="n">
        <f aca="false">RdsonBot*Z35^2</f>
        <v>0.000263314782524624</v>
      </c>
      <c r="AB35" s="0" t="n">
        <f aca="false">2*Deadtime*Fsw*IF(VfdSky&gt;0,0,VsdBot)*(H35+J35/2)</f>
        <v>0.0202900195545963</v>
      </c>
      <c r="AC35" s="0" t="n">
        <f aca="false">(AB35+AA35*(1+RdsonBotTc*Ta-RdsonBotTc*25))/(1-AA35*RdsonBotTc*ThetaJaBot)</f>
        <v>0.0205544167934785</v>
      </c>
      <c r="AD35" s="0" t="n">
        <f aca="false">2*Deadtime*Fsw*IF(VfdSky&gt;0,VfdSky,0)*H35</f>
        <v>0</v>
      </c>
      <c r="AE35" s="0" t="n">
        <f aca="false">IF(QrrSky&gt;0,QrrSky,QrrBot)*Fsw*(Vin-H35*RdsonTop)</f>
        <v>0.40314176</v>
      </c>
      <c r="AF35" s="0" t="n">
        <f aca="false">Iq*Vin</f>
        <v>0.054</v>
      </c>
      <c r="AG35" s="0" t="n">
        <f aca="false">Vin*(QgTop+QgBot)*Fsw</f>
        <v>0.35784</v>
      </c>
      <c r="AH35" s="357" t="n">
        <f aca="false">(Vin-Vdd)*Fsw*(QgTop+QgBot)+(RdsonDRT+RdsonDRT2)*Fsw*QgTop*Vdd/(RdsonDRT+2*RGateTop+RdsonDRT2)+(RdsonDRB+RdsonDRB2)*Fsw*QgBot*Vdd/(RdsonDRB+2*RGateBot+RdsonDRB2)</f>
        <v>0.31571422459893</v>
      </c>
      <c r="AI35" s="0" t="n">
        <f aca="false">SUM(AF35:AG35)</f>
        <v>0.41184</v>
      </c>
      <c r="AJ35" s="402" t="n">
        <f aca="false">SUM(N35,Q35,T35,Y35,AE35,AD35,AC35,AI35)</f>
        <v>0.867461598345182</v>
      </c>
      <c r="AK35" s="358" t="n">
        <f aca="false">Vout*H35</f>
        <v>3.12</v>
      </c>
      <c r="AL35" s="359" t="n">
        <f aca="false">AK35/(AK35+AJ35)</f>
        <v>0.782452676483409</v>
      </c>
      <c r="AM35" s="0" t="n">
        <f aca="false">ThetaJaTop*Y35</f>
        <v>1.21012638714977</v>
      </c>
      <c r="AN35" s="0" t="n">
        <f aca="false">AC35*ThetaJaBot</f>
        <v>1.02772083967393</v>
      </c>
      <c r="AO35" s="359"/>
      <c r="AP35" s="0" t="n">
        <f aca="false">AL35*100</f>
        <v>78.2452676483409</v>
      </c>
      <c r="AY35" s="0" t="n">
        <v>9.998605</v>
      </c>
      <c r="AZ35" s="0" t="n">
        <v>1.0529</v>
      </c>
      <c r="BA35" s="0" t="n">
        <v>5.121822</v>
      </c>
      <c r="BB35" s="0" t="n">
        <v>92.8899389662922</v>
      </c>
      <c r="BC35" s="0" t="n">
        <v>412.777629817</v>
      </c>
    </row>
    <row r="36" customFormat="false" ht="12.75" hidden="false" customHeight="false" outlineLevel="0" collapsed="false">
      <c r="A36" s="412" t="s">
        <v>380</v>
      </c>
      <c r="B36" s="397" t="s">
        <v>600</v>
      </c>
      <c r="C36" s="412" t="s">
        <v>430</v>
      </c>
      <c r="D36" s="399" t="s">
        <v>123</v>
      </c>
      <c r="G36" s="0" t="n">
        <v>27</v>
      </c>
      <c r="H36" s="0" t="n">
        <f aca="false">Iout*(G36/100)</f>
        <v>0.54</v>
      </c>
      <c r="I36" s="0" t="n">
        <f aca="false">(Vout+Rdcr*H36+RdsonBot*H36)/(Vin-RdsonTop*H36+RdsonBot*H36)</f>
        <v>0.334097420439263</v>
      </c>
      <c r="J36" s="0" t="n">
        <f aca="false">(Vin-Vout)*I36/(Fsw*Lout2)</f>
        <v>0.842262404468731</v>
      </c>
      <c r="K36" s="0" t="n">
        <f aca="false">SQRT(H36^2+(J36^2)/12)</f>
        <v>0.592213781640651</v>
      </c>
      <c r="L36" s="0" t="n">
        <f aca="false">(K36^2*Rdcr*(1+Ltc*Ta-Ltc*25))/(1-K36^2*Rdcr*Ltc*ThetaCa)</f>
        <v>0.00807170358116447</v>
      </c>
      <c r="N36" s="356" t="n">
        <f aca="false">L36</f>
        <v>0.00807170358116447</v>
      </c>
      <c r="O36" s="357" t="n">
        <f aca="false">J36/(2*SQRT(3))</f>
        <v>0.243140212974162</v>
      </c>
      <c r="P36" s="357" t="n">
        <f aca="false">RCoutEsr*O36^2</f>
        <v>2.95585815825604E-005</v>
      </c>
      <c r="Q36" s="357" t="n">
        <f aca="false">P36</f>
        <v>2.95585815825604E-005</v>
      </c>
      <c r="R36" s="0" t="n">
        <f aca="false">SQRT(I36)*SQRT(H36^2+(J36^2)/12)</f>
        <v>0.342306440952026</v>
      </c>
      <c r="S36" s="400" t="n">
        <f aca="false">RCinEsr*R36^2</f>
        <v>0.000117173699517243</v>
      </c>
      <c r="T36" s="401" t="n">
        <f aca="false">S36</f>
        <v>0.000117173699517243</v>
      </c>
      <c r="U36" s="0" t="n">
        <f aca="false">SQRT(I36)*SQRT(H36^2+(J36^2)/12)</f>
        <v>0.342306440952026</v>
      </c>
      <c r="V36" s="0" t="n">
        <f aca="false">RdsonTop*U36^2</f>
        <v>0.000585868497586215</v>
      </c>
      <c r="W36" s="0" t="n">
        <f aca="false">(Vin*H36/2)*(Fsw)*(Tr+Tf)</f>
        <v>0.0245590678690619</v>
      </c>
      <c r="X36" s="0" t="n">
        <f aca="false">IF(H36&gt;J36/2,0,ABS(H36-J36/2)*VsdTop*Deadtime*Fsw)</f>
        <v>0</v>
      </c>
      <c r="Y36" s="0" t="n">
        <f aca="false">(X36+W36+V36*(1+RdsonTopTc*Ta-RdsonTopTc*25))/(1-V36*RdsonTopTc*ThetaJaTop)</f>
        <v>0.0251478830371386</v>
      </c>
      <c r="Z36" s="0" t="n">
        <f aca="false">SQRT(1-I36)*SQRT(H36^2+(J36^2)/12)</f>
        <v>0.483263348132131</v>
      </c>
      <c r="AA36" s="0" t="n">
        <f aca="false">RdsonBot*Z36^2</f>
        <v>0.000280252156377453</v>
      </c>
      <c r="AB36" s="0" t="n">
        <f aca="false">2*Deadtime*Fsw*IF(VfdSky&gt;0,0,VsdBot)*(H36+J36/2)</f>
        <v>0.0207219887201729</v>
      </c>
      <c r="AC36" s="0" t="n">
        <f aca="false">(AB36+AA36*(1+RdsonBotTc*Ta-RdsonBotTc*25))/(1-AA36*RdsonBotTc*ThetaJaBot)</f>
        <v>0.0210034181271947</v>
      </c>
      <c r="AD36" s="0" t="n">
        <f aca="false">2*Deadtime*Fsw*IF(VfdSky&gt;0,VfdSky,0)*H36</f>
        <v>0</v>
      </c>
      <c r="AE36" s="0" t="n">
        <f aca="false">IF(QrrSky&gt;0,QrrSky,QrrBot)*Fsw*(Vin-H36*RdsonTop)</f>
        <v>0.40313952</v>
      </c>
      <c r="AF36" s="0" t="n">
        <f aca="false">Iq*Vin</f>
        <v>0.054</v>
      </c>
      <c r="AG36" s="0" t="n">
        <f aca="false">Vin*(QgTop+QgBot)*Fsw</f>
        <v>0.35784</v>
      </c>
      <c r="AH36" s="357" t="n">
        <f aca="false">(Vin-Vdd)*Fsw*(QgTop+QgBot)+(RdsonDRT+RdsonDRT2)*Fsw*QgTop*Vdd/(RdsonDRT+2*RGateTop+RdsonDRT2)+(RdsonDRB+RdsonDRB2)*Fsw*QgBot*Vdd/(RdsonDRB+2*RGateBot+RdsonDRB2)</f>
        <v>0.31571422459893</v>
      </c>
      <c r="AI36" s="0" t="n">
        <f aca="false">SUM(AF36:AG36)</f>
        <v>0.41184</v>
      </c>
      <c r="AJ36" s="402" t="n">
        <f aca="false">SUM(N36,Q36,T36,Y36,AE36,AD36,AC36,AI36)</f>
        <v>0.869349257026598</v>
      </c>
      <c r="AK36" s="358" t="n">
        <f aca="false">Vout*H36</f>
        <v>3.24</v>
      </c>
      <c r="AL36" s="359" t="n">
        <f aca="false">AK36/(AK36+AJ36)</f>
        <v>0.788446003819195</v>
      </c>
      <c r="AM36" s="0" t="n">
        <f aca="false">ThetaJaTop*Y36</f>
        <v>1.25739415185693</v>
      </c>
      <c r="AN36" s="0" t="n">
        <f aca="false">AC36*ThetaJaBot</f>
        <v>1.05017090635973</v>
      </c>
      <c r="AO36" s="359"/>
      <c r="AP36" s="0" t="n">
        <f aca="false">AL36*100</f>
        <v>78.8446003819195</v>
      </c>
      <c r="AY36" s="0" t="n">
        <v>9.998667</v>
      </c>
      <c r="AZ36" s="0" t="n">
        <v>1.3093</v>
      </c>
      <c r="BA36" s="0" t="n">
        <v>5.119565</v>
      </c>
      <c r="BB36" s="0" t="n">
        <v>93.6903642149233</v>
      </c>
      <c r="BC36" s="0" t="n">
        <v>451.4207278807</v>
      </c>
    </row>
    <row r="37" customFormat="false" ht="12.75" hidden="false" customHeight="false" outlineLevel="0" collapsed="false">
      <c r="A37" s="411" t="s">
        <v>381</v>
      </c>
      <c r="B37" s="343" t="n">
        <f aca="false">RdsonTop*1000</f>
        <v>5</v>
      </c>
      <c r="C37" s="408" t="s">
        <v>617</v>
      </c>
      <c r="D37" s="409" t="s">
        <v>382</v>
      </c>
      <c r="G37" s="0" t="n">
        <v>28</v>
      </c>
      <c r="H37" s="0" t="n">
        <f aca="false">Iout*(G37/100)</f>
        <v>0.56</v>
      </c>
      <c r="I37" s="0" t="n">
        <f aca="false">(Vout+Rdcr*H37+RdsonBot*H37)/(Vin-RdsonTop*H37+RdsonBot*H37)</f>
        <v>0.334125723307733</v>
      </c>
      <c r="J37" s="0" t="n">
        <f aca="false">(Vin-Vout)*I37/(Fsw*Lout2)</f>
        <v>0.842333756237983</v>
      </c>
      <c r="K37" s="0" t="n">
        <f aca="false">SQRT(H37^2+(J37^2)/12)</f>
        <v>0.610513865314703</v>
      </c>
      <c r="L37" s="0" t="n">
        <f aca="false">(K37^2*Rdcr*(1+Ltc*Ta-Ltc*25))/(1-K37^2*Rdcr*Ltc*ThetaCa)</f>
        <v>0.00857860849826955</v>
      </c>
      <c r="N37" s="356" t="n">
        <f aca="false">L37</f>
        <v>0.00857860849826955</v>
      </c>
      <c r="O37" s="357" t="n">
        <f aca="false">J37/(2*SQRT(3))</f>
        <v>0.243160810455754</v>
      </c>
      <c r="P37" s="357" t="n">
        <f aca="false">RCoutEsr*O37^2</f>
        <v>2.95635898707496E-005</v>
      </c>
      <c r="Q37" s="357" t="n">
        <f aca="false">P37</f>
        <v>2.95635898707496E-005</v>
      </c>
      <c r="R37" s="0" t="n">
        <f aca="false">SQRT(I37)*SQRT(H37^2+(J37^2)/12)</f>
        <v>0.35289904863513</v>
      </c>
      <c r="S37" s="400" t="n">
        <f aca="false">RCinEsr*R37^2</f>
        <v>0.00012453773852758</v>
      </c>
      <c r="T37" s="401" t="n">
        <f aca="false">S37</f>
        <v>0.00012453773852758</v>
      </c>
      <c r="U37" s="0" t="n">
        <f aca="false">SQRT(I37)*SQRT(H37^2+(J37^2)/12)</f>
        <v>0.35289904863513</v>
      </c>
      <c r="V37" s="0" t="n">
        <f aca="false">RdsonTop*U37^2</f>
        <v>0.000622688692637899</v>
      </c>
      <c r="W37" s="0" t="n">
        <f aca="false">(Vin*H37/2)*(Fsw)*(Tr+Tf)</f>
        <v>0.0254686629753234</v>
      </c>
      <c r="X37" s="0" t="n">
        <f aca="false">IF(H37&gt;J37/2,0,ABS(H37-J37/2)*VsdTop*Deadtime*Fsw)</f>
        <v>0</v>
      </c>
      <c r="Y37" s="0" t="n">
        <f aca="false">(X37+W37+V37*(1+RdsonTopTc*Ta-RdsonTopTc*25))/(1-V37*RdsonTopTc*ThetaJaTop)</f>
        <v>0.0260946014306113</v>
      </c>
      <c r="Z37" s="0" t="n">
        <f aca="false">SQRT(1-I37)*SQRT(H37^2+(J37^2)/12)</f>
        <v>0.498186151166328</v>
      </c>
      <c r="AA37" s="0" t="n">
        <f aca="false">RdsonBot*Z37^2</f>
        <v>0.000297827329456703</v>
      </c>
      <c r="AB37" s="0" t="n">
        <f aca="false">2*Deadtime*Fsw*IF(VfdSky&gt;0,0,VsdBot)*(H37+J37/2)</f>
        <v>0.0211539578922455</v>
      </c>
      <c r="AC37" s="0" t="n">
        <f aca="false">(AB37+AA37*(1+RdsonBotTc*Ta-RdsonBotTc*25))/(1-AA37*RdsonBotTc*ThetaJaBot)</f>
        <v>0.0214530630833995</v>
      </c>
      <c r="AD37" s="0" t="n">
        <f aca="false">2*Deadtime*Fsw*IF(VfdSky&gt;0,VfdSky,0)*H37</f>
        <v>0</v>
      </c>
      <c r="AE37" s="0" t="n">
        <f aca="false">IF(QrrSky&gt;0,QrrSky,QrrBot)*Fsw*(Vin-H37*RdsonTop)</f>
        <v>0.40313728</v>
      </c>
      <c r="AF37" s="0" t="n">
        <f aca="false">Iq*Vin</f>
        <v>0.054</v>
      </c>
      <c r="AG37" s="0" t="n">
        <f aca="false">Vin*(QgTop+QgBot)*Fsw</f>
        <v>0.35784</v>
      </c>
      <c r="AH37" s="357" t="n">
        <f aca="false">(Vin-Vdd)*Fsw*(QgTop+QgBot)+(RdsonDRT+RdsonDRT2)*Fsw*QgTop*Vdd/(RdsonDRT+2*RGateTop+RdsonDRT2)+(RdsonDRB+RdsonDRB2)*Fsw*QgBot*Vdd/(RdsonDRB+2*RGateBot+RdsonDRB2)</f>
        <v>0.31571422459893</v>
      </c>
      <c r="AI37" s="0" t="n">
        <f aca="false">SUM(AF37:AG37)</f>
        <v>0.41184</v>
      </c>
      <c r="AJ37" s="402" t="n">
        <f aca="false">SUM(N37,Q37,T37,Y37,AE37,AD37,AC37,AI37)</f>
        <v>0.871257654340679</v>
      </c>
      <c r="AK37" s="358" t="n">
        <f aca="false">Vout*H37</f>
        <v>3.36</v>
      </c>
      <c r="AL37" s="359" t="n">
        <f aca="false">AK37/(AK37+AJ37)</f>
        <v>0.794090143991376</v>
      </c>
      <c r="AM37" s="0" t="n">
        <f aca="false">ThetaJaTop*Y37</f>
        <v>1.30473007153056</v>
      </c>
      <c r="AN37" s="0" t="n">
        <f aca="false">AC37*ThetaJaBot</f>
        <v>1.07265315416998</v>
      </c>
      <c r="AO37" s="359"/>
      <c r="AP37" s="0" t="n">
        <f aca="false">AL37*100</f>
        <v>79.4090143991376</v>
      </c>
      <c r="AY37" s="0" t="n">
        <v>9.998543</v>
      </c>
      <c r="AZ37" s="0" t="n">
        <v>1.602</v>
      </c>
      <c r="BA37" s="0" t="n">
        <v>5.118281</v>
      </c>
      <c r="BB37" s="0" t="n">
        <v>93.8644733277484</v>
      </c>
      <c r="BC37" s="0" t="n">
        <v>535.9658971675</v>
      </c>
    </row>
    <row r="38" customFormat="false" ht="12.75" hidden="false" customHeight="false" outlineLevel="0" collapsed="false">
      <c r="A38" s="410" t="s">
        <v>383</v>
      </c>
      <c r="B38" s="343" t="n">
        <f aca="false">RdsonTopTc*1000000</f>
        <v>4000</v>
      </c>
      <c r="C38" s="408" t="s">
        <v>620</v>
      </c>
      <c r="D38" s="409" t="s">
        <v>384</v>
      </c>
      <c r="G38" s="0" t="n">
        <v>29</v>
      </c>
      <c r="H38" s="0" t="n">
        <f aca="false">Iout*(G38/100)</f>
        <v>0.58</v>
      </c>
      <c r="I38" s="0" t="n">
        <f aca="false">(Vout+Rdcr*H38+RdsonBot*H38)/(Vin-RdsonTop*H38+RdsonBot*H38)</f>
        <v>0.334154026415234</v>
      </c>
      <c r="J38" s="0" t="n">
        <f aca="false">(Vin-Vout)*I38/(Fsw*Lout2)</f>
        <v>0.842405108609835</v>
      </c>
      <c r="K38" s="0" t="n">
        <f aca="false">SQRT(H38^2+(J38^2)/12)</f>
        <v>0.628917480478159</v>
      </c>
      <c r="L38" s="0" t="n">
        <f aca="false">(K38^2*Rdcr*(1+Ltc*Ta-Ltc*25))/(1-K38^2*Rdcr*Ltc*ThetaCa)</f>
        <v>0.00910398130915446</v>
      </c>
      <c r="N38" s="356" t="n">
        <f aca="false">L38</f>
        <v>0.00910398130915446</v>
      </c>
      <c r="O38" s="357" t="n">
        <f aca="false">J38/(2*SQRT(3))</f>
        <v>0.243181408111302</v>
      </c>
      <c r="P38" s="357" t="n">
        <f aca="false">RCoutEsr*O38^2</f>
        <v>2.95685986254978E-005</v>
      </c>
      <c r="Q38" s="357" t="n">
        <f aca="false">P38</f>
        <v>2.95685986254978E-005</v>
      </c>
      <c r="R38" s="0" t="n">
        <f aca="false">SQRT(I38)*SQRT(H38^2+(J38^2)/12)</f>
        <v>0.363552399329749</v>
      </c>
      <c r="S38" s="400" t="n">
        <f aca="false">RCinEsr*R38^2</f>
        <v>0.000132170347058417</v>
      </c>
      <c r="T38" s="401" t="n">
        <f aca="false">S38</f>
        <v>0.000132170347058417</v>
      </c>
      <c r="U38" s="0" t="n">
        <f aca="false">SQRT(I38)*SQRT(H38^2+(J38^2)/12)</f>
        <v>0.363552399329749</v>
      </c>
      <c r="V38" s="0" t="n">
        <f aca="false">RdsonTop*U38^2</f>
        <v>0.000660851735292085</v>
      </c>
      <c r="W38" s="0" t="n">
        <f aca="false">(Vin*H38/2)*(Fsw)*(Tr+Tf)</f>
        <v>0.026378258081585</v>
      </c>
      <c r="X38" s="0" t="n">
        <f aca="false">IF(H38&gt;J38/2,0,ABS(H38-J38/2)*VsdTop*Deadtime*Fsw)</f>
        <v>0</v>
      </c>
      <c r="Y38" s="0" t="n">
        <f aca="false">(X38+W38+V38*(1+RdsonTopTc*Ta-RdsonTopTc*25))/(1-V38*RdsonTopTc*ThetaJaTop)</f>
        <v>0.0270426840578144</v>
      </c>
      <c r="Z38" s="0" t="n">
        <f aca="false">SQRT(1-I38)*SQRT(H38^2+(J38^2)/12)</f>
        <v>0.513192800215064</v>
      </c>
      <c r="AA38" s="0" t="n">
        <f aca="false">RdsonBot*Z38^2</f>
        <v>0.000316040220231094</v>
      </c>
      <c r="AB38" s="0" t="n">
        <f aca="false">2*Deadtime*Fsw*IF(VfdSky&gt;0,0,VsdBot)*(H38+J38/2)</f>
        <v>0.021585927070814</v>
      </c>
      <c r="AC38" s="0" t="n">
        <f aca="false">(AB38+AA38*(1+RdsonBotTc*Ta-RdsonBotTc*25))/(1-AA38*RdsonBotTc*ThetaJaBot)</f>
        <v>0.0219033517590679</v>
      </c>
      <c r="AD38" s="0" t="n">
        <f aca="false">2*Deadtime*Fsw*IF(VfdSky&gt;0,VfdSky,0)*H38</f>
        <v>0</v>
      </c>
      <c r="AE38" s="0" t="n">
        <f aca="false">IF(QrrSky&gt;0,QrrSky,QrrBot)*Fsw*(Vin-H38*RdsonTop)</f>
        <v>0.40313504</v>
      </c>
      <c r="AF38" s="0" t="n">
        <f aca="false">Iq*Vin</f>
        <v>0.054</v>
      </c>
      <c r="AG38" s="0" t="n">
        <f aca="false">Vin*(QgTop+QgBot)*Fsw</f>
        <v>0.35784</v>
      </c>
      <c r="AH38" s="357" t="n">
        <f aca="false">(Vin-Vdd)*Fsw*(QgTop+QgBot)+(RdsonDRT+RdsonDRT2)*Fsw*QgTop*Vdd/(RdsonDRT+2*RGateTop+RdsonDRT2)+(RdsonDRB+RdsonDRB2)*Fsw*QgBot*Vdd/(RdsonDRB+2*RGateBot+RdsonDRB2)</f>
        <v>0.31571422459893</v>
      </c>
      <c r="AI38" s="0" t="n">
        <f aca="false">SUM(AF38:AG38)</f>
        <v>0.41184</v>
      </c>
      <c r="AJ38" s="402" t="n">
        <f aca="false">SUM(N38,Q38,T38,Y38,AE38,AD38,AC38,AI38)</f>
        <v>0.873186796071721</v>
      </c>
      <c r="AK38" s="358" t="n">
        <f aca="false">Vout*H38</f>
        <v>3.48</v>
      </c>
      <c r="AL38" s="359" t="n">
        <f aca="false">AK38/(AK38+AJ38)</f>
        <v>0.799414351605661</v>
      </c>
      <c r="AM38" s="0" t="n">
        <f aca="false">ThetaJaTop*Y38</f>
        <v>1.35213420289072</v>
      </c>
      <c r="AN38" s="0" t="n">
        <f aca="false">AC38*ThetaJaBot</f>
        <v>1.09516758795339</v>
      </c>
      <c r="AO38" s="359"/>
      <c r="AP38" s="0" t="n">
        <f aca="false">AL38*100</f>
        <v>79.9414351605661</v>
      </c>
      <c r="AY38" s="0" t="n">
        <v>9.998543</v>
      </c>
      <c r="AZ38" s="0" t="n">
        <v>1.935</v>
      </c>
      <c r="BA38" s="0" t="n">
        <v>5.117146</v>
      </c>
      <c r="BB38" s="0" t="n">
        <v>94.2245271980769</v>
      </c>
      <c r="BC38" s="0" t="n">
        <v>606.921164058999</v>
      </c>
    </row>
    <row r="39" customFormat="false" ht="12.75" hidden="false" customHeight="false" outlineLevel="0" collapsed="false">
      <c r="A39" s="411" t="s">
        <v>385</v>
      </c>
      <c r="B39" s="343" t="n">
        <f aca="false">QgTop*1000000000</f>
        <v>8.4</v>
      </c>
      <c r="C39" s="408" t="s">
        <v>102</v>
      </c>
      <c r="D39" s="409" t="s">
        <v>387</v>
      </c>
      <c r="G39" s="0" t="n">
        <v>30</v>
      </c>
      <c r="H39" s="0" t="n">
        <f aca="false">Iout*(G39/100)</f>
        <v>0.6</v>
      </c>
      <c r="I39" s="0" t="n">
        <f aca="false">(Vout+Rdcr*H39+RdsonBot*H39)/(Vin-RdsonTop*H39+RdsonBot*H39)</f>
        <v>0.33418232976177</v>
      </c>
      <c r="J39" s="0" t="n">
        <f aca="false">(Vin-Vout)*I39/(Fsw*Lout2)</f>
        <v>0.842476461584294</v>
      </c>
      <c r="K39" s="0" t="n">
        <f aca="false">SQRT(H39^2+(J39^2)/12)</f>
        <v>0.647415798149561</v>
      </c>
      <c r="L39" s="0" t="n">
        <f aca="false">(K39^2*Rdcr*(1+Ltc*Ta-Ltc*25))/(1-K39^2*Rdcr*Ltc*ThetaCa)</f>
        <v>0.00964782666277063</v>
      </c>
      <c r="N39" s="356" t="n">
        <f aca="false">L39</f>
        <v>0.00964782666277063</v>
      </c>
      <c r="O39" s="357" t="n">
        <f aca="false">J39/(2*SQRT(3))</f>
        <v>0.243202005940808</v>
      </c>
      <c r="P39" s="357" t="n">
        <f aca="false">RCoutEsr*O39^2</f>
        <v>2.95736078468163E-005</v>
      </c>
      <c r="Q39" s="357" t="n">
        <f aca="false">P39</f>
        <v>2.95736078468163E-005</v>
      </c>
      <c r="R39" s="0" t="n">
        <f aca="false">SQRT(I39)*SQRT(H39^2+(J39^2)/12)</f>
        <v>0.374261396691747</v>
      </c>
      <c r="S39" s="400" t="n">
        <f aca="false">RCinEsr*R39^2</f>
        <v>0.000140071593053657</v>
      </c>
      <c r="T39" s="401" t="n">
        <f aca="false">S39</f>
        <v>0.000140071593053657</v>
      </c>
      <c r="U39" s="0" t="n">
        <f aca="false">SQRT(I39)*SQRT(H39^2+(J39^2)/12)</f>
        <v>0.374261396691747</v>
      </c>
      <c r="V39" s="0" t="n">
        <f aca="false">RdsonTop*U39^2</f>
        <v>0.000700357965268286</v>
      </c>
      <c r="W39" s="0" t="n">
        <f aca="false">(Vin*H39/2)*(Fsw)*(Tr+Tf)</f>
        <v>0.0272878531878465</v>
      </c>
      <c r="X39" s="0" t="n">
        <f aca="false">IF(H39&gt;J39/2,0,ABS(H39-J39/2)*VsdTop*Deadtime*Fsw)</f>
        <v>0</v>
      </c>
      <c r="Y39" s="0" t="n">
        <f aca="false">(X39+W39+V39*(1+RdsonTopTc*Ta-RdsonTopTc*25))/(1-V39*RdsonTopTc*ThetaJaTop)</f>
        <v>0.0279921320556448</v>
      </c>
      <c r="Z39" s="0" t="n">
        <f aca="false">SQRT(1-I39)*SQRT(H39^2+(J39^2)/12)</f>
        <v>0.52827608562188</v>
      </c>
      <c r="AA39" s="0" t="n">
        <f aca="false">RdsonBot*Z39^2</f>
        <v>0.00033489074716797</v>
      </c>
      <c r="AB39" s="0" t="n">
        <f aca="false">2*Deadtime*Fsw*IF(VfdSky&gt;0,0,VsdBot)*(H39+J39/2)</f>
        <v>0.0220178962558787</v>
      </c>
      <c r="AC39" s="0" t="n">
        <f aca="false">(AB39+AA39*(1+RdsonBotTc*Ta-RdsonBotTc*25))/(1-AA39*RdsonBotTc*ThetaJaBot)</f>
        <v>0.0223542842516377</v>
      </c>
      <c r="AD39" s="0" t="n">
        <f aca="false">2*Deadtime*Fsw*IF(VfdSky&gt;0,VfdSky,0)*H39</f>
        <v>0</v>
      </c>
      <c r="AE39" s="0" t="n">
        <f aca="false">IF(QrrSky&gt;0,QrrSky,QrrBot)*Fsw*(Vin-H39*RdsonTop)</f>
        <v>0.4031328</v>
      </c>
      <c r="AF39" s="0" t="n">
        <f aca="false">Iq*Vin</f>
        <v>0.054</v>
      </c>
      <c r="AG39" s="0" t="n">
        <f aca="false">Vin*(QgTop+QgBot)*Fsw</f>
        <v>0.35784</v>
      </c>
      <c r="AH39" s="357" t="n">
        <f aca="false">(Vin-Vdd)*Fsw*(QgTop+QgBot)+(RdsonDRT+RdsonDRT2)*Fsw*QgTop*Vdd/(RdsonDRT+2*RGateTop+RdsonDRT2)+(RdsonDRB+RdsonDRB2)*Fsw*QgBot*Vdd/(RdsonDRB+2*RGateBot+RdsonDRB2)</f>
        <v>0.31571422459893</v>
      </c>
      <c r="AI39" s="0" t="n">
        <f aca="false">SUM(AF39:AG39)</f>
        <v>0.41184</v>
      </c>
      <c r="AJ39" s="402" t="n">
        <f aca="false">SUM(N39,Q39,T39,Y39,AE39,AD39,AC39,AI39)</f>
        <v>0.875136688170954</v>
      </c>
      <c r="AK39" s="358" t="n">
        <f aca="false">Vout*H39</f>
        <v>3.6</v>
      </c>
      <c r="AL39" s="359" t="n">
        <f aca="false">AK39/(AK39+AJ39)</f>
        <v>0.804444702106153</v>
      </c>
      <c r="AM39" s="0" t="n">
        <f aca="false">ThetaJaTop*Y39</f>
        <v>1.39960660278224</v>
      </c>
      <c r="AN39" s="0" t="n">
        <f aca="false">AC39*ThetaJaBot</f>
        <v>1.11771421258189</v>
      </c>
      <c r="AO39" s="359"/>
      <c r="AP39" s="0" t="n">
        <f aca="false">AL39*100</f>
        <v>80.4444702106153</v>
      </c>
      <c r="AY39" s="0" t="n">
        <v>9.998506</v>
      </c>
      <c r="AZ39" s="0" t="n">
        <v>2.31</v>
      </c>
      <c r="BA39" s="0" t="n">
        <v>5.116635</v>
      </c>
      <c r="BB39" s="0" t="n">
        <v>94.4926635027173</v>
      </c>
      <c r="BC39" s="0" t="n">
        <v>688.874130602002</v>
      </c>
    </row>
    <row r="40" customFormat="false" ht="12.75" hidden="false" customHeight="false" outlineLevel="0" collapsed="false">
      <c r="A40" s="411" t="s">
        <v>388</v>
      </c>
      <c r="B40" s="343" t="n">
        <f aca="false">QgdTop*1000000000</f>
        <v>1.6</v>
      </c>
      <c r="C40" s="426" t="s">
        <v>102</v>
      </c>
      <c r="D40" s="426" t="s">
        <v>389</v>
      </c>
      <c r="G40" s="0" t="n">
        <v>31</v>
      </c>
      <c r="H40" s="0" t="n">
        <f aca="false">Iout*(G40/100)</f>
        <v>0.62</v>
      </c>
      <c r="I40" s="0" t="n">
        <f aca="false">(Vout+Rdcr*H40+RdsonBot*H40)/(Vin-RdsonTop*H40+RdsonBot*H40)</f>
        <v>0.334210633347343</v>
      </c>
      <c r="J40" s="0" t="n">
        <f aca="false">(Vin-Vout)*I40/(Fsw*Lout2)</f>
        <v>0.842547815161368</v>
      </c>
      <c r="K40" s="0" t="n">
        <f aca="false">SQRT(H40^2+(J40^2)/12)</f>
        <v>0.666000927228659</v>
      </c>
      <c r="L40" s="0" t="n">
        <f aca="false">(K40^2*Rdcr*(1+Ltc*Ta-Ltc*25))/(1-K40^2*Rdcr*Ltc*ThetaCa)</f>
        <v>0.0102101493721472</v>
      </c>
      <c r="N40" s="356" t="n">
        <f aca="false">L40</f>
        <v>0.0102101493721472</v>
      </c>
      <c r="O40" s="357" t="n">
        <f aca="false">J40/(2*SQRT(3))</f>
        <v>0.243222603944273</v>
      </c>
      <c r="P40" s="357" t="n">
        <f aca="false">RCoutEsr*O40^2</f>
        <v>2.95786175347164E-005</v>
      </c>
      <c r="Q40" s="357" t="n">
        <f aca="false">P40</f>
        <v>2.95786175347164E-005</v>
      </c>
      <c r="R40" s="0" t="n">
        <f aca="false">SQRT(I40)*SQRT(H40^2+(J40^2)/12)</f>
        <v>0.38502148571002</v>
      </c>
      <c r="S40" s="400" t="n">
        <f aca="false">RCinEsr*R40^2</f>
        <v>0.000148241544458351</v>
      </c>
      <c r="T40" s="401" t="n">
        <f aca="false">S40</f>
        <v>0.000148241544458351</v>
      </c>
      <c r="U40" s="0" t="n">
        <f aca="false">SQRT(I40)*SQRT(H40^2+(J40^2)/12)</f>
        <v>0.38502148571002</v>
      </c>
      <c r="V40" s="0" t="n">
        <f aca="false">RdsonTop*U40^2</f>
        <v>0.000741207722291757</v>
      </c>
      <c r="W40" s="0" t="n">
        <f aca="false">(Vin*H40/2)*(Fsw)*(Tr+Tf)</f>
        <v>0.0281974482941081</v>
      </c>
      <c r="X40" s="0" t="n">
        <f aca="false">IF(H40&gt;J40/2,0,ABS(H40-J40/2)*VsdTop*Deadtime*Fsw)</f>
        <v>0</v>
      </c>
      <c r="Y40" s="0" t="n">
        <f aca="false">(X40+W40+V40*(1+RdsonTopTc*Ta-RdsonTopTc*25))/(1-V40*RdsonTopTc*ThetaJaTop)</f>
        <v>0.0289429465634996</v>
      </c>
      <c r="Z40" s="0" t="n">
        <f aca="false">SQRT(1-I40)*SQRT(H40^2+(J40^2)/12)</f>
        <v>0.543429563615269</v>
      </c>
      <c r="AA40" s="0" t="n">
        <f aca="false">RdsonBot*Z40^2</f>
        <v>0.000354378828733298</v>
      </c>
      <c r="AB40" s="0" t="n">
        <f aca="false">2*Deadtime*Fsw*IF(VfdSky&gt;0,0,VsdBot)*(H40+J40/2)</f>
        <v>0.0224498654474395</v>
      </c>
      <c r="AC40" s="0" t="n">
        <f aca="false">(AB40+AA40*(1+RdsonBotTc*Ta-RdsonBotTc*25))/(1-AA40*RdsonBotTc*ThetaJaBot)</f>
        <v>0.0228058606590106</v>
      </c>
      <c r="AD40" s="0" t="n">
        <f aca="false">2*Deadtime*Fsw*IF(VfdSky&gt;0,VfdSky,0)*H40</f>
        <v>0</v>
      </c>
      <c r="AE40" s="0" t="n">
        <f aca="false">IF(QrrSky&gt;0,QrrSky,QrrBot)*Fsw*(Vin-H40*RdsonTop)</f>
        <v>0.40313056</v>
      </c>
      <c r="AF40" s="0" t="n">
        <f aca="false">Iq*Vin</f>
        <v>0.054</v>
      </c>
      <c r="AG40" s="0" t="n">
        <f aca="false">Vin*(QgTop+QgBot)*Fsw</f>
        <v>0.35784</v>
      </c>
      <c r="AH40" s="357" t="n">
        <f aca="false">(Vin-Vdd)*Fsw*(QgTop+QgBot)+(RdsonDRT+RdsonDRT2)*Fsw*QgTop*Vdd/(RdsonDRT+2*RGateTop+RdsonDRT2)+(RdsonDRB+RdsonDRB2)*Fsw*QgBot*Vdd/(RdsonDRB+2*RGateBot+RdsonDRB2)</f>
        <v>0.31571422459893</v>
      </c>
      <c r="AI40" s="0" t="n">
        <f aca="false">SUM(AF40:AG40)</f>
        <v>0.41184</v>
      </c>
      <c r="AJ40" s="402" t="n">
        <f aca="false">SUM(N40,Q40,T40,Y40,AE40,AD40,AC40,AI40)</f>
        <v>0.877107336756651</v>
      </c>
      <c r="AK40" s="358" t="n">
        <f aca="false">Vout*H40</f>
        <v>3.72</v>
      </c>
      <c r="AL40" s="359" t="n">
        <f aca="false">AK40/(AK40+AJ40)</f>
        <v>0.809204512206263</v>
      </c>
      <c r="AM40" s="0" t="n">
        <f aca="false">ThetaJaTop*Y40</f>
        <v>1.44714732817498</v>
      </c>
      <c r="AN40" s="0" t="n">
        <f aca="false">AC40*ThetaJaBot</f>
        <v>1.14029303295053</v>
      </c>
      <c r="AO40" s="359"/>
      <c r="AP40" s="0" t="n">
        <f aca="false">AL40*100</f>
        <v>80.9204512206263</v>
      </c>
      <c r="AY40" s="0" t="n">
        <v>9.998432</v>
      </c>
      <c r="AZ40" s="0" t="n">
        <v>2.727</v>
      </c>
      <c r="BA40" s="0" t="n">
        <v>5.115812</v>
      </c>
      <c r="BB40" s="0" t="n">
        <v>94.5587704245173</v>
      </c>
      <c r="BC40" s="0" t="n">
        <v>802.776949312001</v>
      </c>
    </row>
    <row r="41" customFormat="false" ht="12.75" hidden="false" customHeight="false" outlineLevel="0" collapsed="false">
      <c r="A41" s="411" t="s">
        <v>390</v>
      </c>
      <c r="B41" s="427" t="n">
        <f aca="false">QgsTop*1000000000</f>
        <v>2.6</v>
      </c>
      <c r="C41" s="428" t="s">
        <v>102</v>
      </c>
      <c r="D41" s="426"/>
      <c r="G41" s="0" t="n">
        <v>32</v>
      </c>
      <c r="H41" s="0" t="n">
        <f aca="false">Iout*(G41/100)</f>
        <v>0.64</v>
      </c>
      <c r="I41" s="0" t="n">
        <f aca="false">(Vout+Rdcr*H41+RdsonBot*H41)/(Vin-RdsonTop*H41+RdsonBot*H41)</f>
        <v>0.334238937171956</v>
      </c>
      <c r="J41" s="0" t="n">
        <f aca="false">(Vin-Vout)*I41/(Fsw*Lout2)</f>
        <v>0.842619169341065</v>
      </c>
      <c r="K41" s="0" t="n">
        <f aca="false">SQRT(H41^2+(J41^2)/12)</f>
        <v>0.684665798312154</v>
      </c>
      <c r="L41" s="0" t="n">
        <f aca="false">(K41^2*Rdcr*(1+Ltc*Ta-Ltc*25))/(1-K41^2*Rdcr*Ltc*ThetaCa)</f>
        <v>0.0107909544144978</v>
      </c>
      <c r="N41" s="356" t="n">
        <f aca="false">L41</f>
        <v>0.0107909544144978</v>
      </c>
      <c r="O41" s="357" t="n">
        <f aca="false">J41/(2*SQRT(3))</f>
        <v>0.243243202121701</v>
      </c>
      <c r="P41" s="357" t="n">
        <f aca="false">RCoutEsr*O41^2</f>
        <v>2.95836276892094E-005</v>
      </c>
      <c r="Q41" s="357" t="n">
        <f aca="false">P41</f>
        <v>2.95836276892094E-005</v>
      </c>
      <c r="R41" s="0" t="n">
        <f aca="false">SQRT(I41)*SQRT(H41^2+(J41^2)/12)</f>
        <v>0.395828585651286</v>
      </c>
      <c r="S41" s="400" t="n">
        <f aca="false">RCinEsr*R41^2</f>
        <v>0.000156680269218697</v>
      </c>
      <c r="T41" s="401" t="n">
        <f aca="false">S41</f>
        <v>0.000156680269218697</v>
      </c>
      <c r="U41" s="0" t="n">
        <f aca="false">SQRT(I41)*SQRT(H41^2+(J41^2)/12)</f>
        <v>0.395828585651286</v>
      </c>
      <c r="V41" s="0" t="n">
        <f aca="false">RdsonTop*U41^2</f>
        <v>0.000783401346093487</v>
      </c>
      <c r="W41" s="0" t="n">
        <f aca="false">(Vin*H41/2)*(Fsw)*(Tr+Tf)</f>
        <v>0.0291070434003696</v>
      </c>
      <c r="X41" s="0" t="n">
        <f aca="false">IF(H41&gt;J41/2,0,ABS(H41-J41/2)*VsdTop*Deadtime*Fsw)</f>
        <v>0</v>
      </c>
      <c r="Y41" s="0" t="n">
        <f aca="false">(X41+W41+V41*(1+RdsonTopTc*Ta-RdsonTopTc*25))/(1-V41*RdsonTopTc*ThetaJaTop)</f>
        <v>0.0298951287232798</v>
      </c>
      <c r="Z41" s="0" t="n">
        <f aca="false">SQRT(1-I41)*SQRT(H41^2+(J41^2)/12)</f>
        <v>0.558647461427797</v>
      </c>
      <c r="AA41" s="0" t="n">
        <f aca="false">RdsonBot*Z41^2</f>
        <v>0.000374504383391666</v>
      </c>
      <c r="AB41" s="0" t="n">
        <f aca="false">2*Deadtime*Fsw*IF(VfdSky&gt;0,0,VsdBot)*(H41+J41/2)</f>
        <v>0.0228818346454967</v>
      </c>
      <c r="AC41" s="0" t="n">
        <f aca="false">(AB41+AA41*(1+RdsonBotTc*Ta-RdsonBotTc*25))/(1-AA41*RdsonBotTc*ThetaJaBot)</f>
        <v>0.0232580810795511</v>
      </c>
      <c r="AD41" s="0" t="n">
        <f aca="false">2*Deadtime*Fsw*IF(VfdSky&gt;0,VfdSky,0)*H41</f>
        <v>0</v>
      </c>
      <c r="AE41" s="0" t="n">
        <f aca="false">IF(QrrSky&gt;0,QrrSky,QrrBot)*Fsw*(Vin-H41*RdsonTop)</f>
        <v>0.40312832</v>
      </c>
      <c r="AF41" s="0" t="n">
        <f aca="false">Iq*Vin</f>
        <v>0.054</v>
      </c>
      <c r="AG41" s="0" t="n">
        <f aca="false">Vin*(QgTop+QgBot)*Fsw</f>
        <v>0.35784</v>
      </c>
      <c r="AH41" s="357" t="n">
        <f aca="false">(Vin-Vdd)*Fsw*(QgTop+QgBot)+(RdsonDRT+RdsonDRT2)*Fsw*QgTop*Vdd/(RdsonDRT+2*RGateTop+RdsonDRT2)+(RdsonDRB+RdsonDRB2)*Fsw*QgBot*Vdd/(RdsonDRB+2*RGateBot+RdsonDRB2)</f>
        <v>0.31571422459893</v>
      </c>
      <c r="AI41" s="0" t="n">
        <f aca="false">SUM(AF41:AG41)</f>
        <v>0.41184</v>
      </c>
      <c r="AJ41" s="402" t="n">
        <f aca="false">SUM(N41,Q41,T41,Y41,AE41,AD41,AC41,AI41)</f>
        <v>0.879098748114237</v>
      </c>
      <c r="AK41" s="358" t="n">
        <f aca="false">Vout*H41</f>
        <v>3.84</v>
      </c>
      <c r="AL41" s="359" t="n">
        <f aca="false">AK41/(AK41+AJ41)</f>
        <v>0.813714695318565</v>
      </c>
      <c r="AM41" s="0" t="n">
        <f aca="false">ThetaJaTop*Y41</f>
        <v>1.49475643616399</v>
      </c>
      <c r="AN41" s="0" t="n">
        <f aca="false">AC41*ThetaJaBot</f>
        <v>1.16290405397755</v>
      </c>
      <c r="AO41" s="359"/>
      <c r="AP41" s="0" t="n">
        <f aca="false">AL41*100</f>
        <v>81.3714695318566</v>
      </c>
      <c r="AY41" s="0" t="n">
        <v>9.998518</v>
      </c>
      <c r="AZ41" s="0" t="n">
        <v>3.186</v>
      </c>
      <c r="BA41" s="0" t="n">
        <v>5.114889</v>
      </c>
      <c r="BB41" s="0" t="n">
        <v>94.5841193263365</v>
      </c>
      <c r="BC41" s="0" t="n">
        <v>933.109908060003</v>
      </c>
    </row>
    <row r="42" customFormat="false" ht="12.75" hidden="false" customHeight="false" outlineLevel="0" collapsed="false">
      <c r="A42" s="411" t="s">
        <v>391</v>
      </c>
      <c r="B42" s="343" t="n">
        <f aca="false">RGateTop</f>
        <v>1.3</v>
      </c>
      <c r="C42" s="408" t="s">
        <v>228</v>
      </c>
      <c r="D42" s="409" t="s">
        <v>392</v>
      </c>
      <c r="G42" s="0" t="n">
        <v>33</v>
      </c>
      <c r="H42" s="0" t="n">
        <f aca="false">Iout*(G42/100)</f>
        <v>0.66</v>
      </c>
      <c r="I42" s="0" t="n">
        <f aca="false">(Vout+Rdcr*H42+RdsonBot*H42)/(Vin-RdsonTop*H42+RdsonBot*H42)</f>
        <v>0.334267241235612</v>
      </c>
      <c r="J42" s="0" t="n">
        <f aca="false">(Vin-Vout)*I42/(Fsw*Lout2)</f>
        <v>0.842690524123392</v>
      </c>
      <c r="K42" s="0" t="n">
        <f aca="false">SQRT(H42^2+(J42^2)/12)</f>
        <v>0.703404063551394</v>
      </c>
      <c r="L42" s="0" t="n">
        <f aca="false">(K42^2*Rdcr*(1+Ltc*Ta-Ltc*25))/(1-K42^2*Rdcr*Ltc*ThetaCa)</f>
        <v>0.0113902469313305</v>
      </c>
      <c r="N42" s="356" t="n">
        <f aca="false">L42</f>
        <v>0.0113902469313305</v>
      </c>
      <c r="O42" s="357" t="n">
        <f aca="false">J42/(2*SQRT(3))</f>
        <v>0.243263800473094</v>
      </c>
      <c r="P42" s="357" t="n">
        <f aca="false">RCoutEsr*O42^2</f>
        <v>2.95886383103065E-005</v>
      </c>
      <c r="Q42" s="357" t="n">
        <f aca="false">P42</f>
        <v>2.95886383103065E-005</v>
      </c>
      <c r="R42" s="0" t="n">
        <f aca="false">SQRT(I42)*SQRT(H42^2+(J42^2)/12)</f>
        <v>0.406679032262596</v>
      </c>
      <c r="S42" s="400" t="n">
        <f aca="false">RCinEsr*R42^2</f>
        <v>0.000165387835282042</v>
      </c>
      <c r="T42" s="401" t="n">
        <f aca="false">S42</f>
        <v>0.000165387835282042</v>
      </c>
      <c r="U42" s="0" t="n">
        <f aca="false">SQRT(I42)*SQRT(H42^2+(J42^2)/12)</f>
        <v>0.406679032262596</v>
      </c>
      <c r="V42" s="0" t="n">
        <f aca="false">RdsonTop*U42^2</f>
        <v>0.000826939176410208</v>
      </c>
      <c r="W42" s="0" t="n">
        <f aca="false">(Vin*H42/2)*(Fsw)*(Tr+Tf)</f>
        <v>0.0300166385066312</v>
      </c>
      <c r="X42" s="0" t="n">
        <f aca="false">IF(H42&gt;J42/2,0,ABS(H42-J42/2)*VsdTop*Deadtime*Fsw)</f>
        <v>0</v>
      </c>
      <c r="Y42" s="0" t="n">
        <f aca="false">(X42+W42+V42*(1+RdsonTopTc*Ta-RdsonTopTc*25))/(1-V42*RdsonTopTc*ThetaJaTop)</f>
        <v>0.0308486796793949</v>
      </c>
      <c r="Z42" s="0" t="n">
        <f aca="false">SQRT(1-I42)*SQRT(H42^2+(J42^2)/12)</f>
        <v>0.57392459551632</v>
      </c>
      <c r="AA42" s="0" t="n">
        <f aca="false">RdsonBot*Z42^2</f>
        <v>0.000395267329606286</v>
      </c>
      <c r="AB42" s="0" t="n">
        <f aca="false">2*Deadtime*Fsw*IF(VfdSky&gt;0,0,VsdBot)*(H42+J42/2)</f>
        <v>0.0233138038500502</v>
      </c>
      <c r="AC42" s="0" t="n">
        <f aca="false">(AB42+AA42*(1+RdsonBotTc*Ta-RdsonBotTc*25))/(1-AA42*RdsonBotTc*ThetaJaBot)</f>
        <v>0.0237109456120874</v>
      </c>
      <c r="AD42" s="0" t="n">
        <f aca="false">2*Deadtime*Fsw*IF(VfdSky&gt;0,VfdSky,0)*H42</f>
        <v>0</v>
      </c>
      <c r="AE42" s="0" t="n">
        <f aca="false">IF(QrrSky&gt;0,QrrSky,QrrBot)*Fsw*(Vin-H42*RdsonTop)</f>
        <v>0.40312608</v>
      </c>
      <c r="AF42" s="0" t="n">
        <f aca="false">Iq*Vin</f>
        <v>0.054</v>
      </c>
      <c r="AG42" s="0" t="n">
        <f aca="false">Vin*(QgTop+QgBot)*Fsw</f>
        <v>0.35784</v>
      </c>
      <c r="AH42" s="357" t="n">
        <f aca="false">(Vin-Vdd)*Fsw*(QgTop+QgBot)+(RdsonDRT+RdsonDRT2)*Fsw*QgTop*Vdd/(RdsonDRT+2*RGateTop+RdsonDRT2)+(RdsonDRB+RdsonDRB2)*Fsw*QgBot*Vdd/(RdsonDRB+2*RGateBot+RdsonDRB2)</f>
        <v>0.31571422459893</v>
      </c>
      <c r="AI42" s="0" t="n">
        <f aca="false">SUM(AF42:AG42)</f>
        <v>0.41184</v>
      </c>
      <c r="AJ42" s="402" t="n">
        <f aca="false">SUM(N42,Q42,T42,Y42,AE42,AD42,AC42,AI42)</f>
        <v>0.881110928696405</v>
      </c>
      <c r="AK42" s="358" t="n">
        <f aca="false">Vout*H42</f>
        <v>3.96</v>
      </c>
      <c r="AL42" s="359" t="n">
        <f aca="false">AK42/(AK42+AJ42)</f>
        <v>0.817994063413526</v>
      </c>
      <c r="AM42" s="0" t="n">
        <f aca="false">ThetaJaTop*Y42</f>
        <v>1.54243398396974</v>
      </c>
      <c r="AN42" s="0" t="n">
        <f aca="false">AC42*ThetaJaBot</f>
        <v>1.18554728060437</v>
      </c>
      <c r="AO42" s="359"/>
      <c r="AP42" s="0" t="n">
        <f aca="false">AL42*100</f>
        <v>81.7994063413526</v>
      </c>
      <c r="AY42" s="0" t="n">
        <v>9.998419</v>
      </c>
      <c r="AZ42" s="0" t="n">
        <v>3.692</v>
      </c>
      <c r="BA42" s="0" t="n">
        <v>5.113754</v>
      </c>
      <c r="BB42" s="0" t="n">
        <v>94.4413633747896</v>
      </c>
      <c r="BC42" s="0" t="n">
        <v>1111.239120522</v>
      </c>
    </row>
    <row r="43" customFormat="false" ht="12.75" hidden="false" customHeight="false" outlineLevel="0" collapsed="false">
      <c r="A43" s="411" t="s">
        <v>393</v>
      </c>
      <c r="B43" s="343" t="n">
        <f aca="false">GmTop</f>
        <v>97</v>
      </c>
      <c r="C43" s="408" t="s">
        <v>107</v>
      </c>
      <c r="D43" s="409" t="s">
        <v>394</v>
      </c>
      <c r="G43" s="0" t="n">
        <v>34</v>
      </c>
      <c r="H43" s="0" t="n">
        <f aca="false">Iout*(G43/100)</f>
        <v>0.68</v>
      </c>
      <c r="I43" s="0" t="n">
        <f aca="false">(Vout+Rdcr*H43+RdsonBot*H43)/(Vin-RdsonTop*H43+RdsonBot*H43)</f>
        <v>0.334295545538315</v>
      </c>
      <c r="J43" s="0" t="n">
        <f aca="false">(Vin-Vout)*I43/(Fsw*Lout2)</f>
        <v>0.842761879508358</v>
      </c>
      <c r="K43" s="0" t="n">
        <f aca="false">SQRT(H43^2+(J43^2)/12)</f>
        <v>0.722210010174353</v>
      </c>
      <c r="L43" s="0" t="n">
        <f aca="false">(K43^2*Rdcr*(1+Ltc*Ta-Ltc*25))/(1-K43^2*Rdcr*Ltc*ThetaCa)</f>
        <v>0.0120080322285618</v>
      </c>
      <c r="N43" s="356" t="n">
        <f aca="false">L43</f>
        <v>0.0120080322285618</v>
      </c>
      <c r="O43" s="357" t="n">
        <f aca="false">J43/(2*SQRT(3))</f>
        <v>0.243284398998453</v>
      </c>
      <c r="P43" s="357" t="n">
        <f aca="false">RCoutEsr*O43^2</f>
        <v>2.95936493980191E-005</v>
      </c>
      <c r="Q43" s="357" t="n">
        <f aca="false">P43</f>
        <v>2.95936493980191E-005</v>
      </c>
      <c r="R43" s="0" t="n">
        <f aca="false">SQRT(I43)*SQRT(H43^2+(J43^2)/12)</f>
        <v>0.417569527859586</v>
      </c>
      <c r="S43" s="400" t="n">
        <f aca="false">RCinEsr*R43^2</f>
        <v>0.000174364310596878</v>
      </c>
      <c r="T43" s="401" t="n">
        <f aca="false">S43</f>
        <v>0.000174364310596878</v>
      </c>
      <c r="U43" s="0" t="n">
        <f aca="false">SQRT(I43)*SQRT(H43^2+(J43^2)/12)</f>
        <v>0.417569527859586</v>
      </c>
      <c r="V43" s="0" t="n">
        <f aca="false">RdsonTop*U43^2</f>
        <v>0.000871821552984389</v>
      </c>
      <c r="W43" s="0" t="n">
        <f aca="false">(Vin*H43/2)*(Fsw)*(Tr+Tf)</f>
        <v>0.0309262336128927</v>
      </c>
      <c r="X43" s="0" t="n">
        <f aca="false">IF(H43&gt;J43/2,0,ABS(H43-J43/2)*VsdTop*Deadtime*Fsw)</f>
        <v>0</v>
      </c>
      <c r="Y43" s="0" t="n">
        <f aca="false">(X43+W43+V43*(1+RdsonTopTc*Ta-RdsonTopTc*25))/(1-V43*RdsonTopTc*ThetaJaTop)</f>
        <v>0.0318036005787666</v>
      </c>
      <c r="Z43" s="0" t="n">
        <f aca="false">SQRT(1-I43)*SQRT(H43^2+(J43^2)/12)</f>
        <v>0.589256300941416</v>
      </c>
      <c r="AA43" s="0" t="n">
        <f aca="false">RdsonBot*Z43^2</f>
        <v>0.000416667585838993</v>
      </c>
      <c r="AB43" s="0" t="n">
        <f aca="false">2*Deadtime*Fsw*IF(VfdSky&gt;0,0,VsdBot)*(H43+J43/2)</f>
        <v>0.0237457730611001</v>
      </c>
      <c r="AC43" s="0" t="n">
        <f aca="false">(AB43+AA43*(1+RdsonBotTc*Ta-RdsonBotTc*25))/(1-AA43*RdsonBotTc*ThetaJaBot)</f>
        <v>0.024164454355911</v>
      </c>
      <c r="AD43" s="0" t="n">
        <f aca="false">2*Deadtime*Fsw*IF(VfdSky&gt;0,VfdSky,0)*H43</f>
        <v>0</v>
      </c>
      <c r="AE43" s="0" t="n">
        <f aca="false">IF(QrrSky&gt;0,QrrSky,QrrBot)*Fsw*(Vin-H43*RdsonTop)</f>
        <v>0.40312384</v>
      </c>
      <c r="AF43" s="0" t="n">
        <f aca="false">Iq*Vin</f>
        <v>0.054</v>
      </c>
      <c r="AG43" s="0" t="n">
        <f aca="false">Vin*(QgTop+QgBot)*Fsw</f>
        <v>0.35784</v>
      </c>
      <c r="AH43" s="357" t="n">
        <f aca="false">(Vin-Vdd)*Fsw*(QgTop+QgBot)+(RdsonDRT+RdsonDRT2)*Fsw*QgTop*Vdd/(RdsonDRT+2*RGateTop+RdsonDRT2)+(RdsonDRB+RdsonDRB2)*Fsw*QgBot*Vdd/(RdsonDRB+2*RGateBot+RdsonDRB2)</f>
        <v>0.31571422459893</v>
      </c>
      <c r="AI43" s="0" t="n">
        <f aca="false">SUM(AF43:AG43)</f>
        <v>0.41184</v>
      </c>
      <c r="AJ43" s="402" t="n">
        <f aca="false">SUM(N43,Q43,T43,Y43,AE43,AD43,AC43,AI43)</f>
        <v>0.883143885123234</v>
      </c>
      <c r="AK43" s="358" t="n">
        <f aca="false">Vout*H43</f>
        <v>4.08</v>
      </c>
      <c r="AL43" s="359" t="n">
        <f aca="false">AK43/(AK43+AJ43)</f>
        <v>0.822059584496349</v>
      </c>
      <c r="AM43" s="0" t="n">
        <f aca="false">ThetaJaTop*Y43</f>
        <v>1.59018002893833</v>
      </c>
      <c r="AN43" s="0" t="n">
        <f aca="false">AC43*ThetaJaBot</f>
        <v>1.20822271779555</v>
      </c>
      <c r="AO43" s="359"/>
      <c r="AP43" s="0" t="n">
        <f aca="false">AL43*100</f>
        <v>82.2059584496349</v>
      </c>
      <c r="AY43" s="0" t="n">
        <v>9.998246</v>
      </c>
      <c r="AZ43" s="0" t="n">
        <v>4.243</v>
      </c>
      <c r="BA43" s="0" t="n">
        <v>5.112059</v>
      </c>
      <c r="BB43" s="0" t="n">
        <v>94.2671786158599</v>
      </c>
      <c r="BC43" s="0" t="n">
        <v>1319.09707756</v>
      </c>
    </row>
    <row r="44" customFormat="false" ht="12.75" hidden="false" customHeight="false" outlineLevel="0" collapsed="false">
      <c r="A44" s="411" t="s">
        <v>395</v>
      </c>
      <c r="B44" s="343" t="n">
        <f aca="false">VthTop</f>
        <v>2.2</v>
      </c>
      <c r="C44" s="408" t="s">
        <v>9</v>
      </c>
      <c r="D44" s="409" t="s">
        <v>396</v>
      </c>
      <c r="G44" s="0" t="n">
        <v>35</v>
      </c>
      <c r="H44" s="0" t="n">
        <f aca="false">Iout*(G44/100)</f>
        <v>0.7</v>
      </c>
      <c r="I44" s="0" t="n">
        <f aca="false">(Vout+Rdcr*H44+RdsonBot*H44)/(Vin-RdsonTop*H44+RdsonBot*H44)</f>
        <v>0.334323850080067</v>
      </c>
      <c r="J44" s="0" t="n">
        <f aca="false">(Vin-Vout)*I44/(Fsw*Lout2)</f>
        <v>0.842833235495968</v>
      </c>
      <c r="K44" s="0" t="n">
        <f aca="false">SQRT(H44^2+(J44^2)/12)</f>
        <v>0.741078485657705</v>
      </c>
      <c r="L44" s="0" t="n">
        <f aca="false">(K44^2*Rdcr*(1+Ltc*Ta-Ltc*25))/(1-K44^2*Rdcr*Ltc*ThetaCa)</f>
        <v>0.0126443157766343</v>
      </c>
      <c r="N44" s="356" t="n">
        <f aca="false">L44</f>
        <v>0.0126443157766343</v>
      </c>
      <c r="O44" s="357" t="n">
        <f aca="false">J44/(2*SQRT(3))</f>
        <v>0.24330499769778</v>
      </c>
      <c r="P44" s="357" t="n">
        <f aca="false">RCoutEsr*O44^2</f>
        <v>2.95986609523584E-005</v>
      </c>
      <c r="Q44" s="357" t="n">
        <f aca="false">P44</f>
        <v>2.95986609523584E-005</v>
      </c>
      <c r="R44" s="0" t="n">
        <f aca="false">SQRT(I44)*SQRT(H44^2+(J44^2)/12)</f>
        <v>0.428497098138187</v>
      </c>
      <c r="S44" s="400" t="n">
        <f aca="false">RCinEsr*R44^2</f>
        <v>0.000183609763112847</v>
      </c>
      <c r="T44" s="401" t="n">
        <f aca="false">S44</f>
        <v>0.000183609763112847</v>
      </c>
      <c r="U44" s="0" t="n">
        <f aca="false">SQRT(I44)*SQRT(H44^2+(J44^2)/12)</f>
        <v>0.428497098138187</v>
      </c>
      <c r="V44" s="0" t="n">
        <f aca="false">RdsonTop*U44^2</f>
        <v>0.000918048815564235</v>
      </c>
      <c r="W44" s="0" t="n">
        <f aca="false">(Vin*H44/2)*(Fsw)*(Tr+Tf)</f>
        <v>0.0318358287191543</v>
      </c>
      <c r="X44" s="0" t="n">
        <f aca="false">IF(H44&gt;J44/2,0,ABS(H44-J44/2)*VsdTop*Deadtime*Fsw)</f>
        <v>0</v>
      </c>
      <c r="Y44" s="0" t="n">
        <f aca="false">(X44+W44+V44*(1+RdsonTopTc*Ta-RdsonTopTc*25))/(1-V44*RdsonTopTc*ThetaJaTop)</f>
        <v>0.0327598925708331</v>
      </c>
      <c r="Z44" s="0" t="n">
        <f aca="false">SQRT(1-I44)*SQRT(H44^2+(J44^2)/12)</f>
        <v>0.604638370260993</v>
      </c>
      <c r="AA44" s="0" t="n">
        <f aca="false">RdsonBot*Z44^2</f>
        <v>0.000438705070550244</v>
      </c>
      <c r="AB44" s="0" t="n">
        <f aca="false">2*Deadtime*Fsw*IF(VfdSky&gt;0,0,VsdBot)*(H44+J44/2)</f>
        <v>0.0241777422786465</v>
      </c>
      <c r="AC44" s="0" t="n">
        <f aca="false">(AB44+AA44*(1+RdsonBotTc*Ta-RdsonBotTc*25))/(1-AA44*RdsonBotTc*ThetaJaBot)</f>
        <v>0.024618607410777</v>
      </c>
      <c r="AD44" s="0" t="n">
        <f aca="false">2*Deadtime*Fsw*IF(VfdSky&gt;0,VfdSky,0)*H44</f>
        <v>0</v>
      </c>
      <c r="AE44" s="0" t="n">
        <f aca="false">IF(QrrSky&gt;0,QrrSky,QrrBot)*Fsw*(Vin-H44*RdsonTop)</f>
        <v>0.4031216</v>
      </c>
      <c r="AF44" s="0" t="n">
        <f aca="false">Iq*Vin</f>
        <v>0.054</v>
      </c>
      <c r="AG44" s="0" t="n">
        <f aca="false">Vin*(QgTop+QgBot)*Fsw</f>
        <v>0.35784</v>
      </c>
      <c r="AH44" s="357" t="n">
        <f aca="false">(Vin-Vdd)*Fsw*(QgTop+QgBot)+(RdsonDRT+RdsonDRT2)*Fsw*QgTop*Vdd/(RdsonDRT+2*RGateTop+RdsonDRT2)+(RdsonDRB+RdsonDRB2)*Fsw*QgBot*Vdd/(RdsonDRB+2*RGateBot+RdsonDRB2)</f>
        <v>0.31571422459893</v>
      </c>
      <c r="AI44" s="0" t="n">
        <f aca="false">SUM(AF44:AG44)</f>
        <v>0.41184</v>
      </c>
      <c r="AJ44" s="402" t="n">
        <f aca="false">SUM(N44,Q44,T44,Y44,AE44,AD44,AC44,AI44)</f>
        <v>0.885197624182309</v>
      </c>
      <c r="AK44" s="358" t="n">
        <f aca="false">Vout*H44</f>
        <v>4.2</v>
      </c>
      <c r="AL44" s="359" t="n">
        <f aca="false">AK44/(AK44+AJ44)</f>
        <v>0.825926603132824</v>
      </c>
      <c r="AM44" s="0" t="n">
        <f aca="false">ThetaJaTop*Y44</f>
        <v>1.63799462854165</v>
      </c>
      <c r="AN44" s="0" t="n">
        <f aca="false">AC44*ThetaJaBot</f>
        <v>1.23093037053885</v>
      </c>
      <c r="AO44" s="359"/>
      <c r="AP44" s="0" t="n">
        <f aca="false">AL44*100</f>
        <v>82.5926603132824</v>
      </c>
      <c r="AY44" s="0" t="n">
        <v>9.998147</v>
      </c>
      <c r="AZ44" s="0" t="n">
        <v>4.849</v>
      </c>
      <c r="BA44" s="0" t="n">
        <v>5.110774</v>
      </c>
      <c r="BB44" s="0" t="n">
        <v>93.9538159946813</v>
      </c>
      <c r="BC44" s="0" t="n">
        <v>1594.798320901</v>
      </c>
    </row>
    <row r="45" customFormat="false" ht="12.75" hidden="false" customHeight="false" outlineLevel="0" collapsed="false">
      <c r="A45" s="429" t="s">
        <v>397</v>
      </c>
      <c r="B45" s="343" t="n">
        <f aca="false">VspTop</f>
        <v>2.22061855670103</v>
      </c>
      <c r="C45" s="430" t="s">
        <v>9</v>
      </c>
      <c r="G45" s="0" t="n">
        <v>36</v>
      </c>
      <c r="H45" s="0" t="n">
        <f aca="false">Iout*(G45/100)</f>
        <v>0.72</v>
      </c>
      <c r="I45" s="0" t="n">
        <f aca="false">(Vout+Rdcr*H45+RdsonBot*H45)/(Vin-RdsonTop*H45+RdsonBot*H45)</f>
        <v>0.334352154860872</v>
      </c>
      <c r="J45" s="0" t="n">
        <f aca="false">(Vin-Vout)*I45/(Fsw*Lout2)</f>
        <v>0.842904592086232</v>
      </c>
      <c r="K45" s="0" t="n">
        <f aca="false">SQRT(H45^2+(J45^2)/12)</f>
        <v>0.760004832844286</v>
      </c>
      <c r="L45" s="0" t="n">
        <f aca="false">(K45^2*Rdcr*(1+Ltc*Ta-Ltc*25))/(1-K45^2*Rdcr*Ltc*ThetaCa)</f>
        <v>0.0132991032106379</v>
      </c>
      <c r="N45" s="356" t="n">
        <f aca="false">L45</f>
        <v>0.0132991032106379</v>
      </c>
      <c r="O45" s="357" t="n">
        <f aca="false">J45/(2*SQRT(3))</f>
        <v>0.243325596571079</v>
      </c>
      <c r="P45" s="357" t="n">
        <f aca="false">RCoutEsr*O45^2</f>
        <v>2.96036729733358E-005</v>
      </c>
      <c r="Q45" s="357" t="n">
        <f aca="false">P45</f>
        <v>2.96036729733358E-005</v>
      </c>
      <c r="R45" s="0" t="n">
        <f aca="false">SQRT(I45)*SQRT(H45^2+(J45^2)/12)</f>
        <v>0.439459054726079</v>
      </c>
      <c r="S45" s="400" t="n">
        <f aca="false">RCinEsr*R45^2</f>
        <v>0.000193124260780739</v>
      </c>
      <c r="T45" s="401" t="n">
        <f aca="false">S45</f>
        <v>0.000193124260780739</v>
      </c>
      <c r="U45" s="0" t="n">
        <f aca="false">SQRT(I45)*SQRT(H45^2+(J45^2)/12)</f>
        <v>0.439459054726079</v>
      </c>
      <c r="V45" s="0" t="n">
        <f aca="false">RdsonTop*U45^2</f>
        <v>0.000965621303903694</v>
      </c>
      <c r="W45" s="0" t="n">
        <f aca="false">(Vin*H45/2)*(Fsw)*(Tr+Tf)</f>
        <v>0.0327454238254158</v>
      </c>
      <c r="X45" s="0" t="n">
        <f aca="false">IF(H45&gt;J45/2,0,ABS(H45-J45/2)*VsdTop*Deadtime*Fsw)</f>
        <v>0</v>
      </c>
      <c r="Y45" s="0" t="n">
        <f aca="false">(X45+W45+V45*(1+RdsonTopTc*Ta-RdsonTopTc*25))/(1-V45*RdsonTopTc*ThetaJaTop)</f>
        <v>0.0337175568075533</v>
      </c>
      <c r="Z45" s="0" t="n">
        <f aca="false">SQRT(1-I45)*SQRT(H45^2+(J45^2)/12)</f>
        <v>0.620067000545854</v>
      </c>
      <c r="AA45" s="0" t="n">
        <f aca="false">RdsonBot*Z45^2</f>
        <v>0.000461379702199119</v>
      </c>
      <c r="AB45" s="0" t="n">
        <f aca="false">2*Deadtime*Fsw*IF(VfdSky&gt;0,0,VsdBot)*(H45+J45/2)</f>
        <v>0.0246097115026896</v>
      </c>
      <c r="AC45" s="0" t="n">
        <f aca="false">(AB45+AA45*(1+RdsonBotTc*Ta-RdsonBotTc*25))/(1-AA45*RdsonBotTc*ThetaJaBot)</f>
        <v>0.0250734048769037</v>
      </c>
      <c r="AD45" s="0" t="n">
        <f aca="false">2*Deadtime*Fsw*IF(VfdSky&gt;0,VfdSky,0)*H45</f>
        <v>0</v>
      </c>
      <c r="AE45" s="0" t="n">
        <f aca="false">IF(QrrSky&gt;0,QrrSky,QrrBot)*Fsw*(Vin-H45*RdsonTop)</f>
        <v>0.40311936</v>
      </c>
      <c r="AF45" s="0" t="n">
        <f aca="false">Iq*Vin</f>
        <v>0.054</v>
      </c>
      <c r="AG45" s="0" t="n">
        <f aca="false">Vin*(QgTop+QgBot)*Fsw</f>
        <v>0.35784</v>
      </c>
      <c r="AH45" s="357" t="n">
        <f aca="false">(Vin-Vdd)*Fsw*(QgTop+QgBot)+(RdsonDRT+RdsonDRT2)*Fsw*QgTop*Vdd/(RdsonDRT+2*RGateTop+RdsonDRT2)+(RdsonDRB+RdsonDRB2)*Fsw*QgBot*Vdd/(RdsonDRB+2*RGateBot+RdsonDRB2)</f>
        <v>0.31571422459893</v>
      </c>
      <c r="AI45" s="0" t="n">
        <f aca="false">SUM(AF45:AG45)</f>
        <v>0.41184</v>
      </c>
      <c r="AJ45" s="402" t="n">
        <f aca="false">SUM(N45,Q45,T45,Y45,AE45,AD45,AC45,AI45)</f>
        <v>0.887272152828849</v>
      </c>
      <c r="AK45" s="358" t="n">
        <f aca="false">Vout*H45</f>
        <v>4.32</v>
      </c>
      <c r="AL45" s="359" t="n">
        <f aca="false">AK45/(AK45+AJ45)</f>
        <v>0.829609030066378</v>
      </c>
      <c r="AM45" s="0" t="n">
        <f aca="false">ThetaJaTop*Y45</f>
        <v>1.68587784037767</v>
      </c>
      <c r="AN45" s="0" t="n">
        <f aca="false">AC45*ThetaJaBot</f>
        <v>1.25367024384519</v>
      </c>
      <c r="AO45" s="359"/>
      <c r="AP45" s="0" t="n">
        <f aca="false">AL45*100</f>
        <v>82.9609030066378</v>
      </c>
      <c r="AY45" s="0" t="n">
        <v>9.997986</v>
      </c>
      <c r="AZ45" s="0" t="n">
        <v>5.496</v>
      </c>
      <c r="BA45" s="0" t="n">
        <v>5.109789</v>
      </c>
      <c r="BB45" s="0" t="n">
        <v>93.5997713628334</v>
      </c>
      <c r="BC45" s="0" t="n">
        <v>1920.30569234999</v>
      </c>
    </row>
    <row r="46" customFormat="false" ht="12.75" hidden="false" customHeight="false" outlineLevel="0" collapsed="false">
      <c r="A46" s="431" t="s">
        <v>399</v>
      </c>
      <c r="B46" s="343" t="n">
        <f aca="false">VsdTop</f>
        <v>0.85</v>
      </c>
      <c r="C46" s="430" t="s">
        <v>9</v>
      </c>
      <c r="G46" s="0" t="n">
        <v>37</v>
      </c>
      <c r="H46" s="0" t="n">
        <f aca="false">Iout*(G46/100)</f>
        <v>0.74</v>
      </c>
      <c r="I46" s="0" t="n">
        <f aca="false">(Vout+Rdcr*H46+RdsonBot*H46)/(Vin-RdsonTop*H46+RdsonBot*H46)</f>
        <v>0.334380459880732</v>
      </c>
      <c r="J46" s="0" t="n">
        <f aca="false">(Vin-Vout)*I46/(Fsw*Lout2)</f>
        <v>0.842975949279157</v>
      </c>
      <c r="K46" s="0" t="n">
        <f aca="false">SQRT(H46^2+(J46^2)/12)</f>
        <v>0.778984833563481</v>
      </c>
      <c r="L46" s="0" t="n">
        <f aca="false">(K46^2*Rdcr*(1+Ltc*Ta-Ltc*25))/(1-K46^2*Rdcr*Ltc*ThetaCa)</f>
        <v>0.0139724003304348</v>
      </c>
      <c r="N46" s="356" t="n">
        <f aca="false">L46</f>
        <v>0.0139724003304348</v>
      </c>
      <c r="O46" s="357" t="n">
        <f aca="false">J46/(2*SQRT(3))</f>
        <v>0.243346195618351</v>
      </c>
      <c r="P46" s="357" t="n">
        <f aca="false">RCoutEsr*O46^2</f>
        <v>2.96086854609623E-005</v>
      </c>
      <c r="Q46" s="357" t="n">
        <f aca="false">P46</f>
        <v>2.96086854609623E-005</v>
      </c>
      <c r="R46" s="0" t="n">
        <f aca="false">SQRT(I46)*SQRT(H46^2+(J46^2)/12)</f>
        <v>0.450452962641484</v>
      </c>
      <c r="S46" s="400" t="n">
        <f aca="false">RCinEsr*R46^2</f>
        <v>0.00020290787155249</v>
      </c>
      <c r="T46" s="401" t="n">
        <f aca="false">S46</f>
        <v>0.00020290787155249</v>
      </c>
      <c r="U46" s="0" t="n">
        <f aca="false">SQRT(I46)*SQRT(H46^2+(J46^2)/12)</f>
        <v>0.450452962641484</v>
      </c>
      <c r="V46" s="0" t="n">
        <f aca="false">RdsonTop*U46^2</f>
        <v>0.00101453935776245</v>
      </c>
      <c r="W46" s="0" t="n">
        <f aca="false">(Vin*H46/2)*(Fsw)*(Tr+Tf)</f>
        <v>0.0336550189316774</v>
      </c>
      <c r="X46" s="0" t="n">
        <f aca="false">IF(H46&gt;J46/2,0,ABS(H46-J46/2)*VsdTop*Deadtime*Fsw)</f>
        <v>0</v>
      </c>
      <c r="Y46" s="0" t="n">
        <f aca="false">(X46+W46+V46*(1+RdsonTopTc*Ta-RdsonTopTc*25))/(1-V46*RdsonTopTc*ThetaJaTop)</f>
        <v>0.0346765944434111</v>
      </c>
      <c r="Z46" s="0" t="n">
        <f aca="false">SQRT(1-I46)*SQRT(H46^2+(J46^2)/12)</f>
        <v>0.635538747339165</v>
      </c>
      <c r="AA46" s="0" t="n">
        <f aca="false">RdsonBot*Z46^2</f>
        <v>0.000484691399243321</v>
      </c>
      <c r="AB46" s="0" t="n">
        <f aca="false">2*Deadtime*Fsw*IF(VfdSky&gt;0,0,VsdBot)*(H46+J46/2)</f>
        <v>0.0250416807332293</v>
      </c>
      <c r="AC46" s="0" t="n">
        <f aca="false">(AB46+AA46*(1+RdsonBotTc*Ta-RdsonBotTc*25))/(1-AA46*RdsonBotTc*ThetaJaBot)</f>
        <v>0.0255288468549733</v>
      </c>
      <c r="AD46" s="0" t="n">
        <f aca="false">2*Deadtime*Fsw*IF(VfdSky&gt;0,VfdSky,0)*H46</f>
        <v>0</v>
      </c>
      <c r="AE46" s="0" t="n">
        <f aca="false">IF(QrrSky&gt;0,QrrSky,QrrBot)*Fsw*(Vin-H46*RdsonTop)</f>
        <v>0.40311712</v>
      </c>
      <c r="AF46" s="0" t="n">
        <f aca="false">Iq*Vin</f>
        <v>0.054</v>
      </c>
      <c r="AG46" s="0" t="n">
        <f aca="false">Vin*(QgTop+QgBot)*Fsw</f>
        <v>0.35784</v>
      </c>
      <c r="AH46" s="357" t="n">
        <f aca="false">(Vin-Vdd)*Fsw*(QgTop+QgBot)+(RdsonDRT+RdsonDRT2)*Fsw*QgTop*Vdd/(RdsonDRT+2*RGateTop+RdsonDRT2)+(RdsonDRB+RdsonDRB2)*Fsw*QgBot*Vdd/(RdsonDRB+2*RGateBot+RdsonDRB2)</f>
        <v>0.31571422459893</v>
      </c>
      <c r="AI46" s="0" t="n">
        <f aca="false">SUM(AF46:AG46)</f>
        <v>0.41184</v>
      </c>
      <c r="AJ46" s="402" t="n">
        <f aca="false">SUM(N46,Q46,T46,Y46,AE46,AD46,AC46,AI46)</f>
        <v>0.889367478185833</v>
      </c>
      <c r="AK46" s="358" t="n">
        <f aca="false">Vout*H46</f>
        <v>4.44</v>
      </c>
      <c r="AL46" s="359" t="n">
        <f aca="false">AK46/(AK46+AJ46)</f>
        <v>0.833119505865153</v>
      </c>
      <c r="AM46" s="0" t="n">
        <f aca="false">ThetaJaTop*Y46</f>
        <v>1.73382972217055</v>
      </c>
      <c r="AN46" s="0" t="n">
        <f aca="false">AC46*ThetaJaBot</f>
        <v>1.27644234274866</v>
      </c>
      <c r="AO46" s="359"/>
      <c r="AP46" s="0" t="n">
        <f aca="false">AL46*100</f>
        <v>83.3119505865153</v>
      </c>
      <c r="AY46" s="0" t="n">
        <v>9.9979</v>
      </c>
      <c r="AZ46" s="0" t="n">
        <v>6.195</v>
      </c>
      <c r="BA46" s="0" t="n">
        <v>5.109191</v>
      </c>
      <c r="BB46" s="0" t="n">
        <v>93.1566516721595</v>
      </c>
      <c r="BC46" s="0" t="n">
        <v>2325.1351759</v>
      </c>
    </row>
    <row r="47" customFormat="false" ht="12.75" hidden="false" customHeight="false" outlineLevel="0" collapsed="false">
      <c r="A47" s="411" t="s">
        <v>401</v>
      </c>
      <c r="B47" s="343" t="n">
        <f aca="false">ThetaJaTop</f>
        <v>50</v>
      </c>
      <c r="C47" s="408" t="s">
        <v>621</v>
      </c>
      <c r="D47" s="409" t="s">
        <v>402</v>
      </c>
      <c r="G47" s="0" t="n">
        <v>38</v>
      </c>
      <c r="H47" s="0" t="n">
        <f aca="false">Iout*(G47/100)</f>
        <v>0.76</v>
      </c>
      <c r="I47" s="0" t="n">
        <f aca="false">(Vout+Rdcr*H47+RdsonBot*H47)/(Vin-RdsonTop*H47+RdsonBot*H47)</f>
        <v>0.334408765139651</v>
      </c>
      <c r="J47" s="0" t="n">
        <f aca="false">(Vin-Vout)*I47/(Fsw*Lout2)</f>
        <v>0.843047307074751</v>
      </c>
      <c r="K47" s="0" t="n">
        <f aca="false">SQRT(H47^2+(J47^2)/12)</f>
        <v>0.798014659533582</v>
      </c>
      <c r="L47" s="0" t="n">
        <f aca="false">(K47^2*Rdcr*(1+Ltc*Ta-Ltc*25))/(1-K47^2*Rdcr*Ltc*ThetaCa)</f>
        <v>0.0146642131007877</v>
      </c>
      <c r="N47" s="356" t="n">
        <f aca="false">L47</f>
        <v>0.0146642131007877</v>
      </c>
      <c r="O47" s="357" t="n">
        <f aca="false">J47/(2*SQRT(3))</f>
        <v>0.243366794839598</v>
      </c>
      <c r="P47" s="357" t="n">
        <f aca="false">RCoutEsr*O47^2</f>
        <v>2.96136984152496E-005</v>
      </c>
      <c r="Q47" s="357" t="n">
        <f aca="false">P47</f>
        <v>2.96136984152496E-005</v>
      </c>
      <c r="R47" s="0" t="n">
        <f aca="false">SQRT(I47)*SQRT(H47^2+(J47^2)/12)</f>
        <v>0.461476611954697</v>
      </c>
      <c r="S47" s="400" t="n">
        <f aca="false">RCinEsr*R47^2</f>
        <v>0.000212960663381186</v>
      </c>
      <c r="T47" s="401" t="n">
        <f aca="false">S47</f>
        <v>0.000212960663381186</v>
      </c>
      <c r="U47" s="0" t="n">
        <f aca="false">SQRT(I47)*SQRT(H47^2+(J47^2)/12)</f>
        <v>0.461476611954697</v>
      </c>
      <c r="V47" s="0" t="n">
        <f aca="false">RdsonTop*U47^2</f>
        <v>0.00106480331690593</v>
      </c>
      <c r="W47" s="0" t="n">
        <f aca="false">(Vin*H47/2)*(Fsw)*(Tr+Tf)</f>
        <v>0.034564614037939</v>
      </c>
      <c r="X47" s="0" t="n">
        <f aca="false">IF(H47&gt;J47/2,0,ABS(H47-J47/2)*VsdTop*Deadtime*Fsw)</f>
        <v>0</v>
      </c>
      <c r="Y47" s="0" t="n">
        <f aca="false">(X47+W47+V47*(1+RdsonTopTc*Ta-RdsonTopTc*25))/(1-V47*RdsonTopTc*ThetaJaTop)</f>
        <v>0.0356370066354189</v>
      </c>
      <c r="Z47" s="0" t="n">
        <f aca="false">SQRT(1-I47)*SQRT(H47^2+(J47^2)/12)</f>
        <v>0.65105048456269</v>
      </c>
      <c r="AA47" s="0" t="n">
        <f aca="false">RdsonBot*Z47^2</f>
        <v>0.000508640080139176</v>
      </c>
      <c r="AB47" s="0" t="n">
        <f aca="false">2*Deadtime*Fsw*IF(VfdSky&gt;0,0,VsdBot)*(H47+J47/2)</f>
        <v>0.0254736499702658</v>
      </c>
      <c r="AC47" s="0" t="n">
        <f aca="false">(AB47+AA47*(1+RdsonBotTc*Ta-RdsonBotTc*25))/(1-AA47*RdsonBotTc*ThetaJaBot)</f>
        <v>0.0259849334461311</v>
      </c>
      <c r="AD47" s="0" t="n">
        <f aca="false">2*Deadtime*Fsw*IF(VfdSky&gt;0,VfdSky,0)*H47</f>
        <v>0</v>
      </c>
      <c r="AE47" s="0" t="n">
        <f aca="false">IF(QrrSky&gt;0,QrrSky,QrrBot)*Fsw*(Vin-H47*RdsonTop)</f>
        <v>0.40311488</v>
      </c>
      <c r="AF47" s="0" t="n">
        <f aca="false">Iq*Vin</f>
        <v>0.054</v>
      </c>
      <c r="AG47" s="0" t="n">
        <f aca="false">Vin*(QgTop+QgBot)*Fsw</f>
        <v>0.35784</v>
      </c>
      <c r="AH47" s="357" t="n">
        <f aca="false">(Vin-Vdd)*Fsw*(QgTop+QgBot)+(RdsonDRT+RdsonDRT2)*Fsw*QgTop*Vdd/(RdsonDRT+2*RGateTop+RdsonDRT2)+(RdsonDRB+RdsonDRB2)*Fsw*QgBot*Vdd/(RdsonDRB+2*RGateBot+RdsonDRB2)</f>
        <v>0.31571422459893</v>
      </c>
      <c r="AI47" s="0" t="n">
        <f aca="false">SUM(AF47:AG47)</f>
        <v>0.41184</v>
      </c>
      <c r="AJ47" s="402" t="n">
        <f aca="false">SUM(N47,Q47,T47,Y47,AE47,AD47,AC47,AI47)</f>
        <v>0.891483607544134</v>
      </c>
      <c r="AK47" s="358" t="n">
        <f aca="false">Vout*H47</f>
        <v>4.56</v>
      </c>
      <c r="AL47" s="359" t="n">
        <f aca="false">AK47/(AK47+AJ47)</f>
        <v>0.836469542656161</v>
      </c>
      <c r="AM47" s="0" t="n">
        <f aca="false">ThetaJaTop*Y47</f>
        <v>1.78185033177094</v>
      </c>
      <c r="AN47" s="0" t="n">
        <f aca="false">AC47*ThetaJaBot</f>
        <v>1.29924667230655</v>
      </c>
      <c r="AO47" s="359"/>
      <c r="AP47" s="0" t="n">
        <f aca="false">AL47*100</f>
        <v>83.6469542656161</v>
      </c>
      <c r="AY47" s="0" t="n">
        <v>9.997627</v>
      </c>
      <c r="AZ47" s="0" t="n">
        <v>6.947</v>
      </c>
      <c r="BA47" s="0" t="n">
        <v>5.108667</v>
      </c>
      <c r="BB47" s="0" t="n">
        <v>92.6568076347518</v>
      </c>
      <c r="BC47" s="0" t="n">
        <v>2812.629001201</v>
      </c>
    </row>
    <row r="48" customFormat="false" ht="12.75" hidden="false" customHeight="false" outlineLevel="0" collapsed="false">
      <c r="A48" s="412" t="s">
        <v>403</v>
      </c>
      <c r="B48" s="397" t="s">
        <v>600</v>
      </c>
      <c r="C48" s="412" t="s">
        <v>430</v>
      </c>
      <c r="D48" s="399" t="s">
        <v>123</v>
      </c>
      <c r="G48" s="0" t="n">
        <v>39</v>
      </c>
      <c r="H48" s="0" t="n">
        <f aca="false">Iout*(G48/100)</f>
        <v>0.78</v>
      </c>
      <c r="I48" s="0" t="n">
        <f aca="false">(Vout+Rdcr*H48+RdsonBot*H48)/(Vin-RdsonTop*H48+RdsonBot*H48)</f>
        <v>0.334437070637632</v>
      </c>
      <c r="J48" s="0" t="n">
        <f aca="false">(Vin-Vout)*I48/(Fsw*Lout2)</f>
        <v>0.843118665473021</v>
      </c>
      <c r="K48" s="0" t="n">
        <f aca="false">SQRT(H48^2+(J48^2)/12)</f>
        <v>0.817090829511883</v>
      </c>
      <c r="L48" s="0" t="n">
        <f aca="false">(K48^2*Rdcr*(1+Ltc*Ta-Ltc*25))/(1-K48^2*Rdcr*Ltc*ThetaCa)</f>
        <v>0.0153745476514925</v>
      </c>
      <c r="N48" s="356" t="n">
        <f aca="false">L48</f>
        <v>0.0153745476514925</v>
      </c>
      <c r="O48" s="357" t="n">
        <f aca="false">J48/(2*SQRT(3))</f>
        <v>0.243387394234823</v>
      </c>
      <c r="P48" s="357" t="n">
        <f aca="false">RCoutEsr*O48^2</f>
        <v>2.96187118362087E-005</v>
      </c>
      <c r="Q48" s="357" t="n">
        <f aca="false">P48</f>
        <v>2.96187118362087E-005</v>
      </c>
      <c r="R48" s="0" t="n">
        <f aca="false">SQRT(I48)*SQRT(H48^2+(J48^2)/12)</f>
        <v>0.4725279930555</v>
      </c>
      <c r="S48" s="400" t="n">
        <f aca="false">RCinEsr*R48^2</f>
        <v>0.000223282704221059</v>
      </c>
      <c r="T48" s="401" t="n">
        <f aca="false">S48</f>
        <v>0.000223282704221059</v>
      </c>
      <c r="U48" s="0" t="n">
        <f aca="false">SQRT(I48)*SQRT(H48^2+(J48^2)/12)</f>
        <v>0.4725279930555</v>
      </c>
      <c r="V48" s="0" t="n">
        <f aca="false">RdsonTop*U48^2</f>
        <v>0.00111641352110529</v>
      </c>
      <c r="W48" s="0" t="n">
        <f aca="false">(Vin*H48/2)*(Fsw)*(Tr+Tf)</f>
        <v>0.0354742091442005</v>
      </c>
      <c r="X48" s="0" t="n">
        <f aca="false">IF(H48&gt;J48/2,0,ABS(H48-J48/2)*VsdTop*Deadtime*Fsw)</f>
        <v>0</v>
      </c>
      <c r="Y48" s="0" t="n">
        <f aca="false">(X48+W48+V48*(1+RdsonTopTc*Ta-RdsonTopTc*25))/(1-V48*RdsonTopTc*ThetaJaTop)</f>
        <v>0.0365987945431226</v>
      </c>
      <c r="Z48" s="0" t="n">
        <f aca="false">SQRT(1-I48)*SQRT(H48^2+(J48^2)/12)</f>
        <v>0.666599369525173</v>
      </c>
      <c r="AA48" s="0" t="n">
        <f aca="false">RdsonBot*Z48^2</f>
        <v>0.00053322566334163</v>
      </c>
      <c r="AB48" s="0" t="n">
        <f aca="false">2*Deadtime*Fsw*IF(VfdSky&gt;0,0,VsdBot)*(H48+J48/2)</f>
        <v>0.0259056192137992</v>
      </c>
      <c r="AC48" s="0" t="n">
        <f aca="false">(AB48+AA48*(1+RdsonBotTc*Ta-RdsonBotTc*25))/(1-AA48*RdsonBotTc*ThetaJaBot)</f>
        <v>0.0264416647519862</v>
      </c>
      <c r="AD48" s="0" t="n">
        <f aca="false">2*Deadtime*Fsw*IF(VfdSky&gt;0,VfdSky,0)*H48</f>
        <v>0</v>
      </c>
      <c r="AE48" s="0" t="n">
        <f aca="false">IF(QrrSky&gt;0,QrrSky,QrrBot)*Fsw*(Vin-H48*RdsonTop)</f>
        <v>0.40311264</v>
      </c>
      <c r="AF48" s="0" t="n">
        <f aca="false">Iq*Vin</f>
        <v>0.054</v>
      </c>
      <c r="AG48" s="0" t="n">
        <f aca="false">Vin*(QgTop+QgBot)*Fsw</f>
        <v>0.35784</v>
      </c>
      <c r="AH48" s="357" t="n">
        <f aca="false">(Vin-Vdd)*Fsw*(QgTop+QgBot)+(RdsonDRT+RdsonDRT2)*Fsw*QgTop*Vdd/(RdsonDRT+2*RGateTop+RdsonDRT2)+(RdsonDRB+RdsonDRB2)*Fsw*QgBot*Vdd/(RdsonDRB+2*RGateBot+RdsonDRB2)</f>
        <v>0.31571422459893</v>
      </c>
      <c r="AI48" s="0" t="n">
        <f aca="false">SUM(AF48:AG48)</f>
        <v>0.41184</v>
      </c>
      <c r="AJ48" s="402" t="n">
        <f aca="false">SUM(N48,Q48,T48,Y48,AE48,AD48,AC48,AI48)</f>
        <v>0.893620548362659</v>
      </c>
      <c r="AK48" s="358" t="n">
        <f aca="false">Vout*H48</f>
        <v>4.68</v>
      </c>
      <c r="AL48" s="359" t="n">
        <f aca="false">AK48/(AK48+AJ48)</f>
        <v>0.839669647295029</v>
      </c>
      <c r="AM48" s="0" t="n">
        <f aca="false">ThetaJaTop*Y48</f>
        <v>1.82993972715613</v>
      </c>
      <c r="AN48" s="0" t="n">
        <f aca="false">AC48*ThetaJaBot</f>
        <v>1.32208323759931</v>
      </c>
      <c r="AO48" s="359"/>
      <c r="AP48" s="0" t="n">
        <f aca="false">AL48*100</f>
        <v>83.9669647295029</v>
      </c>
      <c r="AY48" s="0" t="n">
        <v>9.997528</v>
      </c>
      <c r="AZ48" s="0" t="n">
        <v>7.753</v>
      </c>
      <c r="BA48" s="0" t="n">
        <v>5.10853</v>
      </c>
      <c r="BB48" s="0" t="n">
        <v>92.0343364197852</v>
      </c>
      <c r="BC48" s="0" t="n">
        <v>3427.97617364</v>
      </c>
    </row>
    <row r="49" customFormat="false" ht="12.75" hidden="false" customHeight="false" outlineLevel="0" collapsed="false">
      <c r="A49" s="411" t="s">
        <v>404</v>
      </c>
      <c r="B49" s="343" t="n">
        <f aca="false">RdsonBot*1000</f>
        <v>1.2</v>
      </c>
      <c r="C49" s="408" t="s">
        <v>617</v>
      </c>
      <c r="D49" s="409" t="s">
        <v>405</v>
      </c>
      <c r="G49" s="0" t="n">
        <v>40</v>
      </c>
      <c r="H49" s="0" t="n">
        <f aca="false">Iout*(G49/100)</f>
        <v>0.8</v>
      </c>
      <c r="I49" s="0" t="n">
        <f aca="false">(Vout+Rdcr*H49+RdsonBot*H49)/(Vin-RdsonTop*H49+RdsonBot*H49)</f>
        <v>0.334465376374677</v>
      </c>
      <c r="J49" s="0" t="n">
        <f aca="false">(Vin-Vout)*I49/(Fsw*Lout2)</f>
        <v>0.843190024473975</v>
      </c>
      <c r="K49" s="0" t="n">
        <f aca="false">SQRT(H49^2+(J49^2)/12)</f>
        <v>0.836210171815496</v>
      </c>
      <c r="L49" s="0" t="n">
        <f aca="false">(K49^2*Rdcr*(1+Ltc*Ta-Ltc*25))/(1-K49^2*Rdcr*Ltc*ThetaCa)</f>
        <v>0.0161034102775141</v>
      </c>
      <c r="N49" s="356" t="n">
        <f aca="false">L49</f>
        <v>0.0161034102775141</v>
      </c>
      <c r="O49" s="357" t="n">
        <f aca="false">J49/(2*SQRT(3))</f>
        <v>0.243407993804028</v>
      </c>
      <c r="P49" s="357" t="n">
        <f aca="false">RCoutEsr*O49^2</f>
        <v>2.96237257238509E-005</v>
      </c>
      <c r="Q49" s="357" t="n">
        <f aca="false">P49</f>
        <v>2.96237257238509E-005</v>
      </c>
      <c r="R49" s="0" t="n">
        <f aca="false">SQRT(I49)*SQRT(H49^2+(J49^2)/12)</f>
        <v>0.48360527502033</v>
      </c>
      <c r="S49" s="400" t="n">
        <f aca="false">RCinEsr*R49^2</f>
        <v>0.000233874062027489</v>
      </c>
      <c r="T49" s="401" t="n">
        <f aca="false">S49</f>
        <v>0.000233874062027489</v>
      </c>
      <c r="U49" s="0" t="n">
        <f aca="false">SQRT(I49)*SQRT(H49^2+(J49^2)/12)</f>
        <v>0.48360527502033</v>
      </c>
      <c r="V49" s="0" t="n">
        <f aca="false">RdsonTop*U49^2</f>
        <v>0.00116937031013745</v>
      </c>
      <c r="W49" s="0" t="n">
        <f aca="false">(Vin*H49/2)*(Fsw)*(Tr+Tf)</f>
        <v>0.036383804250462</v>
      </c>
      <c r="X49" s="0" t="n">
        <f aca="false">IF(H49&gt;J49/2,0,ABS(H49-J49/2)*VsdTop*Deadtime*Fsw)</f>
        <v>0</v>
      </c>
      <c r="Y49" s="0" t="n">
        <f aca="false">(X49+W49+V49*(1+RdsonTopTc*Ta-RdsonTopTc*25))/(1-V49*RdsonTopTc*ThetaJaTop)</f>
        <v>0.0375619593286054</v>
      </c>
      <c r="Z49" s="0" t="n">
        <f aca="false">SQRT(1-I49)*SQRT(H49^2+(J49^2)/12)</f>
        <v>0.68218281231662</v>
      </c>
      <c r="AA49" s="0" t="n">
        <f aca="false">RdsonBot*Z49^2</f>
        <v>0.000558448067304256</v>
      </c>
      <c r="AB49" s="0" t="n">
        <f aca="false">2*Deadtime*Fsw*IF(VfdSky&gt;0,0,VsdBot)*(H49+J49/2)</f>
        <v>0.0263375884638295</v>
      </c>
      <c r="AC49" s="0" t="n">
        <f aca="false">(AB49+AA49*(1+RdsonBotTc*Ta-RdsonBotTc*25))/(1-AA49*RdsonBotTc*ThetaJaBot)</f>
        <v>0.0268990408746115</v>
      </c>
      <c r="AD49" s="0" t="n">
        <f aca="false">2*Deadtime*Fsw*IF(VfdSky&gt;0,VfdSky,0)*H49</f>
        <v>0</v>
      </c>
      <c r="AE49" s="0" t="n">
        <f aca="false">IF(QrrSky&gt;0,QrrSky,QrrBot)*Fsw*(Vin-H49*RdsonTop)</f>
        <v>0.4031104</v>
      </c>
      <c r="AF49" s="0" t="n">
        <f aca="false">Iq*Vin</f>
        <v>0.054</v>
      </c>
      <c r="AG49" s="0" t="n">
        <f aca="false">Vin*(QgTop+QgBot)*Fsw</f>
        <v>0.35784</v>
      </c>
      <c r="AH49" s="357" t="n">
        <f aca="false">(Vin-Vdd)*Fsw*(QgTop+QgBot)+(RdsonDRT+RdsonDRT2)*Fsw*QgTop*Vdd/(RdsonDRT+2*RGateTop+RdsonDRT2)+(RdsonDRB+RdsonDRB2)*Fsw*QgBot*Vdd/(RdsonDRB+2*RGateBot+RdsonDRB2)</f>
        <v>0.31571422459893</v>
      </c>
      <c r="AI49" s="0" t="n">
        <f aca="false">SUM(AF49:AG49)</f>
        <v>0.41184</v>
      </c>
      <c r="AJ49" s="402" t="n">
        <f aca="false">SUM(N49,Q49,T49,Y49,AE49,AD49,AC49,AI49)</f>
        <v>0.895778308268482</v>
      </c>
      <c r="AK49" s="358" t="n">
        <f aca="false">Vout*H49</f>
        <v>4.8</v>
      </c>
      <c r="AL49" s="359" t="n">
        <f aca="false">AK49/(AK49+AJ49)</f>
        <v>0.842729428747588</v>
      </c>
      <c r="AM49" s="0" t="n">
        <f aca="false">ThetaJaTop*Y49</f>
        <v>1.87809796643027</v>
      </c>
      <c r="AN49" s="0" t="n">
        <f aca="false">AC49*ThetaJaBot</f>
        <v>1.34495204373057</v>
      </c>
      <c r="AO49" s="359"/>
      <c r="AP49" s="0" t="n">
        <f aca="false">AL49*100</f>
        <v>84.2729428747588</v>
      </c>
      <c r="AY49" s="0" t="n">
        <v>9.997009</v>
      </c>
      <c r="AZ49" s="0" t="n">
        <v>8.612</v>
      </c>
      <c r="BA49" s="0" t="n">
        <v>5.108542</v>
      </c>
      <c r="BB49" s="0" t="n">
        <v>91.3463782566589</v>
      </c>
      <c r="BC49" s="0" t="n">
        <v>4167.806561282</v>
      </c>
    </row>
    <row r="50" customFormat="false" ht="12.75" hidden="false" customHeight="false" outlineLevel="0" collapsed="false">
      <c r="A50" s="411" t="s">
        <v>406</v>
      </c>
      <c r="B50" s="343" t="n">
        <f aca="false">RdsonBotTc*1000000</f>
        <v>4000</v>
      </c>
      <c r="C50" s="408" t="s">
        <v>620</v>
      </c>
      <c r="D50" s="409" t="s">
        <v>407</v>
      </c>
      <c r="G50" s="0" t="n">
        <v>41</v>
      </c>
      <c r="H50" s="0" t="n">
        <f aca="false">Iout*(G50/100)</f>
        <v>0.82</v>
      </c>
      <c r="I50" s="0" t="n">
        <f aca="false">(Vout+Rdcr*H50+RdsonBot*H50)/(Vin-RdsonTop*H50+RdsonBot*H50)</f>
        <v>0.334493682350789</v>
      </c>
      <c r="J50" s="0" t="n">
        <f aca="false">(Vin-Vout)*I50/(Fsw*Lout2)</f>
        <v>0.84326138407762</v>
      </c>
      <c r="K50" s="0" t="n">
        <f aca="false">SQRT(H50^2+(J50^2)/12)</f>
        <v>0.855369791468214</v>
      </c>
      <c r="L50" s="0" t="n">
        <f aca="false">(K50^2*Rdcr*(1+Ltc*Ta-Ltc*25))/(1-K50^2*Rdcr*Ltc*ThetaCa)</f>
        <v>0.0168508074391261</v>
      </c>
      <c r="N50" s="356" t="n">
        <f aca="false">L50</f>
        <v>0.0168508074391261</v>
      </c>
      <c r="O50" s="357" t="n">
        <f aca="false">J50/(2*SQRT(3))</f>
        <v>0.243428593547215</v>
      </c>
      <c r="P50" s="357" t="n">
        <f aca="false">RCoutEsr*O50^2</f>
        <v>2.96287400781876E-005</v>
      </c>
      <c r="Q50" s="357" t="n">
        <f aca="false">P50</f>
        <v>2.96287400781876E-005</v>
      </c>
      <c r="R50" s="0" t="n">
        <f aca="false">SQRT(I50)*SQRT(H50^2+(J50^2)/12)</f>
        <v>0.494706786649431</v>
      </c>
      <c r="S50" s="400" t="n">
        <f aca="false">RCinEsr*R50^2</f>
        <v>0.000244734804757005</v>
      </c>
      <c r="T50" s="401" t="n">
        <f aca="false">S50</f>
        <v>0.000244734804757005</v>
      </c>
      <c r="U50" s="0" t="n">
        <f aca="false">SQRT(I50)*SQRT(H50^2+(J50^2)/12)</f>
        <v>0.494706786649431</v>
      </c>
      <c r="V50" s="0" t="n">
        <f aca="false">RdsonTop*U50^2</f>
        <v>0.00122367402378503</v>
      </c>
      <c r="W50" s="0" t="n">
        <f aca="false">(Vin*H50/2)*(Fsw)*(Tr+Tf)</f>
        <v>0.0372933993567236</v>
      </c>
      <c r="X50" s="0" t="n">
        <f aca="false">IF(H50&gt;J50/2,0,ABS(H50-J50/2)*VsdTop*Deadtime*Fsw)</f>
        <v>0</v>
      </c>
      <c r="Y50" s="0" t="n">
        <f aca="false">(X50+W50+V50*(1+RdsonTopTc*Ta-RdsonTopTc*25))/(1-V50*RdsonTopTc*ThetaJaTop)</f>
        <v>0.0385265021564919</v>
      </c>
      <c r="Z50" s="0" t="n">
        <f aca="false">SQRT(1-I50)*SQRT(H50^2+(J50^2)/12)</f>
        <v>0.697798448980341</v>
      </c>
      <c r="AA50" s="0" t="n">
        <f aca="false">RdsonBot*Z50^2</f>
        <v>0.000584307210479244</v>
      </c>
      <c r="AB50" s="0" t="n">
        <f aca="false">2*Deadtime*Fsw*IF(VfdSky&gt;0,0,VsdBot)*(H50+J50/2)</f>
        <v>0.0267695577203567</v>
      </c>
      <c r="AC50" s="0" t="n">
        <f aca="false">(AB50+AA50*(1+RdsonBotTc*Ta-RdsonBotTc*25))/(1-AA50*RdsonBotTc*ThetaJaBot)</f>
        <v>0.0273570619165431</v>
      </c>
      <c r="AD50" s="0" t="n">
        <f aca="false">2*Deadtime*Fsw*IF(VfdSky&gt;0,VfdSky,0)*H50</f>
        <v>0</v>
      </c>
      <c r="AE50" s="0" t="n">
        <f aca="false">IF(QrrSky&gt;0,QrrSky,QrrBot)*Fsw*(Vin-H50*RdsonTop)</f>
        <v>0.40310816</v>
      </c>
      <c r="AF50" s="0" t="n">
        <f aca="false">Iq*Vin</f>
        <v>0.054</v>
      </c>
      <c r="AG50" s="0" t="n">
        <f aca="false">Vin*(QgTop+QgBot)*Fsw</f>
        <v>0.35784</v>
      </c>
      <c r="AH50" s="357" t="n">
        <f aca="false">(Vin-Vdd)*Fsw*(QgTop+QgBot)+(RdsonDRT+RdsonDRT2)*Fsw*QgTop*Vdd/(RdsonDRT+2*RGateTop+RdsonDRT2)+(RdsonDRB+RdsonDRB2)*Fsw*QgBot*Vdd/(RdsonDRB+2*RGateBot+RdsonDRB2)</f>
        <v>0.31571422459893</v>
      </c>
      <c r="AI50" s="0" t="n">
        <f aca="false">SUM(AF50:AG50)</f>
        <v>0.41184</v>
      </c>
      <c r="AJ50" s="402" t="n">
        <f aca="false">SUM(N50,Q50,T50,Y50,AE50,AD50,AC50,AI50)</f>
        <v>0.897956895056996</v>
      </c>
      <c r="AK50" s="358" t="n">
        <f aca="false">Vout*H50</f>
        <v>4.92</v>
      </c>
      <c r="AL50" s="359" t="n">
        <f aca="false">AK50/(AK50+AJ50)</f>
        <v>0.845657691994949</v>
      </c>
      <c r="AM50" s="0" t="n">
        <f aca="false">ThetaJaTop*Y50</f>
        <v>1.92632510782459</v>
      </c>
      <c r="AN50" s="0" t="n">
        <f aca="false">AC50*ThetaJaBot</f>
        <v>1.36785309582715</v>
      </c>
      <c r="AO50" s="359"/>
      <c r="AP50" s="0" t="n">
        <f aca="false">AL50*100</f>
        <v>84.5657691994949</v>
      </c>
      <c r="AY50" s="0" t="n">
        <v>9.996959</v>
      </c>
      <c r="AZ50" s="0" t="n">
        <v>9.523</v>
      </c>
      <c r="BA50" s="0" t="n">
        <v>5.108754</v>
      </c>
      <c r="BB50" s="0" t="n">
        <v>90.5478261916519</v>
      </c>
      <c r="BC50" s="0" t="n">
        <v>5078.581624081</v>
      </c>
    </row>
    <row r="51" customFormat="false" ht="12.75" hidden="false" customHeight="false" outlineLevel="0" collapsed="false">
      <c r="A51" s="411" t="s">
        <v>408</v>
      </c>
      <c r="B51" s="343" t="n">
        <f aca="false">QgBot*1000000000</f>
        <v>20</v>
      </c>
      <c r="C51" s="408" t="s">
        <v>102</v>
      </c>
      <c r="D51" s="409" t="s">
        <v>387</v>
      </c>
      <c r="G51" s="0" t="n">
        <v>42</v>
      </c>
      <c r="H51" s="0" t="n">
        <f aca="false">Iout*(G51/100)</f>
        <v>0.84</v>
      </c>
      <c r="I51" s="0" t="n">
        <f aca="false">(Vout+Rdcr*H51+RdsonBot*H51)/(Vin-RdsonTop*H51+RdsonBot*H51)</f>
        <v>0.334521988565972</v>
      </c>
      <c r="J51" s="0" t="n">
        <f aca="false">(Vin-Vout)*I51/(Fsw*Lout2)</f>
        <v>0.843332744283964</v>
      </c>
      <c r="K51" s="0" t="n">
        <f aca="false">SQRT(H51^2+(J51^2)/12)</f>
        <v>0.874567041340148</v>
      </c>
      <c r="L51" s="0" t="n">
        <f aca="false">(K51^2*Rdcr*(1+Ltc*Ta-Ltc*25))/(1-K51^2*Rdcr*Ltc*ThetaCa)</f>
        <v>0.0176167457620542</v>
      </c>
      <c r="N51" s="356" t="n">
        <f aca="false">L51</f>
        <v>0.0176167457620542</v>
      </c>
      <c r="O51" s="357" t="n">
        <f aca="false">J51/(2*SQRT(3))</f>
        <v>0.243449193464386</v>
      </c>
      <c r="P51" s="357" t="n">
        <f aca="false">RCoutEsr*O51^2</f>
        <v>2.96337548992301E-005</v>
      </c>
      <c r="Q51" s="357" t="n">
        <f aca="false">P51</f>
        <v>2.96337548992301E-005</v>
      </c>
      <c r="R51" s="0" t="n">
        <f aca="false">SQRT(I51)*SQRT(H51^2+(J51^2)/12)</f>
        <v>0.505830999808517</v>
      </c>
      <c r="S51" s="400" t="n">
        <f aca="false">RCinEsr*R51^2</f>
        <v>0.000255865000367284</v>
      </c>
      <c r="T51" s="401" t="n">
        <f aca="false">S51</f>
        <v>0.000255865000367284</v>
      </c>
      <c r="U51" s="0" t="n">
        <f aca="false">SQRT(I51)*SQRT(H51^2+(J51^2)/12)</f>
        <v>0.505830999808517</v>
      </c>
      <c r="V51" s="0" t="n">
        <f aca="false">RdsonTop*U51^2</f>
        <v>0.00127932500183642</v>
      </c>
      <c r="W51" s="0" t="n">
        <f aca="false">(Vin*H51/2)*(Fsw)*(Tr+Tf)</f>
        <v>0.0382029944629852</v>
      </c>
      <c r="X51" s="0" t="n">
        <f aca="false">IF(H51&gt;J51/2,0,ABS(H51-J51/2)*VsdTop*Deadtime*Fsw)</f>
        <v>0</v>
      </c>
      <c r="Y51" s="0" t="n">
        <f aca="false">(X51+W51+V51*(1+RdsonTopTc*Ta-RdsonTopTc*25))/(1-V51*RdsonTopTc*ThetaJaTop)</f>
        <v>0.0394924241939525</v>
      </c>
      <c r="Z51" s="0" t="n">
        <f aca="false">SQRT(1-I51)*SQRT(H51^2+(J51^2)/12)</f>
        <v>0.7134441179456</v>
      </c>
      <c r="AA51" s="0" t="n">
        <f aca="false">RdsonBot*Z51^2</f>
        <v>0.000610803011317411</v>
      </c>
      <c r="AB51" s="0" t="n">
        <f aca="false">2*Deadtime*Fsw*IF(VfdSky&gt;0,0,VsdBot)*(H51+J51/2)</f>
        <v>0.0272015269833811</v>
      </c>
      <c r="AC51" s="0" t="n">
        <f aca="false">(AB51+AA51*(1+RdsonBotTc*Ta-RdsonBotTc*25))/(1-AA51*RdsonBotTc*ThetaJaBot)</f>
        <v>0.0278157279807811</v>
      </c>
      <c r="AD51" s="0" t="n">
        <f aca="false">2*Deadtime*Fsw*IF(VfdSky&gt;0,VfdSky,0)*H51</f>
        <v>0</v>
      </c>
      <c r="AE51" s="0" t="n">
        <f aca="false">IF(QrrSky&gt;0,QrrSky,QrrBot)*Fsw*(Vin-H51*RdsonTop)</f>
        <v>0.40310592</v>
      </c>
      <c r="AF51" s="0" t="n">
        <f aca="false">Iq*Vin</f>
        <v>0.054</v>
      </c>
      <c r="AG51" s="0" t="n">
        <f aca="false">Vin*(QgTop+QgBot)*Fsw</f>
        <v>0.35784</v>
      </c>
      <c r="AH51" s="357" t="n">
        <f aca="false">(Vin-Vdd)*Fsw*(QgTop+QgBot)+(RdsonDRT+RdsonDRT2)*Fsw*QgTop*Vdd/(RdsonDRT+2*RGateTop+RdsonDRT2)+(RdsonDRB+RdsonDRB2)*Fsw*QgBot*Vdd/(RdsonDRB+2*RGateBot+RdsonDRB2)</f>
        <v>0.31571422459893</v>
      </c>
      <c r="AI51" s="0" t="n">
        <f aca="false">SUM(AF51:AG51)</f>
        <v>0.41184</v>
      </c>
      <c r="AJ51" s="402" t="n">
        <f aca="false">SUM(N51,Q51,T51,Y51,AE51,AD51,AC51,AI51)</f>
        <v>0.900156316692054</v>
      </c>
      <c r="AK51" s="358" t="n">
        <f aca="false">Vout*H51</f>
        <v>5.04</v>
      </c>
      <c r="AL51" s="359" t="n">
        <f aca="false">AK51/(AK51+AJ51)</f>
        <v>0.848462520394862</v>
      </c>
      <c r="AM51" s="0" t="n">
        <f aca="false">ThetaJaTop*Y51</f>
        <v>1.97462120969762</v>
      </c>
      <c r="AN51" s="0" t="n">
        <f aca="false">AC51*ThetaJaBot</f>
        <v>1.39078639903905</v>
      </c>
      <c r="AO51" s="359"/>
      <c r="AP51" s="0" t="n">
        <f aca="false">AL51*100</f>
        <v>84.8462520394862</v>
      </c>
      <c r="AY51" s="0" t="n">
        <v>9.996464</v>
      </c>
      <c r="AZ51" s="0" t="n">
        <v>10.493</v>
      </c>
      <c r="BA51" s="0" t="n">
        <v>5.109228</v>
      </c>
      <c r="BB51" s="0" t="n">
        <v>89.6266602591066</v>
      </c>
      <c r="BC51" s="0" t="n">
        <v>6204.922158544</v>
      </c>
    </row>
    <row r="52" customFormat="false" ht="12.75" hidden="false" customHeight="false" outlineLevel="0" collapsed="false">
      <c r="A52" s="411" t="s">
        <v>409</v>
      </c>
      <c r="B52" s="343" t="n">
        <f aca="false">RGateBot</f>
        <v>1</v>
      </c>
      <c r="C52" s="408" t="s">
        <v>228</v>
      </c>
      <c r="D52" s="409" t="s">
        <v>392</v>
      </c>
      <c r="G52" s="0" t="n">
        <v>43</v>
      </c>
      <c r="H52" s="0" t="n">
        <f aca="false">Iout*(G52/100)</f>
        <v>0.86</v>
      </c>
      <c r="I52" s="0" t="n">
        <f aca="false">(Vout+Rdcr*H52+RdsonBot*H52)/(Vin-RdsonTop*H52+RdsonBot*H52)</f>
        <v>0.334550295020229</v>
      </c>
      <c r="J52" s="0" t="n">
        <f aca="false">(Vin-Vout)*I52/(Fsw*Lout2)</f>
        <v>0.843404105093015</v>
      </c>
      <c r="K52" s="0" t="n">
        <f aca="false">SQRT(H52^2+(J52^2)/12)</f>
        <v>0.893799496740728</v>
      </c>
      <c r="L52" s="0" t="n">
        <f aca="false">(K52^2*Rdcr*(1+Ltc*Ta-Ltc*25))/(1-K52^2*Rdcr*Ltc*ThetaCa)</f>
        <v>0.0184012320376232</v>
      </c>
      <c r="N52" s="356" t="n">
        <f aca="false">L52</f>
        <v>0.0184012320376232</v>
      </c>
      <c r="O52" s="357" t="n">
        <f aca="false">J52/(2*SQRT(3))</f>
        <v>0.243469793555544</v>
      </c>
      <c r="P52" s="357" t="n">
        <f aca="false">RCoutEsr*O52^2</f>
        <v>2.96387701869896E-005</v>
      </c>
      <c r="Q52" s="357" t="n">
        <f aca="false">P52</f>
        <v>2.96387701869896E-005</v>
      </c>
      <c r="R52" s="0" t="n">
        <f aca="false">SQRT(I52)*SQRT(H52^2+(J52^2)/12)</f>
        <v>0.51697651476363</v>
      </c>
      <c r="S52" s="400" t="n">
        <f aca="false">RCinEsr*R52^2</f>
        <v>0.00026726471681715</v>
      </c>
      <c r="T52" s="401" t="n">
        <f aca="false">S52</f>
        <v>0.00026726471681715</v>
      </c>
      <c r="U52" s="0" t="n">
        <f aca="false">SQRT(I52)*SQRT(H52^2+(J52^2)/12)</f>
        <v>0.51697651476363</v>
      </c>
      <c r="V52" s="0" t="n">
        <f aca="false">RdsonTop*U52^2</f>
        <v>0.00133632358408575</v>
      </c>
      <c r="W52" s="0" t="n">
        <f aca="false">(Vin*H52/2)*(Fsw)*(Tr+Tf)</f>
        <v>0.0391125895692467</v>
      </c>
      <c r="X52" s="0" t="n">
        <f aca="false">IF(H52&gt;J52/2,0,ABS(H52-J52/2)*VsdTop*Deadtime*Fsw)</f>
        <v>0</v>
      </c>
      <c r="Y52" s="0" t="n">
        <f aca="false">(X52+W52+V52*(1+RdsonTopTc*Ta-RdsonTopTc*25))/(1-V52*RdsonTopTc*ThetaJaTop)</f>
        <v>0.0404597266107076</v>
      </c>
      <c r="Z52" s="0" t="n">
        <f aca="false">SQRT(1-I52)*SQRT(H52^2+(J52^2)/12)</f>
        <v>0.729117839280338</v>
      </c>
      <c r="AA52" s="0" t="n">
        <f aca="false">RdsonBot*Z52^2</f>
        <v>0.000637935388268195</v>
      </c>
      <c r="AB52" s="0" t="n">
        <f aca="false">2*Deadtime*Fsw*IF(VfdSky&gt;0,0,VsdBot)*(H52+J52/2)</f>
        <v>0.0276334962529027</v>
      </c>
      <c r="AC52" s="0" t="n">
        <f aca="false">(AB52+AA52*(1+RdsonBotTc*Ta-RdsonBotTc*25))/(1-AA52*RdsonBotTc*ThetaJaBot)</f>
        <v>0.0282750391707892</v>
      </c>
      <c r="AD52" s="0" t="n">
        <f aca="false">2*Deadtime*Fsw*IF(VfdSky&gt;0,VfdSky,0)*H52</f>
        <v>0</v>
      </c>
      <c r="AE52" s="0" t="n">
        <f aca="false">IF(QrrSky&gt;0,QrrSky,QrrBot)*Fsw*(Vin-H52*RdsonTop)</f>
        <v>0.40310368</v>
      </c>
      <c r="AF52" s="0" t="n">
        <f aca="false">Iq*Vin</f>
        <v>0.054</v>
      </c>
      <c r="AG52" s="0" t="n">
        <f aca="false">Vin*(QgTop+QgBot)*Fsw</f>
        <v>0.35784</v>
      </c>
      <c r="AH52" s="357" t="n">
        <f aca="false">(Vin-Vdd)*Fsw*(QgTop+QgBot)+(RdsonDRT+RdsonDRT2)*Fsw*QgTop*Vdd/(RdsonDRT+2*RGateTop+RdsonDRT2)+(RdsonDRB+RdsonDRB2)*Fsw*QgBot*Vdd/(RdsonDRB+2*RGateBot+RdsonDRB2)</f>
        <v>0.31571422459893</v>
      </c>
      <c r="AI52" s="0" t="n">
        <f aca="false">SUM(AF52:AG52)</f>
        <v>0.41184</v>
      </c>
      <c r="AJ52" s="402" t="n">
        <f aca="false">SUM(N52,Q52,T52,Y52,AE52,AD52,AC52,AI52)</f>
        <v>0.902376581306124</v>
      </c>
      <c r="AK52" s="358" t="n">
        <f aca="false">Vout*H52</f>
        <v>5.16</v>
      </c>
      <c r="AL52" s="359" t="n">
        <f aca="false">AK52/(AK52+AJ52)</f>
        <v>0.851151348121678</v>
      </c>
      <c r="AM52" s="0" t="n">
        <f aca="false">ThetaJaTop*Y52</f>
        <v>2.02298633053538</v>
      </c>
      <c r="AN52" s="0" t="n">
        <f aca="false">AC52*ThetaJaBot</f>
        <v>1.41375195853946</v>
      </c>
      <c r="AO52" s="359"/>
      <c r="AP52" s="0" t="n">
        <f aca="false">AL52*100</f>
        <v>85.1151348121678</v>
      </c>
      <c r="AY52" s="0" t="n">
        <v>9.995982</v>
      </c>
      <c r="AZ52" s="0" t="n">
        <v>11.519</v>
      </c>
      <c r="BA52" s="0" t="n">
        <v>5.110126</v>
      </c>
      <c r="BB52" s="0" t="n">
        <v>88.5913904202203</v>
      </c>
      <c r="BC52" s="0" t="n">
        <v>7580.320730974</v>
      </c>
    </row>
    <row r="53" customFormat="false" ht="12.75" hidden="false" customHeight="false" outlineLevel="0" collapsed="false">
      <c r="A53" s="411" t="s">
        <v>410</v>
      </c>
      <c r="B53" s="343" t="n">
        <f aca="false">VsdBot</f>
        <v>0.77</v>
      </c>
      <c r="C53" s="408" t="s">
        <v>9</v>
      </c>
      <c r="D53" s="409" t="s">
        <v>411</v>
      </c>
      <c r="G53" s="0" t="n">
        <v>44</v>
      </c>
      <c r="H53" s="0" t="n">
        <f aca="false">Iout*(G53/100)</f>
        <v>0.88</v>
      </c>
      <c r="I53" s="0" t="n">
        <f aca="false">(Vout+Rdcr*H53+RdsonBot*H53)/(Vin-RdsonTop*H53+RdsonBot*H53)</f>
        <v>0.334578601713563</v>
      </c>
      <c r="J53" s="0" t="n">
        <f aca="false">(Vin-Vout)*I53/(Fsw*Lout2)</f>
        <v>0.84347546650478</v>
      </c>
      <c r="K53" s="0" t="n">
        <f aca="false">SQRT(H53^2+(J53^2)/12)</f>
        <v>0.913064933004742</v>
      </c>
      <c r="L53" s="0" t="n">
        <f aca="false">(K53^2*Rdcr*(1+Ltc*Ta-Ltc*25))/(1-K53^2*Rdcr*Ltc*ThetaCa)</f>
        <v>0.0192042732229078</v>
      </c>
      <c r="N53" s="356" t="n">
        <f aca="false">L53</f>
        <v>0.0192042732229078</v>
      </c>
      <c r="O53" s="357" t="n">
        <f aca="false">J53/(2*SQRT(3))</f>
        <v>0.24349039382069</v>
      </c>
      <c r="P53" s="357" t="n">
        <f aca="false">RCoutEsr*O53^2</f>
        <v>2.96437859414774E-005</v>
      </c>
      <c r="Q53" s="357" t="n">
        <f aca="false">P53</f>
        <v>2.96437859414774E-005</v>
      </c>
      <c r="R53" s="0" t="n">
        <f aca="false">SQRT(I53)*SQRT(H53^2+(J53^2)/12)</f>
        <v>0.528142047243518</v>
      </c>
      <c r="S53" s="400" t="n">
        <f aca="false">RCinEsr*R53^2</f>
        <v>0.000278934022066574</v>
      </c>
      <c r="T53" s="401" t="n">
        <f aca="false">S53</f>
        <v>0.000278934022066574</v>
      </c>
      <c r="U53" s="0" t="n">
        <f aca="false">SQRT(I53)*SQRT(H53^2+(J53^2)/12)</f>
        <v>0.528142047243518</v>
      </c>
      <c r="V53" s="0" t="n">
        <f aca="false">RdsonTop*U53^2</f>
        <v>0.00139467011033287</v>
      </c>
      <c r="W53" s="0" t="n">
        <f aca="false">(Vin*H53/2)*(Fsw)*(Tr+Tf)</f>
        <v>0.0400221846755083</v>
      </c>
      <c r="X53" s="0" t="n">
        <f aca="false">IF(H53&gt;J53/2,0,ABS(H53-J53/2)*VsdTop*Deadtime*Fsw)</f>
        <v>0</v>
      </c>
      <c r="Y53" s="0" t="n">
        <f aca="false">(X53+W53+V53*(1+RdsonTopTc*Ta-RdsonTopTc*25))/(1-V53*RdsonTopTc*ThetaJaTop)</f>
        <v>0.0414284105790318</v>
      </c>
      <c r="Z53" s="0" t="n">
        <f aca="false">SQRT(1-I53)*SQRT(H53^2+(J53^2)/12)</f>
        <v>0.74481779638807</v>
      </c>
      <c r="AA53" s="0" t="n">
        <f aca="false">RdsonBot*Z53^2</f>
        <v>0.000665704259779657</v>
      </c>
      <c r="AB53" s="0" t="n">
        <f aca="false">2*Deadtime*Fsw*IF(VfdSky&gt;0,0,VsdBot)*(H53+J53/2)</f>
        <v>0.0280654655289215</v>
      </c>
      <c r="AC53" s="0" t="n">
        <f aca="false">(AB53+AA53*(1+RdsonBotTc*Ta-RdsonBotTc*25))/(1-AA53*RdsonBotTc*ThetaJaBot)</f>
        <v>0.0287349955904951</v>
      </c>
      <c r="AD53" s="0" t="n">
        <f aca="false">2*Deadtime*Fsw*IF(VfdSky&gt;0,VfdSky,0)*H53</f>
        <v>0</v>
      </c>
      <c r="AE53" s="0" t="n">
        <f aca="false">IF(QrrSky&gt;0,QrrSky,QrrBot)*Fsw*(Vin-H53*RdsonTop)</f>
        <v>0.40310144</v>
      </c>
      <c r="AF53" s="0" t="n">
        <f aca="false">Iq*Vin</f>
        <v>0.054</v>
      </c>
      <c r="AG53" s="0" t="n">
        <f aca="false">Vin*(QgTop+QgBot)*Fsw</f>
        <v>0.35784</v>
      </c>
      <c r="AH53" s="357" t="n">
        <f aca="false">(Vin-Vdd)*Fsw*(QgTop+QgBot)+(RdsonDRT+RdsonDRT2)*Fsw*QgTop*Vdd/(RdsonDRT+2*RGateTop+RdsonDRT2)+(RdsonDRB+RdsonDRB2)*Fsw*QgBot*Vdd/(RdsonDRB+2*RGateBot+RdsonDRB2)</f>
        <v>0.31571422459893</v>
      </c>
      <c r="AI53" s="0" t="n">
        <f aca="false">SUM(AF53:AG53)</f>
        <v>0.41184</v>
      </c>
      <c r="AJ53" s="402" t="n">
        <f aca="false">SUM(N53,Q53,T53,Y53,AE53,AD53,AC53,AI53)</f>
        <v>0.904617697200443</v>
      </c>
      <c r="AK53" s="358" t="n">
        <f aca="false">Vout*H53</f>
        <v>5.28</v>
      </c>
      <c r="AL53" s="359" t="n">
        <f aca="false">AK53/(AK53+AJ53)</f>
        <v>0.853731024051829</v>
      </c>
      <c r="AM53" s="0" t="n">
        <f aca="false">ThetaJaTop*Y53</f>
        <v>2.07142052895159</v>
      </c>
      <c r="AN53" s="0" t="n">
        <f aca="false">AC53*ThetaJaBot</f>
        <v>1.43674977952475</v>
      </c>
      <c r="AO53" s="359"/>
      <c r="AP53" s="0" t="n">
        <f aca="false">AL53*100</f>
        <v>85.3731024051829</v>
      </c>
      <c r="AY53" s="0" t="n">
        <v>9.995574</v>
      </c>
      <c r="AZ53" s="0" t="n">
        <v>12.605</v>
      </c>
      <c r="BA53" s="0" t="n">
        <v>5.111198</v>
      </c>
      <c r="BB53" s="0" t="n">
        <v>87.3865080982905</v>
      </c>
      <c r="BC53" s="0" t="n">
        <v>9299.433596102</v>
      </c>
    </row>
    <row r="54" customFormat="false" ht="12.75" hidden="false" customHeight="false" outlineLevel="0" collapsed="false">
      <c r="A54" s="411" t="s">
        <v>412</v>
      </c>
      <c r="B54" s="343" t="n">
        <f aca="false">QrrBot*1000000000</f>
        <v>32</v>
      </c>
      <c r="C54" s="408" t="s">
        <v>102</v>
      </c>
      <c r="D54" s="409" t="s">
        <v>413</v>
      </c>
      <c r="E54" s="254"/>
      <c r="G54" s="0" t="n">
        <v>45</v>
      </c>
      <c r="H54" s="0" t="n">
        <f aca="false">Iout*(G54/100)</f>
        <v>0.9</v>
      </c>
      <c r="I54" s="0" t="n">
        <f aca="false">(Vout+Rdcr*H54+RdsonBot*H54)/(Vin-RdsonTop*H54+RdsonBot*H54)</f>
        <v>0.334606908645976</v>
      </c>
      <c r="J54" s="0" t="n">
        <f aca="false">(Vin-Vout)*I54/(Fsw*Lout2)</f>
        <v>0.843546828519267</v>
      </c>
      <c r="K54" s="0" t="n">
        <f aca="false">SQRT(H54^2+(J54^2)/12)</f>
        <v>0.932361305677906</v>
      </c>
      <c r="L54" s="0" t="n">
        <f aca="false">(K54^2*Rdcr*(1+Ltc*Ta-Ltc*25))/(1-K54^2*Rdcr*Ltc*ThetaCa)</f>
        <v>0.0200258764408872</v>
      </c>
      <c r="N54" s="356" t="n">
        <f aca="false">L54</f>
        <v>0.0200258764408872</v>
      </c>
      <c r="O54" s="357" t="n">
        <f aca="false">J54/(2*SQRT(3))</f>
        <v>0.243510994259827</v>
      </c>
      <c r="P54" s="357" t="n">
        <f aca="false">RCoutEsr*O54^2</f>
        <v>2.96488021627048E-005</v>
      </c>
      <c r="Q54" s="357" t="n">
        <f aca="false">P54</f>
        <v>2.96488021627048E-005</v>
      </c>
      <c r="R54" s="0" t="n">
        <f aca="false">SQRT(I54)*SQRT(H54^2+(J54^2)/12)</f>
        <v>0.539326417002429</v>
      </c>
      <c r="S54" s="400" t="n">
        <f aca="false">RCinEsr*R54^2</f>
        <v>0.000290872984076678</v>
      </c>
      <c r="T54" s="401" t="n">
        <f aca="false">S54</f>
        <v>0.000290872984076678</v>
      </c>
      <c r="U54" s="0" t="n">
        <f aca="false">SQRT(I54)*SQRT(H54^2+(J54^2)/12)</f>
        <v>0.539326417002429</v>
      </c>
      <c r="V54" s="0" t="n">
        <f aca="false">RdsonTop*U54^2</f>
        <v>0.00145436492038339</v>
      </c>
      <c r="W54" s="0" t="n">
        <f aca="false">(Vin*H54/2)*(Fsw)*(Tr+Tf)</f>
        <v>0.0409317797817698</v>
      </c>
      <c r="X54" s="0" t="n">
        <f aca="false">IF(H54&gt;J54/2,0,ABS(H54-J54/2)*VsdTop*Deadtime*Fsw)</f>
        <v>0</v>
      </c>
      <c r="Y54" s="0" t="n">
        <f aca="false">(X54+W54+V54*(1+RdsonTopTc*Ta-RdsonTopTc*25))/(1-V54*RdsonTopTc*ThetaJaTop)</f>
        <v>0.0423984772737581</v>
      </c>
      <c r="Z54" s="0" t="n">
        <f aca="false">SQRT(1-I54)*SQRT(H54^2+(J54^2)/12)</f>
        <v>0.76054231982759</v>
      </c>
      <c r="AA54" s="0" t="n">
        <f aca="false">RdsonBot*Z54^2</f>
        <v>0.000694109544298478</v>
      </c>
      <c r="AB54" s="0" t="n">
        <f aca="false">2*Deadtime*Fsw*IF(VfdSky&gt;0,0,VsdBot)*(H54+J54/2)</f>
        <v>0.0284974348114377</v>
      </c>
      <c r="AC54" s="0" t="n">
        <f aca="false">(AB54+AA54*(1+RdsonBotTc*Ta-RdsonBotTc*25))/(1-AA54*RdsonBotTc*ThetaJaBot)</f>
        <v>0.0291955973442898</v>
      </c>
      <c r="AD54" s="0" t="n">
        <f aca="false">2*Deadtime*Fsw*IF(VfdSky&gt;0,VfdSky,0)*H54</f>
        <v>0</v>
      </c>
      <c r="AE54" s="0" t="n">
        <f aca="false">IF(QrrSky&gt;0,QrrSky,QrrBot)*Fsw*(Vin-H54*RdsonTop)</f>
        <v>0.4030992</v>
      </c>
      <c r="AF54" s="0" t="n">
        <f aca="false">Iq*Vin</f>
        <v>0.054</v>
      </c>
      <c r="AG54" s="0" t="n">
        <f aca="false">Vin*(QgTop+QgBot)*Fsw</f>
        <v>0.35784</v>
      </c>
      <c r="AH54" s="357" t="n">
        <f aca="false">(Vin-Vdd)*Fsw*(QgTop+QgBot)+(RdsonDRT+RdsonDRT2)*Fsw*QgTop*Vdd/(RdsonDRT+2*RGateTop+RdsonDRT2)+(RdsonDRB+RdsonDRB2)*Fsw*QgBot*Vdd/(RdsonDRB+2*RGateBot+RdsonDRB2)</f>
        <v>0.31571422459893</v>
      </c>
      <c r="AI54" s="0" t="n">
        <f aca="false">SUM(AF54:AG54)</f>
        <v>0.41184</v>
      </c>
      <c r="AJ54" s="402" t="n">
        <f aca="false">SUM(N54,Q54,T54,Y54,AE54,AD54,AC54,AI54)</f>
        <v>0.906879672845175</v>
      </c>
      <c r="AK54" s="358" t="n">
        <f aca="false">Vout*H54</f>
        <v>5.4</v>
      </c>
      <c r="AL54" s="359" t="n">
        <f aca="false">AK54/(AK54+AJ54)</f>
        <v>0.85620786825063</v>
      </c>
      <c r="AM54" s="0" t="n">
        <f aca="false">ThetaJaTop*Y54</f>
        <v>2.11992386368791</v>
      </c>
      <c r="AN54" s="0" t="n">
        <f aca="false">AC54*ThetaJaBot</f>
        <v>1.45977986721449</v>
      </c>
      <c r="AO54" s="359"/>
      <c r="AP54" s="0" t="n">
        <f aca="false">AL54*100</f>
        <v>85.620786825063</v>
      </c>
      <c r="AY54" s="0" t="n">
        <v>9.994967</v>
      </c>
      <c r="AZ54" s="0" t="n">
        <v>13.75</v>
      </c>
      <c r="BA54" s="0" t="n">
        <v>5.112233</v>
      </c>
      <c r="BB54" s="0" t="n">
        <v>85.985113444925</v>
      </c>
      <c r="BC54" s="0" t="n">
        <v>11457.23053772</v>
      </c>
    </row>
    <row r="55" customFormat="false" ht="12.75" hidden="false" customHeight="false" outlineLevel="0" collapsed="false">
      <c r="A55" s="411" t="s">
        <v>414</v>
      </c>
      <c r="B55" s="343" t="n">
        <f aca="false">TrrBot*1000000000</f>
        <v>40</v>
      </c>
      <c r="C55" s="408" t="s">
        <v>635</v>
      </c>
      <c r="D55" s="432" t="s">
        <v>415</v>
      </c>
      <c r="E55" s="254"/>
      <c r="G55" s="0" t="n">
        <v>46</v>
      </c>
      <c r="H55" s="0" t="n">
        <f aca="false">Iout*(G55/100)</f>
        <v>0.92</v>
      </c>
      <c r="I55" s="0" t="n">
        <f aca="false">(Vout+Rdcr*H55+RdsonBot*H55)/(Vin-RdsonTop*H55+RdsonBot*H55)</f>
        <v>0.334635215817472</v>
      </c>
      <c r="J55" s="0" t="n">
        <f aca="false">(Vin-Vout)*I55/(Fsw*Lout2)</f>
        <v>0.843618191136484</v>
      </c>
      <c r="K55" s="0" t="n">
        <f aca="false">SQRT(H55^2+(J55^2)/12)</f>
        <v>0.95168673296488</v>
      </c>
      <c r="L55" s="0" t="n">
        <f aca="false">(K55^2*Rdcr*(1+Ltc*Ta-Ltc*25))/(1-K55^2*Rdcr*Ltc*ThetaCa)</f>
        <v>0.0208660489806033</v>
      </c>
      <c r="N55" s="356" t="n">
        <f aca="false">L55</f>
        <v>0.0208660489806033</v>
      </c>
      <c r="O55" s="357" t="n">
        <f aca="false">J55/(2*SQRT(3))</f>
        <v>0.243531594872957</v>
      </c>
      <c r="P55" s="357" t="n">
        <f aca="false">RCoutEsr*O55^2</f>
        <v>2.96538188506831E-005</v>
      </c>
      <c r="Q55" s="357" t="n">
        <f aca="false">P55</f>
        <v>2.96538188506831E-005</v>
      </c>
      <c r="R55" s="0" t="n">
        <f aca="false">SQRT(I55)*SQRT(H55^2+(J55^2)/12)</f>
        <v>0.550528537688765</v>
      </c>
      <c r="S55" s="400" t="n">
        <f aca="false">RCinEsr*R55^2</f>
        <v>0.000303081670809729</v>
      </c>
      <c r="T55" s="401" t="n">
        <f aca="false">S55</f>
        <v>0.000303081670809729</v>
      </c>
      <c r="U55" s="0" t="n">
        <f aca="false">SQRT(I55)*SQRT(H55^2+(J55^2)/12)</f>
        <v>0.550528537688765</v>
      </c>
      <c r="V55" s="0" t="n">
        <f aca="false">RdsonTop*U55^2</f>
        <v>0.00151540835404865</v>
      </c>
      <c r="W55" s="0" t="n">
        <f aca="false">(Vin*H55/2)*(Fsw)*(Tr+Tf)</f>
        <v>0.0418413748880314</v>
      </c>
      <c r="X55" s="0" t="n">
        <f aca="false">IF(H55&gt;J55/2,0,ABS(H55-J55/2)*VsdTop*Deadtime*Fsw)</f>
        <v>0</v>
      </c>
      <c r="Y55" s="0" t="n">
        <f aca="false">(X55+W55+V55*(1+RdsonTopTc*Ta-RdsonTopTc*25))/(1-V55*RdsonTopTc*ThetaJaTop)</f>
        <v>0.0433699278722825</v>
      </c>
      <c r="Z55" s="0" t="n">
        <f aca="false">SQRT(1-I55)*SQRT(H55^2+(J55^2)/12)</f>
        <v>0.776289872980214</v>
      </c>
      <c r="AA55" s="0" t="n">
        <f aca="false">RdsonBot*Z55^2</f>
        <v>0.000723151160269964</v>
      </c>
      <c r="AB55" s="0" t="n">
        <f aca="false">2*Deadtime*Fsw*IF(VfdSky&gt;0,0,VsdBot)*(H55+J55/2)</f>
        <v>0.0289294041004513</v>
      </c>
      <c r="AC55" s="0" t="n">
        <f aca="false">(AB55+AA55*(1+RdsonBotTc*Ta-RdsonBotTc*25))/(1-AA55*RdsonBotTc*ThetaJaBot)</f>
        <v>0.0296568445370286</v>
      </c>
      <c r="AD55" s="0" t="n">
        <f aca="false">2*Deadtime*Fsw*IF(VfdSky&gt;0,VfdSky,0)*H55</f>
        <v>0</v>
      </c>
      <c r="AE55" s="0" t="n">
        <f aca="false">IF(QrrSky&gt;0,QrrSky,QrrBot)*Fsw*(Vin-H55*RdsonTop)</f>
        <v>0.40309696</v>
      </c>
      <c r="AF55" s="0" t="n">
        <f aca="false">Iq*Vin</f>
        <v>0.054</v>
      </c>
      <c r="AG55" s="0" t="n">
        <f aca="false">Vin*(QgTop+QgBot)*Fsw</f>
        <v>0.35784</v>
      </c>
      <c r="AH55" s="357" t="n">
        <f aca="false">(Vin-Vdd)*Fsw*(QgTop+QgBot)+(RdsonDRT+RdsonDRT2)*Fsw*QgTop*Vdd/(RdsonDRT+2*RGateTop+RdsonDRT2)+(RdsonDRB+RdsonDRB2)*Fsw*QgBot*Vdd/(RdsonDRB+2*RGateBot+RdsonDRB2)</f>
        <v>0.31571422459893</v>
      </c>
      <c r="AI55" s="0" t="n">
        <f aca="false">SUM(AF55:AG55)</f>
        <v>0.41184</v>
      </c>
      <c r="AJ55" s="402" t="n">
        <f aca="false">SUM(N55,Q55,T55,Y55,AE55,AD55,AC55,AI55)</f>
        <v>0.909162516879575</v>
      </c>
      <c r="AK55" s="358" t="n">
        <f aca="false">Vout*H55</f>
        <v>5.52</v>
      </c>
      <c r="AL55" s="359" t="n">
        <f aca="false">AK55/(AK55+AJ55)</f>
        <v>0.858587722041153</v>
      </c>
      <c r="AM55" s="0" t="n">
        <f aca="false">ThetaJaTop*Y55</f>
        <v>2.16849639361412</v>
      </c>
      <c r="AN55" s="0" t="n">
        <f aca="false">AC55*ThetaJaBot</f>
        <v>1.48284222685143</v>
      </c>
      <c r="AO55" s="359"/>
      <c r="AP55" s="0" t="n">
        <f aca="false">AL55*100</f>
        <v>85.8587722041153</v>
      </c>
      <c r="AY55" s="0" t="n">
        <v>9.994386</v>
      </c>
      <c r="AZ55" s="0" t="n">
        <v>14.954</v>
      </c>
      <c r="BA55" s="0" t="n">
        <v>5.113031</v>
      </c>
      <c r="BB55" s="0" t="n">
        <v>84.3526502645786</v>
      </c>
      <c r="BC55" s="0" t="n">
        <v>14183.3185337</v>
      </c>
    </row>
    <row r="56" customFormat="false" ht="12.75" hidden="false" customHeight="false" outlineLevel="0" collapsed="false">
      <c r="A56" s="411" t="s">
        <v>416</v>
      </c>
      <c r="B56" s="343" t="n">
        <f aca="false">ThetaJaBot</f>
        <v>50</v>
      </c>
      <c r="C56" s="408" t="s">
        <v>621</v>
      </c>
      <c r="D56" s="432" t="s">
        <v>402</v>
      </c>
      <c r="E56" s="329"/>
      <c r="G56" s="0" t="n">
        <v>47</v>
      </c>
      <c r="H56" s="0" t="n">
        <f aca="false">Iout*(G56/100)</f>
        <v>0.94</v>
      </c>
      <c r="I56" s="0" t="n">
        <f aca="false">(Vout+Rdcr*H56+RdsonBot*H56)/(Vin-RdsonTop*H56+RdsonBot*H56)</f>
        <v>0.334663523228054</v>
      </c>
      <c r="J56" s="0" t="n">
        <f aca="false">(Vin-Vout)*I56/(Fsw*Lout2)</f>
        <v>0.843689554356438</v>
      </c>
      <c r="K56" s="0" t="n">
        <f aca="false">SQRT(H56^2+(J56^2)/12)</f>
        <v>0.971039480150445</v>
      </c>
      <c r="L56" s="0" t="n">
        <f aca="false">(K56^2*Rdcr*(1+Ltc*Ta-Ltc*25))/(1-K56^2*Rdcr*Ltc*ThetaCa)</f>
        <v>0.0217247982973226</v>
      </c>
      <c r="N56" s="356" t="n">
        <f aca="false">L56</f>
        <v>0.0217247982973226</v>
      </c>
      <c r="O56" s="357" t="n">
        <f aca="false">J56/(2*SQRT(3))</f>
        <v>0.243552195660083</v>
      </c>
      <c r="P56" s="357" t="n">
        <f aca="false">RCoutEsr*O56^2</f>
        <v>2.96588360054236E-005</v>
      </c>
      <c r="Q56" s="357" t="n">
        <f aca="false">P56</f>
        <v>2.96588360054236E-005</v>
      </c>
      <c r="R56" s="0" t="n">
        <f aca="false">SQRT(I56)*SQRT(H56^2+(J56^2)/12)</f>
        <v>0.561747407852626</v>
      </c>
      <c r="S56" s="400" t="n">
        <f aca="false">RCinEsr*R56^2</f>
        <v>0.000315560150229145</v>
      </c>
      <c r="T56" s="401" t="n">
        <f aca="false">S56</f>
        <v>0.000315560150229145</v>
      </c>
      <c r="U56" s="0" t="n">
        <f aca="false">SQRT(I56)*SQRT(H56^2+(J56^2)/12)</f>
        <v>0.561747407852626</v>
      </c>
      <c r="V56" s="0" t="n">
        <f aca="false">RdsonTop*U56^2</f>
        <v>0.00157780075114572</v>
      </c>
      <c r="W56" s="0" t="n">
        <f aca="false">(Vin*H56/2)*(Fsw)*(Tr+Tf)</f>
        <v>0.0427509699942929</v>
      </c>
      <c r="X56" s="0" t="n">
        <f aca="false">IF(H56&gt;J56/2,0,ABS(H56-J56/2)*VsdTop*Deadtime*Fsw)</f>
        <v>0</v>
      </c>
      <c r="Y56" s="0" t="n">
        <f aca="false">(X56+W56+V56*(1+RdsonTopTc*Ta-RdsonTopTc*25))/(1-V56*RdsonTopTc*ThetaJaTop)</f>
        <v>0.0443427635545675</v>
      </c>
      <c r="Z56" s="0" t="n">
        <f aca="false">SQRT(1-I56)*SQRT(H56^2+(J56^2)/12)</f>
        <v>0.792059039328321</v>
      </c>
      <c r="AA56" s="0" t="n">
        <f aca="false">RdsonBot*Z56^2</f>
        <v>0.000752829026138043</v>
      </c>
      <c r="AB56" s="0" t="n">
        <f aca="false">2*Deadtime*Fsw*IF(VfdSky&gt;0,0,VsdBot)*(H56+J56/2)</f>
        <v>0.0293613733959624</v>
      </c>
      <c r="AC56" s="0" t="n">
        <f aca="false">(AB56+AA56*(1+RdsonBotTc*Ta-RdsonBotTc*25))/(1-AA56*RdsonBotTc*ThetaJaBot)</f>
        <v>0.0301187372740306</v>
      </c>
      <c r="AD56" s="0" t="n">
        <f aca="false">2*Deadtime*Fsw*IF(VfdSky&gt;0,VfdSky,0)*H56</f>
        <v>0</v>
      </c>
      <c r="AE56" s="0" t="n">
        <f aca="false">IF(QrrSky&gt;0,QrrSky,QrrBot)*Fsw*(Vin-H56*RdsonTop)</f>
        <v>0.40309472</v>
      </c>
      <c r="AF56" s="0" t="n">
        <f aca="false">Iq*Vin</f>
        <v>0.054</v>
      </c>
      <c r="AG56" s="0" t="n">
        <f aca="false">Vin*(QgTop+QgBot)*Fsw</f>
        <v>0.35784</v>
      </c>
      <c r="AH56" s="357" t="n">
        <f aca="false">(Vin-Vdd)*Fsw*(QgTop+QgBot)+(RdsonDRT+RdsonDRT2)*Fsw*QgTop*Vdd/(RdsonDRT+2*RGateTop+RdsonDRT2)+(RdsonDRB+RdsonDRB2)*Fsw*QgBot*Vdd/(RdsonDRB+2*RGateBot+RdsonDRB2)</f>
        <v>0.31571422459893</v>
      </c>
      <c r="AI56" s="0" t="n">
        <f aca="false">SUM(AF56:AG56)</f>
        <v>0.41184</v>
      </c>
      <c r="AJ56" s="402" t="n">
        <f aca="false">SUM(N56,Q56,T56,Y56,AE56,AD56,AC56,AI56)</f>
        <v>0.911466238112155</v>
      </c>
      <c r="AK56" s="358" t="n">
        <f aca="false">Vout*H56</f>
        <v>5.64</v>
      </c>
      <c r="AL56" s="359" t="n">
        <f aca="false">AK56/(AK56+AJ56)</f>
        <v>0.860875992490072</v>
      </c>
      <c r="AM56" s="0" t="n">
        <f aca="false">ThetaJaTop*Y56</f>
        <v>2.21713817772837</v>
      </c>
      <c r="AN56" s="0" t="n">
        <f aca="false">AC56*ThetaJaBot</f>
        <v>1.50593686370153</v>
      </c>
      <c r="AO56" s="359"/>
      <c r="AP56" s="0" t="n">
        <f aca="false">AL56*100</f>
        <v>86.0875992490072</v>
      </c>
      <c r="AZ56" s="403"/>
      <c r="BA56" s="404"/>
    </row>
    <row r="57" customFormat="false" ht="12.75" hidden="false" customHeight="false" outlineLevel="0" collapsed="false">
      <c r="A57" s="412" t="s">
        <v>636</v>
      </c>
      <c r="B57" s="397" t="s">
        <v>600</v>
      </c>
      <c r="C57" s="412" t="s">
        <v>430</v>
      </c>
      <c r="D57" s="433" t="s">
        <v>637</v>
      </c>
      <c r="E57" s="270"/>
      <c r="G57" s="0" t="n">
        <v>48</v>
      </c>
      <c r="H57" s="0" t="n">
        <f aca="false">Iout*(G57/100)</f>
        <v>0.96</v>
      </c>
      <c r="I57" s="0" t="n">
        <f aca="false">(Vout+Rdcr*H57+RdsonBot*H57)/(Vin-RdsonTop*H57+RdsonBot*H57)</f>
        <v>0.334691830877725</v>
      </c>
      <c r="J57" s="0" t="n">
        <f aca="false">(Vin-Vout)*I57/(Fsw*Lout2)</f>
        <v>0.843760918179138</v>
      </c>
      <c r="K57" s="0" t="n">
        <f aca="false">SQRT(H57^2+(J57^2)/12)</f>
        <v>0.990417945745065</v>
      </c>
      <c r="L57" s="0" t="n">
        <f aca="false">(K57^2*Rdcr*(1+Ltc*Ta-Ltc*25))/(1-K57^2*Rdcr*Ltc*ThetaCa)</f>
        <v>0.0226021320127022</v>
      </c>
      <c r="N57" s="356" t="n">
        <f aca="false">L57</f>
        <v>0.0226021320127022</v>
      </c>
      <c r="O57" s="357" t="n">
        <f aca="false">J57/(2*SQRT(3))</f>
        <v>0.243572796621205</v>
      </c>
      <c r="P57" s="357" t="n">
        <f aca="false">RCoutEsr*O57^2</f>
        <v>2.96638536269376E-005</v>
      </c>
      <c r="Q57" s="357" t="n">
        <f aca="false">P57</f>
        <v>2.96638536269376E-005</v>
      </c>
      <c r="R57" s="0" t="n">
        <f aca="false">SQRT(I57)*SQRT(H57^2+(J57^2)/12)</f>
        <v>0.572982102948677</v>
      </c>
      <c r="S57" s="400" t="n">
        <f aca="false">RCinEsr*R57^2</f>
        <v>0.000328308490299488</v>
      </c>
      <c r="T57" s="401" t="n">
        <f aca="false">S57</f>
        <v>0.000328308490299488</v>
      </c>
      <c r="U57" s="0" t="n">
        <f aca="false">SQRT(I57)*SQRT(H57^2+(J57^2)/12)</f>
        <v>0.572982102948677</v>
      </c>
      <c r="V57" s="0" t="n">
        <f aca="false">RdsonTop*U57^2</f>
        <v>0.00164154245149744</v>
      </c>
      <c r="W57" s="0" t="n">
        <f aca="false">(Vin*H57/2)*(Fsw)*(Tr+Tf)</f>
        <v>0.0436605651005545</v>
      </c>
      <c r="X57" s="0" t="n">
        <f aca="false">IF(H57&gt;J57/2,0,ABS(H57-J57/2)*VsdTop*Deadtime*Fsw)</f>
        <v>0</v>
      </c>
      <c r="Y57" s="0" t="n">
        <f aca="false">(X57+W57+V57*(1+RdsonTopTc*Ta-RdsonTopTc*25))/(1-V57*RdsonTopTc*ThetaJaTop)</f>
        <v>0.0453169855031474</v>
      </c>
      <c r="Z57" s="0" t="n">
        <f aca="false">SQRT(1-I57)*SQRT(H57^2+(J57^2)/12)</f>
        <v>0.807848511142025</v>
      </c>
      <c r="AA57" s="0" t="n">
        <f aca="false">RdsonBot*Z57^2</f>
        <v>0.000783143060345264</v>
      </c>
      <c r="AB57" s="0" t="n">
        <f aca="false">2*Deadtime*Fsw*IF(VfdSky&gt;0,0,VsdBot)*(H57+J57/2)</f>
        <v>0.0297933426979711</v>
      </c>
      <c r="AC57" s="0" t="n">
        <f aca="false">(AB57+AA57*(1+RdsonBotTc*Ta-RdsonBotTc*25))/(1-AA57*RdsonBotTc*ThetaJaBot)</f>
        <v>0.0305812756610785</v>
      </c>
      <c r="AD57" s="0" t="n">
        <f aca="false">2*Deadtime*Fsw*IF(VfdSky&gt;0,VfdSky,0)*H57</f>
        <v>0</v>
      </c>
      <c r="AE57" s="0" t="n">
        <f aca="false">IF(QrrSky&gt;0,QrrSky,QrrBot)*Fsw*(Vin-H57*RdsonTop)</f>
        <v>0.40309248</v>
      </c>
      <c r="AF57" s="0" t="n">
        <f aca="false">Iq*Vin</f>
        <v>0.054</v>
      </c>
      <c r="AG57" s="0" t="n">
        <f aca="false">Vin*(QgTop+QgBot)*Fsw</f>
        <v>0.35784</v>
      </c>
      <c r="AH57" s="357" t="n">
        <f aca="false">(Vin-Vdd)*Fsw*(QgTop+QgBot)+(RdsonDRT+RdsonDRT2)*Fsw*QgTop*Vdd/(RdsonDRT+2*RGateTop+RdsonDRT2)+(RdsonDRB+RdsonDRB2)*Fsw*QgBot*Vdd/(RdsonDRB+2*RGateBot+RdsonDRB2)</f>
        <v>0.31571422459893</v>
      </c>
      <c r="AI57" s="0" t="n">
        <f aca="false">SUM(AF57:AG57)</f>
        <v>0.41184</v>
      </c>
      <c r="AJ57" s="402" t="n">
        <f aca="false">SUM(N57,Q57,T57,Y57,AE57,AD57,AC57,AI57)</f>
        <v>0.913790845520854</v>
      </c>
      <c r="AK57" s="358" t="n">
        <f aca="false">Vout*H57</f>
        <v>5.76</v>
      </c>
      <c r="AL57" s="359" t="n">
        <f aca="false">AK57/(AK57+AJ57)</f>
        <v>0.863077692023545</v>
      </c>
      <c r="AM57" s="0" t="n">
        <f aca="false">ThetaJaTop*Y57</f>
        <v>2.26584927515737</v>
      </c>
      <c r="AN57" s="0" t="n">
        <f aca="false">AC57*ThetaJaBot</f>
        <v>1.52906378305392</v>
      </c>
      <c r="AO57" s="359"/>
      <c r="AP57" s="0" t="n">
        <f aca="false">AL57*100</f>
        <v>86.3077692023545</v>
      </c>
      <c r="AZ57" s="403"/>
      <c r="BA57" s="404"/>
    </row>
    <row r="58" customFormat="false" ht="12.75" hidden="false" customHeight="false" outlineLevel="0" collapsed="false">
      <c r="A58" s="411" t="s">
        <v>418</v>
      </c>
      <c r="B58" s="434" t="n">
        <f aca="false">VfdSky</f>
        <v>0</v>
      </c>
      <c r="C58" s="408" t="s">
        <v>9</v>
      </c>
      <c r="D58" s="432" t="s">
        <v>419</v>
      </c>
      <c r="E58" s="270"/>
      <c r="G58" s="0" t="n">
        <v>49</v>
      </c>
      <c r="H58" s="0" t="n">
        <f aca="false">Iout*(G58/100)</f>
        <v>0.98</v>
      </c>
      <c r="I58" s="0" t="n">
        <f aca="false">(Vout+Rdcr*H58+RdsonBot*H58)/(Vin-RdsonTop*H58+RdsonBot*H58)</f>
        <v>0.334720138766487</v>
      </c>
      <c r="J58" s="0" t="n">
        <f aca="false">(Vin-Vout)*I58/(Fsw*Lout2)</f>
        <v>0.843832282604589</v>
      </c>
      <c r="K58" s="0" t="n">
        <f aca="false">SQRT(H58^2+(J58^2)/12)</f>
        <v>1.00982064914047</v>
      </c>
      <c r="L58" s="0" t="n">
        <f aca="false">(K58^2*Rdcr*(1+Ltc*Ta-Ltc*25))/(1-K58^2*Rdcr*Ltc*ThetaCa)</f>
        <v>0.0234980579149588</v>
      </c>
      <c r="N58" s="356" t="n">
        <f aca="false">L58</f>
        <v>0.0234980579149588</v>
      </c>
      <c r="O58" s="357" t="n">
        <f aca="false">J58/(2*SQRT(3))</f>
        <v>0.243593397756328</v>
      </c>
      <c r="P58" s="357" t="n">
        <f aca="false">RCoutEsr*O58^2</f>
        <v>2.96688717152363E-005</v>
      </c>
      <c r="Q58" s="357" t="n">
        <f aca="false">P58</f>
        <v>2.96688717152363E-005</v>
      </c>
      <c r="R58" s="0" t="n">
        <f aca="false">SQRT(I58)*SQRT(H58^2+(J58^2)/12)</f>
        <v>0.58423176821059</v>
      </c>
      <c r="S58" s="400" t="n">
        <f aca="false">RCinEsr*R58^2</f>
        <v>0.000341326758986472</v>
      </c>
      <c r="T58" s="401" t="n">
        <f aca="false">S58</f>
        <v>0.000341326758986472</v>
      </c>
      <c r="U58" s="0" t="n">
        <f aca="false">SQRT(I58)*SQRT(H58^2+(J58^2)/12)</f>
        <v>0.58423176821059</v>
      </c>
      <c r="V58" s="0" t="n">
        <f aca="false">RdsonTop*U58^2</f>
        <v>0.00170663379493236</v>
      </c>
      <c r="W58" s="0" t="n">
        <f aca="false">(Vin*H58/2)*(Fsw)*(Tr+Tf)</f>
        <v>0.044570160206816</v>
      </c>
      <c r="X58" s="0" t="n">
        <f aca="false">IF(H58&gt;J58/2,0,ABS(H58-J58/2)*VsdTop*Deadtime*Fsw)</f>
        <v>0</v>
      </c>
      <c r="Y58" s="0" t="n">
        <f aca="false">(X58+W58+V58*(1+RdsonTopTc*Ta-RdsonTopTc*25))/(1-V58*RdsonTopTc*ThetaJaTop)</f>
        <v>0.0462925949031317</v>
      </c>
      <c r="Z58" s="0" t="n">
        <f aca="false">SQRT(1-I58)*SQRT(H58^2+(J58^2)/12)</f>
        <v>0.823657079398945</v>
      </c>
      <c r="AA58" s="0" t="n">
        <f aca="false">RdsonBot*Z58^2</f>
        <v>0.000814093181332801</v>
      </c>
      <c r="AB58" s="0" t="n">
        <f aca="false">2*Deadtime*Fsw*IF(VfdSky&gt;0,0,VsdBot)*(H58+J58/2)</f>
        <v>0.0302253120064775</v>
      </c>
      <c r="AC58" s="0" t="n">
        <f aca="false">(AB58+AA58*(1+RdsonBotTc*Ta-RdsonBotTc*25))/(1-AA58*RdsonBotTc*ThetaJaBot)</f>
        <v>0.0310444598044193</v>
      </c>
      <c r="AD58" s="0" t="n">
        <f aca="false">2*Deadtime*Fsw*IF(VfdSky&gt;0,VfdSky,0)*H58</f>
        <v>0</v>
      </c>
      <c r="AE58" s="0" t="n">
        <f aca="false">IF(QrrSky&gt;0,QrrSky,QrrBot)*Fsw*(Vin-H58*RdsonTop)</f>
        <v>0.40309024</v>
      </c>
      <c r="AF58" s="0" t="n">
        <f aca="false">Iq*Vin</f>
        <v>0.054</v>
      </c>
      <c r="AG58" s="0" t="n">
        <f aca="false">Vin*(QgTop+QgBot)*Fsw</f>
        <v>0.35784</v>
      </c>
      <c r="AH58" s="357" t="n">
        <f aca="false">(Vin-Vdd)*Fsw*(QgTop+QgBot)+(RdsonDRT+RdsonDRT2)*Fsw*QgTop*Vdd/(RdsonDRT+2*RGateTop+RdsonDRT2)+(RdsonDRB+RdsonDRB2)*Fsw*QgBot*Vdd/(RdsonDRB+2*RGateBot+RdsonDRB2)</f>
        <v>0.31571422459893</v>
      </c>
      <c r="AI58" s="0" t="n">
        <f aca="false">SUM(AF58:AG58)</f>
        <v>0.41184</v>
      </c>
      <c r="AJ58" s="402" t="n">
        <f aca="false">SUM(N58,Q58,T58,Y58,AE58,AD58,AC58,AI58)</f>
        <v>0.916136348253211</v>
      </c>
      <c r="AK58" s="358" t="n">
        <f aca="false">Vout*H58</f>
        <v>5.88</v>
      </c>
      <c r="AL58" s="359" t="n">
        <f aca="false">AK58/(AK58+AJ58)</f>
        <v>0.865197473783956</v>
      </c>
      <c r="AM58" s="0" t="n">
        <f aca="false">ThetaJaTop*Y58</f>
        <v>2.31462974515659</v>
      </c>
      <c r="AN58" s="0" t="n">
        <f aca="false">AC58*ThetaJaBot</f>
        <v>1.55222299022096</v>
      </c>
      <c r="AO58" s="359"/>
      <c r="AP58" s="0" t="n">
        <f aca="false">AL58*100</f>
        <v>86.5197473783956</v>
      </c>
      <c r="AZ58" s="403"/>
      <c r="BA58" s="404"/>
    </row>
    <row r="59" customFormat="false" ht="12.75" hidden="false" customHeight="false" outlineLevel="0" collapsed="false">
      <c r="A59" s="411" t="s">
        <v>420</v>
      </c>
      <c r="B59" s="434" t="n">
        <f aca="false">QrrSky</f>
        <v>0</v>
      </c>
      <c r="C59" s="408" t="s">
        <v>102</v>
      </c>
      <c r="D59" s="432" t="s">
        <v>421</v>
      </c>
      <c r="E59" s="270"/>
      <c r="G59" s="0" t="n">
        <v>50</v>
      </c>
      <c r="H59" s="0" t="n">
        <f aca="false">Iout*(G59/100)</f>
        <v>1</v>
      </c>
      <c r="I59" s="0" t="n">
        <f aca="false">(Vout+Rdcr*H59+RdsonBot*H59)/(Vin-RdsonTop*H59+RdsonBot*H59)</f>
        <v>0.334748446894344</v>
      </c>
      <c r="J59" s="0" t="n">
        <f aca="false">(Vin-Vout)*I59/(Fsw*Lout2)</f>
        <v>0.843903647632801</v>
      </c>
      <c r="K59" s="0" t="n">
        <f aca="false">SQRT(H59^2+(J59^2)/12)</f>
        <v>1.02924621959017</v>
      </c>
      <c r="L59" s="0" t="n">
        <f aca="false">(K59^2*Rdcr*(1+Ltc*Ta-Ltc*25))/(1-K59^2*Rdcr*Ltc*ThetaCa)</f>
        <v>0.0244125839590423</v>
      </c>
      <c r="N59" s="356" t="n">
        <f aca="false">L59</f>
        <v>0.0244125839590423</v>
      </c>
      <c r="O59" s="357" t="n">
        <f aca="false">J59/(2*SQRT(3))</f>
        <v>0.243613999065452</v>
      </c>
      <c r="P59" s="357" t="n">
        <f aca="false">RCoutEsr*O59^2</f>
        <v>2.96738902703311E-005</v>
      </c>
      <c r="Q59" s="357" t="n">
        <f aca="false">P59</f>
        <v>2.96738902703311E-005</v>
      </c>
      <c r="R59" s="0" t="n">
        <f aca="false">SQRT(I59)*SQRT(H59^2+(J59^2)/12)</f>
        <v>0.595495612290265</v>
      </c>
      <c r="S59" s="400" t="n">
        <f aca="false">RCinEsr*R59^2</f>
        <v>0.000354615024256957</v>
      </c>
      <c r="T59" s="401" t="n">
        <f aca="false">S59</f>
        <v>0.000354615024256957</v>
      </c>
      <c r="U59" s="0" t="n">
        <f aca="false">SQRT(I59)*SQRT(H59^2+(J59^2)/12)</f>
        <v>0.595495612290265</v>
      </c>
      <c r="V59" s="0" t="n">
        <f aca="false">RdsonTop*U59^2</f>
        <v>0.00177307512128479</v>
      </c>
      <c r="W59" s="0" t="n">
        <f aca="false">(Vin*H59/2)*(Fsw)*(Tr+Tf)</f>
        <v>0.0454797553130776</v>
      </c>
      <c r="X59" s="0" t="n">
        <f aca="false">IF(H59&gt;J59/2,0,ABS(H59-J59/2)*VsdTop*Deadtime*Fsw)</f>
        <v>0</v>
      </c>
      <c r="Y59" s="0" t="n">
        <f aca="false">(X59+W59+V59*(1+RdsonTopTc*Ta-RdsonTopTc*25))/(1-V59*RdsonTopTc*ThetaJaTop)</f>
        <v>0.0472695929422102</v>
      </c>
      <c r="Z59" s="0" t="n">
        <f aca="false">SQRT(1-I59)*SQRT(H59^2+(J59^2)/12)</f>
        <v>0.839483624785919</v>
      </c>
      <c r="AA59" s="0" t="n">
        <f aca="false">RdsonBot*Z59^2</f>
        <v>0.000845679307540446</v>
      </c>
      <c r="AB59" s="0" t="n">
        <f aca="false">2*Deadtime*Fsw*IF(VfdSky&gt;0,0,VsdBot)*(H59+J59/2)</f>
        <v>0.0306572813214816</v>
      </c>
      <c r="AC59" s="0" t="n">
        <f aca="false">(AB59+AA59*(1+RdsonBotTc*Ta-RdsonBotTc*25))/(1-AA59*RdsonBotTc*ThetaJaBot)</f>
        <v>0.0315082898107638</v>
      </c>
      <c r="AD59" s="0" t="n">
        <f aca="false">2*Deadtime*Fsw*IF(VfdSky&gt;0,VfdSky,0)*H59</f>
        <v>0</v>
      </c>
      <c r="AE59" s="0" t="n">
        <f aca="false">IF(QrrSky&gt;0,QrrSky,QrrBot)*Fsw*(Vin-H59*RdsonTop)</f>
        <v>0.403088</v>
      </c>
      <c r="AF59" s="0" t="n">
        <f aca="false">Iq*Vin</f>
        <v>0.054</v>
      </c>
      <c r="AG59" s="0" t="n">
        <f aca="false">Vin*(QgTop+QgBot)*Fsw</f>
        <v>0.35784</v>
      </c>
      <c r="AH59" s="357" t="n">
        <f aca="false">(Vin-Vdd)*Fsw*(QgTop+QgBot)+(RdsonDRT+RdsonDRT2)*Fsw*QgTop*Vdd/(RdsonDRT+2*RGateTop+RdsonDRT2)+(RdsonDRB+RdsonDRB2)*Fsw*QgBot*Vdd/(RdsonDRB+2*RGateBot+RdsonDRB2)</f>
        <v>0.31571422459893</v>
      </c>
      <c r="AI59" s="0" t="n">
        <f aca="false">SUM(AF59:AG59)</f>
        <v>0.41184</v>
      </c>
      <c r="AJ59" s="402" t="n">
        <f aca="false">SUM(N59,Q59,T59,Y59,AE59,AD59,AC59,AI59)</f>
        <v>0.918502755626544</v>
      </c>
      <c r="AK59" s="358" t="n">
        <f aca="false">Vout*H59</f>
        <v>6</v>
      </c>
      <c r="AL59" s="359" t="n">
        <f aca="false">AK59/(AK59+AJ59)</f>
        <v>0.867239663252347</v>
      </c>
      <c r="AM59" s="0" t="n">
        <f aca="false">ThetaJaTop*Y59</f>
        <v>2.36347964711051</v>
      </c>
      <c r="AN59" s="0" t="n">
        <f aca="false">AC59*ThetaJaBot</f>
        <v>1.57541449053819</v>
      </c>
      <c r="AO59" s="359"/>
      <c r="AP59" s="0" t="n">
        <f aca="false">AL59*100</f>
        <v>86.7239663252347</v>
      </c>
      <c r="AZ59" s="403"/>
      <c r="BA59" s="404"/>
    </row>
    <row r="60" customFormat="false" ht="12.75" hidden="false" customHeight="false" outlineLevel="0" collapsed="false">
      <c r="A60" s="411" t="s">
        <v>422</v>
      </c>
      <c r="B60" s="434" t="n">
        <f aca="false">Ireverse</f>
        <v>0</v>
      </c>
      <c r="C60" s="408" t="s">
        <v>634</v>
      </c>
      <c r="D60" s="432" t="s">
        <v>423</v>
      </c>
      <c r="E60" s="329"/>
      <c r="G60" s="0" t="n">
        <v>51</v>
      </c>
      <c r="H60" s="0" t="n">
        <f aca="false">Iout*(G60/100)</f>
        <v>1.02</v>
      </c>
      <c r="I60" s="0" t="n">
        <f aca="false">(Vout+Rdcr*H60+RdsonBot*H60)/(Vin-RdsonTop*H60+RdsonBot*H60)</f>
        <v>0.3347767552613</v>
      </c>
      <c r="J60" s="0" t="n">
        <f aca="false">(Vin-Vout)*I60/(Fsw*Lout2)</f>
        <v>0.843975013263781</v>
      </c>
      <c r="K60" s="0" t="n">
        <f aca="false">SQRT(H60^2+(J60^2)/12)</f>
        <v>1.04869338635488</v>
      </c>
      <c r="L60" s="0" t="n">
        <f aca="false">(K60^2*Rdcr*(1+Ltc*Ta-Ltc*25))/(1-K60^2*Rdcr*Ltc*ThetaCa)</f>
        <v>0.0253457182668128</v>
      </c>
      <c r="N60" s="356" t="n">
        <f aca="false">L60</f>
        <v>0.0253457182668128</v>
      </c>
      <c r="O60" s="357" t="n">
        <f aca="false">J60/(2*SQRT(3))</f>
        <v>0.243634600548581</v>
      </c>
      <c r="P60" s="357" t="n">
        <f aca="false">RCoutEsr*O60^2</f>
        <v>2.96789092922333E-005</v>
      </c>
      <c r="Q60" s="357" t="n">
        <f aca="false">P60</f>
        <v>2.96789092922333E-005</v>
      </c>
      <c r="R60" s="0" t="n">
        <f aca="false">SQRT(I60)*SQRT(H60^2+(J60^2)/12)</f>
        <v>0.606772901569403</v>
      </c>
      <c r="S60" s="400" t="n">
        <f aca="false">RCinEsr*R60^2</f>
        <v>0.000368173354078953</v>
      </c>
      <c r="T60" s="401" t="n">
        <f aca="false">S60</f>
        <v>0.000368173354078953</v>
      </c>
      <c r="U60" s="0" t="n">
        <f aca="false">SQRT(I60)*SQRT(H60^2+(J60^2)/12)</f>
        <v>0.606772901569403</v>
      </c>
      <c r="V60" s="0" t="n">
        <f aca="false">RdsonTop*U60^2</f>
        <v>0.00184086677039476</v>
      </c>
      <c r="W60" s="0" t="n">
        <f aca="false">(Vin*H60/2)*(Fsw)*(Tr+Tf)</f>
        <v>0.0463893504193391</v>
      </c>
      <c r="X60" s="0" t="n">
        <f aca="false">IF(H60&gt;J60/2,0,ABS(H60-J60/2)*VsdTop*Deadtime*Fsw)</f>
        <v>0</v>
      </c>
      <c r="Y60" s="0" t="n">
        <f aca="false">(X60+W60+V60*(1+RdsonTopTc*Ta-RdsonTopTc*25))/(1-V60*RdsonTopTc*ThetaJaTop)</f>
        <v>0.0482479808106565</v>
      </c>
      <c r="Z60" s="0" t="n">
        <f aca="false">SQRT(1-I60)*SQRT(H60^2+(J60^2)/12)</f>
        <v>0.855327109651924</v>
      </c>
      <c r="AA60" s="0" t="n">
        <f aca="false">RdsonBot*Z60^2</f>
        <v>0.000877901357406617</v>
      </c>
      <c r="AB60" s="0" t="n">
        <f aca="false">2*Deadtime*Fsw*IF(VfdSky&gt;0,0,VsdBot)*(H60+J60/2)</f>
        <v>0.0310892506429836</v>
      </c>
      <c r="AC60" s="0" t="n">
        <f aca="false">(AB60+AA60*(1+RdsonBotTc*Ta-RdsonBotTc*25))/(1-AA60*RdsonBotTc*ThetaJaBot)</f>
        <v>0.0319727657872871</v>
      </c>
      <c r="AD60" s="0" t="n">
        <f aca="false">2*Deadtime*Fsw*IF(VfdSky&gt;0,VfdSky,0)*H60</f>
        <v>0</v>
      </c>
      <c r="AE60" s="0" t="n">
        <f aca="false">IF(QrrSky&gt;0,QrrSky,QrrBot)*Fsw*(Vin-H60*RdsonTop)</f>
        <v>0.40308576</v>
      </c>
      <c r="AF60" s="0" t="n">
        <f aca="false">Iq*Vin</f>
        <v>0.054</v>
      </c>
      <c r="AG60" s="0" t="n">
        <f aca="false">Vin*(QgTop+QgBot)*Fsw</f>
        <v>0.35784</v>
      </c>
      <c r="AH60" s="357" t="n">
        <f aca="false">(Vin-Vdd)*Fsw*(QgTop+QgBot)+(RdsonDRT+RdsonDRT2)*Fsw*QgTop*Vdd/(RdsonDRT+2*RGateTop+RdsonDRT2)+(RdsonDRB+RdsonDRB2)*Fsw*QgBot*Vdd/(RdsonDRB+2*RGateBot+RdsonDRB2)</f>
        <v>0.31571422459893</v>
      </c>
      <c r="AI60" s="0" t="n">
        <f aca="false">SUM(AF60:AG60)</f>
        <v>0.41184</v>
      </c>
      <c r="AJ60" s="402" t="n">
        <f aca="false">SUM(N60,Q60,T60,Y60,AE60,AD60,AC60,AI60)</f>
        <v>0.920890077128128</v>
      </c>
      <c r="AK60" s="358" t="n">
        <f aca="false">Vout*H60</f>
        <v>6.12</v>
      </c>
      <c r="AL60" s="359" t="n">
        <f aca="false">AK60/(AK60+AJ60)</f>
        <v>0.869208286588711</v>
      </c>
      <c r="AM60" s="0" t="n">
        <f aca="false">ThetaJaTop*Y60</f>
        <v>2.41239904053282</v>
      </c>
      <c r="AN60" s="0" t="n">
        <f aca="false">AC60*ThetaJaBot</f>
        <v>1.59863828936436</v>
      </c>
      <c r="AO60" s="359"/>
      <c r="AP60" s="0" t="n">
        <f aca="false">AL60*100</f>
        <v>86.9208286588711</v>
      </c>
      <c r="AZ60" s="403"/>
      <c r="BA60" s="404"/>
    </row>
    <row r="61" customFormat="false" ht="12.75" hidden="false" customHeight="false" outlineLevel="0" collapsed="false">
      <c r="A61" s="412" t="s">
        <v>424</v>
      </c>
      <c r="B61" s="397" t="s">
        <v>600</v>
      </c>
      <c r="C61" s="412" t="s">
        <v>430</v>
      </c>
      <c r="D61" s="433" t="s">
        <v>637</v>
      </c>
      <c r="E61" s="254"/>
      <c r="G61" s="0" t="n">
        <v>52</v>
      </c>
      <c r="H61" s="0" t="n">
        <f aca="false">Iout*(G61/100)</f>
        <v>1.04</v>
      </c>
      <c r="I61" s="0" t="n">
        <f aca="false">(Vout+Rdcr*H61+RdsonBot*H61)/(Vin-RdsonTop*H61+RdsonBot*H61)</f>
        <v>0.334805063867356</v>
      </c>
      <c r="J61" s="0" t="n">
        <f aca="false">(Vin-Vout)*I61/(Fsw*Lout2)</f>
        <v>0.844046379497536</v>
      </c>
      <c r="K61" s="0" t="n">
        <f aca="false">SQRT(H61^2+(J61^2)/12)</f>
        <v>1.06816096987388</v>
      </c>
      <c r="L61" s="0" t="n">
        <f aca="false">(K61^2*Rdcr*(1+Ltc*Ta-Ltc*25))/(1-K61^2*Rdcr*Ltc*ThetaCa)</f>
        <v>0.0262974691272212</v>
      </c>
      <c r="N61" s="356" t="n">
        <f aca="false">L61</f>
        <v>0.0262974691272212</v>
      </c>
      <c r="O61" s="357" t="n">
        <f aca="false">J61/(2*SQRT(3))</f>
        <v>0.243655202205716</v>
      </c>
      <c r="P61" s="357" t="n">
        <f aca="false">RCoutEsr*O61^2</f>
        <v>2.96839287809541E-005</v>
      </c>
      <c r="Q61" s="357" t="n">
        <f aca="false">P61</f>
        <v>2.96839287809541E-005</v>
      </c>
      <c r="R61" s="0" t="n">
        <f aca="false">SQRT(I61)*SQRT(H61^2+(J61^2)/12)</f>
        <v>0.618062955063329</v>
      </c>
      <c r="S61" s="400" t="n">
        <f aca="false">RCinEsr*R61^2</f>
        <v>0.000382001816421615</v>
      </c>
      <c r="T61" s="401" t="n">
        <f aca="false">S61</f>
        <v>0.000382001816421615</v>
      </c>
      <c r="U61" s="0" t="n">
        <f aca="false">SQRT(I61)*SQRT(H61^2+(J61^2)/12)</f>
        <v>0.618062955063329</v>
      </c>
      <c r="V61" s="0" t="n">
        <f aca="false">RdsonTop*U61^2</f>
        <v>0.00191000908210807</v>
      </c>
      <c r="W61" s="0" t="n">
        <f aca="false">(Vin*H61/2)*(Fsw)*(Tr+Tf)</f>
        <v>0.0472989455256007</v>
      </c>
      <c r="X61" s="0" t="n">
        <f aca="false">IF(H61&gt;J61/2,0,ABS(H61-J61/2)*VsdTop*Deadtime*Fsw)</f>
        <v>0</v>
      </c>
      <c r="Y61" s="0" t="n">
        <f aca="false">(X61+W61+V61*(1+RdsonTopTc*Ta-RdsonTopTc*25))/(1-V61*RdsonTopTc*ThetaJaTop)</f>
        <v>0.049227759701333</v>
      </c>
      <c r="Z61" s="0" t="n">
        <f aca="false">SQRT(1-I61)*SQRT(H61^2+(J61^2)/12)</f>
        <v>0.871186570798869</v>
      </c>
      <c r="AA61" s="0" t="n">
        <f aca="false">RdsonBot*Z61^2</f>
        <v>0.000910759249368352</v>
      </c>
      <c r="AB61" s="0" t="n">
        <f aca="false">2*Deadtime*Fsw*IF(VfdSky&gt;0,0,VsdBot)*(H61+J61/2)</f>
        <v>0.0315212199709834</v>
      </c>
      <c r="AC61" s="0" t="n">
        <f aca="false">(AB61+AA61*(1+RdsonBotTc*Ta-RdsonBotTc*25))/(1-AA61*RdsonBotTc*ThetaJaBot)</f>
        <v>0.0324378878416281</v>
      </c>
      <c r="AD61" s="0" t="n">
        <f aca="false">2*Deadtime*Fsw*IF(VfdSky&gt;0,VfdSky,0)*H61</f>
        <v>0</v>
      </c>
      <c r="AE61" s="0" t="n">
        <f aca="false">IF(QrrSky&gt;0,QrrSky,QrrBot)*Fsw*(Vin-H61*RdsonTop)</f>
        <v>0.40308352</v>
      </c>
      <c r="AF61" s="0" t="n">
        <f aca="false">Iq*Vin</f>
        <v>0.054</v>
      </c>
      <c r="AG61" s="0" t="n">
        <f aca="false">Vin*(QgTop+QgBot)*Fsw</f>
        <v>0.35784</v>
      </c>
      <c r="AH61" s="357" t="n">
        <f aca="false">(Vin-Vdd)*Fsw*(QgTop+QgBot)+(RdsonDRT+RdsonDRT2)*Fsw*QgTop*Vdd/(RdsonDRT+2*RGateTop+RdsonDRT2)+(RdsonDRB+RdsonDRB2)*Fsw*QgBot*Vdd/(RdsonDRB+2*RGateBot+RdsonDRB2)</f>
        <v>0.31571422459893</v>
      </c>
      <c r="AI61" s="0" t="n">
        <f aca="false">SUM(AF61:AG61)</f>
        <v>0.41184</v>
      </c>
      <c r="AJ61" s="402" t="n">
        <f aca="false">SUM(N61,Q61,T61,Y61,AE61,AD61,AC61,AI61)</f>
        <v>0.923298322415385</v>
      </c>
      <c r="AK61" s="358" t="n">
        <f aca="false">Vout*H61</f>
        <v>6.24</v>
      </c>
      <c r="AL61" s="359" t="n">
        <f aca="false">AK61/(AK61+AJ61)</f>
        <v>0.871107096080837</v>
      </c>
      <c r="AM61" s="0" t="n">
        <f aca="false">ThetaJaTop*Y61</f>
        <v>2.46138798506665</v>
      </c>
      <c r="AN61" s="0" t="n">
        <f aca="false">AC61*ThetaJaBot</f>
        <v>1.62189439208141</v>
      </c>
      <c r="AO61" s="359"/>
      <c r="AP61" s="0" t="n">
        <f aca="false">AL61*100</f>
        <v>87.1107096080837</v>
      </c>
      <c r="AZ61" s="403"/>
      <c r="BA61" s="404"/>
    </row>
    <row r="62" customFormat="false" ht="12.75" hidden="false" customHeight="false" outlineLevel="0" collapsed="false">
      <c r="A62" s="411" t="s">
        <v>638</v>
      </c>
      <c r="B62" s="435" t="n">
        <v>20</v>
      </c>
      <c r="C62" s="408" t="s">
        <v>621</v>
      </c>
      <c r="D62" s="432" t="s">
        <v>402</v>
      </c>
      <c r="G62" s="0" t="n">
        <v>53</v>
      </c>
      <c r="H62" s="0" t="n">
        <f aca="false">Iout*(G62/100)</f>
        <v>1.06</v>
      </c>
      <c r="I62" s="0" t="n">
        <f aca="false">(Vout+Rdcr*H62+RdsonBot*H62)/(Vin-RdsonTop*H62+RdsonBot*H62)</f>
        <v>0.334833372712516</v>
      </c>
      <c r="J62" s="0" t="n">
        <f aca="false">(Vin-Vout)*I62/(Fsw*Lout2)</f>
        <v>0.844117746334073</v>
      </c>
      <c r="K62" s="0" t="n">
        <f aca="false">SQRT(H62^2+(J62^2)/12)</f>
        <v>1.08764787384199</v>
      </c>
      <c r="L62" s="0" t="n">
        <f aca="false">(K62^2*Rdcr*(1+Ltc*Ta-Ltc*25))/(1-K62^2*Rdcr*Ltc*ThetaCa)</f>
        <v>0.0272678449964936</v>
      </c>
      <c r="N62" s="356" t="n">
        <f aca="false">L62</f>
        <v>0.0272678449964936</v>
      </c>
      <c r="O62" s="357" t="n">
        <f aca="false">J62/(2*SQRT(3))</f>
        <v>0.243675804036859</v>
      </c>
      <c r="P62" s="357" t="n">
        <f aca="false">RCoutEsr*O62^2</f>
        <v>2.96889487365048E-005</v>
      </c>
      <c r="Q62" s="357" t="n">
        <f aca="false">P62</f>
        <v>2.96889487365048E-005</v>
      </c>
      <c r="R62" s="0" t="n">
        <f aca="false">SQRT(I62)*SQRT(H62^2+(J62^2)/12)</f>
        <v>0.629365139847488</v>
      </c>
      <c r="S62" s="400" t="n">
        <f aca="false">RCinEsr*R62^2</f>
        <v>0.000396100479255249</v>
      </c>
      <c r="T62" s="401" t="n">
        <f aca="false">S62</f>
        <v>0.000396100479255249</v>
      </c>
      <c r="U62" s="0" t="n">
        <f aca="false">SQRT(I62)*SQRT(H62^2+(J62^2)/12)</f>
        <v>0.629365139847488</v>
      </c>
      <c r="V62" s="0" t="n">
        <f aca="false">RdsonTop*U62^2</f>
        <v>0.00198050239627624</v>
      </c>
      <c r="W62" s="0" t="n">
        <f aca="false">(Vin*H62/2)*(Fsw)*(Tr+Tf)</f>
        <v>0.0482085406318622</v>
      </c>
      <c r="X62" s="0" t="n">
        <f aca="false">IF(H62&gt;J62/2,0,ABS(H62-J62/2)*VsdTop*Deadtime*Fsw)</f>
        <v>0</v>
      </c>
      <c r="Y62" s="0" t="n">
        <f aca="false">(X62+W62+V62*(1+RdsonTopTc*Ta-RdsonTopTc*25))/(1-V62*RdsonTopTc*ThetaJaTop)</f>
        <v>0.0502089308096951</v>
      </c>
      <c r="Z62" s="0" t="n">
        <f aca="false">SQRT(1-I62)*SQRT(H62^2+(J62^2)/12)</f>
        <v>0.887061113011816</v>
      </c>
      <c r="AA62" s="0" t="n">
        <f aca="false">RdsonBot*Z62^2</f>
        <v>0.000944252901861313</v>
      </c>
      <c r="AB62" s="0" t="n">
        <f aca="false">2*Deadtime*Fsw*IF(VfdSky&gt;0,0,VsdBot)*(H62+J62/2)</f>
        <v>0.0319531893054813</v>
      </c>
      <c r="AC62" s="0" t="n">
        <f aca="false">(AB62+AA62*(1+RdsonBotTc*Ta-RdsonBotTc*25))/(1-AA62*RdsonBotTc*ThetaJaBot)</f>
        <v>0.0329036560818901</v>
      </c>
      <c r="AD62" s="0" t="n">
        <f aca="false">2*Deadtime*Fsw*IF(VfdSky&gt;0,VfdSky,0)*H62</f>
        <v>0</v>
      </c>
      <c r="AE62" s="0" t="n">
        <f aca="false">IF(QrrSky&gt;0,QrrSky,QrrBot)*Fsw*(Vin-H62*RdsonTop)</f>
        <v>0.40308128</v>
      </c>
      <c r="AF62" s="0" t="n">
        <f aca="false">Iq*Vin</f>
        <v>0.054</v>
      </c>
      <c r="AG62" s="0" t="n">
        <f aca="false">Vin*(QgTop+QgBot)*Fsw</f>
        <v>0.35784</v>
      </c>
      <c r="AH62" s="357" t="n">
        <f aca="false">(Vin-Vdd)*Fsw*(QgTop+QgBot)+(RdsonDRT+RdsonDRT2)*Fsw*QgTop*Vdd/(RdsonDRT+2*RGateTop+RdsonDRT2)+(RdsonDRB+RdsonDRB2)*Fsw*QgBot*Vdd/(RdsonDRB+2*RGateBot+RdsonDRB2)</f>
        <v>0.31571422459893</v>
      </c>
      <c r="AI62" s="0" t="n">
        <f aca="false">SUM(AF62:AG62)</f>
        <v>0.41184</v>
      </c>
      <c r="AJ62" s="402" t="n">
        <f aca="false">SUM(N62,Q62,T62,Y62,AE62,AD62,AC62,AI62)</f>
        <v>0.92572750131607</v>
      </c>
      <c r="AK62" s="358" t="n">
        <f aca="false">Vout*H62</f>
        <v>6.36</v>
      </c>
      <c r="AL62" s="359" t="n">
        <f aca="false">AK62/(AK62+AJ62)</f>
        <v>0.872939593040111</v>
      </c>
      <c r="AM62" s="0" t="n">
        <f aca="false">ThetaJaTop*Y62</f>
        <v>2.51044654048475</v>
      </c>
      <c r="AN62" s="0" t="n">
        <f aca="false">AC62*ThetaJaBot</f>
        <v>1.6451828040945</v>
      </c>
      <c r="AO62" s="359"/>
      <c r="AP62" s="0" t="n">
        <f aca="false">AL62*100</f>
        <v>87.2939593040111</v>
      </c>
      <c r="AZ62" s="403"/>
      <c r="BA62" s="404"/>
    </row>
    <row r="63" customFormat="false" ht="12.75" hidden="false" customHeight="false" outlineLevel="0" collapsed="false">
      <c r="A63" s="411" t="s">
        <v>638</v>
      </c>
      <c r="B63" s="435" t="n">
        <v>2</v>
      </c>
      <c r="C63" s="408" t="s">
        <v>59</v>
      </c>
      <c r="D63" s="409" t="s">
        <v>402</v>
      </c>
      <c r="G63" s="0" t="n">
        <v>54</v>
      </c>
      <c r="H63" s="0" t="n">
        <f aca="false">Iout*(G63/100)</f>
        <v>1.08</v>
      </c>
      <c r="I63" s="0" t="n">
        <f aca="false">(Vout+Rdcr*H63+RdsonBot*H63)/(Vin-RdsonTop*H63+RdsonBot*H63)</f>
        <v>0.334861681796783</v>
      </c>
      <c r="J63" s="0" t="n">
        <f aca="false">(Vin-Vout)*I63/(Fsw*Lout2)</f>
        <v>0.844189113773403</v>
      </c>
      <c r="K63" s="0" t="n">
        <f aca="false">SQRT(H63^2+(J63^2)/12)</f>
        <v>1.10715307808712</v>
      </c>
      <c r="L63" s="0" t="n">
        <f aca="false">(K63^2*Rdcr*(1+Ltc*Ta-Ltc*25))/(1-K63^2*Rdcr*Ltc*ThetaCa)</f>
        <v>0.0282568544983199</v>
      </c>
      <c r="N63" s="356" t="n">
        <f aca="false">L63</f>
        <v>0.0282568544983199</v>
      </c>
      <c r="O63" s="357" t="n">
        <f aca="false">J63/(2*SQRT(3))</f>
        <v>0.243696406042013</v>
      </c>
      <c r="P63" s="357" t="n">
        <f aca="false">RCoutEsr*O63^2</f>
        <v>2.96939691588968E-005</v>
      </c>
      <c r="Q63" s="357" t="n">
        <f aca="false">P63</f>
        <v>2.96939691588968E-005</v>
      </c>
      <c r="R63" s="0" t="n">
        <f aca="false">SQRT(I63)*SQRT(H63^2+(J63^2)/12)</f>
        <v>0.640678866946076</v>
      </c>
      <c r="S63" s="400" t="n">
        <f aca="false">RCinEsr*R63^2</f>
        <v>0.000410469410551308</v>
      </c>
      <c r="T63" s="401" t="n">
        <f aca="false">S63</f>
        <v>0.000410469410551308</v>
      </c>
      <c r="U63" s="0" t="n">
        <f aca="false">SQRT(I63)*SQRT(H63^2+(J63^2)/12)</f>
        <v>0.640678866946076</v>
      </c>
      <c r="V63" s="0" t="n">
        <f aca="false">RdsonTop*U63^2</f>
        <v>0.00205234705275654</v>
      </c>
      <c r="W63" s="0" t="n">
        <f aca="false">(Vin*H63/2)*(Fsw)*(Tr+Tf)</f>
        <v>0.0491181357381238</v>
      </c>
      <c r="X63" s="0" t="n">
        <f aca="false">IF(H63&gt;J63/2,0,ABS(H63-J63/2)*VsdTop*Deadtime*Fsw)</f>
        <v>0</v>
      </c>
      <c r="Y63" s="0" t="n">
        <f aca="false">(X63+W63+V63*(1+RdsonTopTc*Ta-RdsonTopTc*25))/(1-V63*RdsonTopTc*ThetaJaTop)</f>
        <v>0.0511914953337952</v>
      </c>
      <c r="Z63" s="0" t="n">
        <f aca="false">SQRT(1-I63)*SQRT(H63^2+(J63^2)/12)</f>
        <v>0.902949903242968</v>
      </c>
      <c r="AA63" s="0" t="n">
        <f aca="false">RdsonBot*Z63^2</f>
        <v>0.000978382233319783</v>
      </c>
      <c r="AB63" s="0" t="n">
        <f aca="false">2*Deadtime*Fsw*IF(VfdSky&gt;0,0,VsdBot)*(H63+J63/2)</f>
        <v>0.0323851586464773</v>
      </c>
      <c r="AC63" s="0" t="n">
        <f aca="false">(AB63+AA63*(1+RdsonBotTc*Ta-RdsonBotTc*25))/(1-AA63*RdsonBotTc*ThetaJaBot)</f>
        <v>0.0333700706166403</v>
      </c>
      <c r="AD63" s="0" t="n">
        <f aca="false">2*Deadtime*Fsw*IF(VfdSky&gt;0,VfdSky,0)*H63</f>
        <v>0</v>
      </c>
      <c r="AE63" s="0" t="n">
        <f aca="false">IF(QrrSky&gt;0,QrrSky,QrrBot)*Fsw*(Vin-H63*RdsonTop)</f>
        <v>0.40307904</v>
      </c>
      <c r="AF63" s="0" t="n">
        <f aca="false">Iq*Vin</f>
        <v>0.054</v>
      </c>
      <c r="AG63" s="0" t="n">
        <f aca="false">Vin*(QgTop+QgBot)*Fsw</f>
        <v>0.35784</v>
      </c>
      <c r="AH63" s="357" t="n">
        <f aca="false">(Vin-Vdd)*Fsw*(QgTop+QgBot)+(RdsonDRT+RdsonDRT2)*Fsw*QgTop*Vdd/(RdsonDRT+2*RGateTop+RdsonDRT2)+(RdsonDRB+RdsonDRB2)*Fsw*QgBot*Vdd/(RdsonDRB+2*RGateBot+RdsonDRB2)</f>
        <v>0.31571422459893</v>
      </c>
      <c r="AI63" s="0" t="n">
        <f aca="false">SUM(AF63:AG63)</f>
        <v>0.41184</v>
      </c>
      <c r="AJ63" s="402" t="n">
        <f aca="false">SUM(N63,Q63,T63,Y63,AE63,AD63,AC63,AI63)</f>
        <v>0.928177623828466</v>
      </c>
      <c r="AK63" s="358" t="n">
        <f aca="false">Vout*H63</f>
        <v>6.48</v>
      </c>
      <c r="AL63" s="359" t="n">
        <f aca="false">AK63/(AK63+AJ63)</f>
        <v>0.874709048438178</v>
      </c>
      <c r="AM63" s="0" t="n">
        <f aca="false">ThetaJaTop*Y63</f>
        <v>2.55957476668976</v>
      </c>
      <c r="AN63" s="0" t="n">
        <f aca="false">AC63*ThetaJaBot</f>
        <v>1.66850353083201</v>
      </c>
      <c r="AO63" s="359"/>
      <c r="AP63" s="0" t="n">
        <f aca="false">AL63*100</f>
        <v>87.4709048438178</v>
      </c>
      <c r="AZ63" s="403"/>
      <c r="BA63" s="404"/>
    </row>
    <row r="64" customFormat="false" ht="12.75" hidden="false" customHeight="false" outlineLevel="0" collapsed="false">
      <c r="A64" s="436"/>
      <c r="B64" s="356"/>
      <c r="G64" s="0" t="n">
        <v>55</v>
      </c>
      <c r="H64" s="0" t="n">
        <f aca="false">Iout*(G64/100)</f>
        <v>1.1</v>
      </c>
      <c r="I64" s="0" t="n">
        <f aca="false">(Vout+Rdcr*H64+RdsonBot*H64)/(Vin-RdsonTop*H64+RdsonBot*H64)</f>
        <v>0.33488999112016</v>
      </c>
      <c r="J64" s="0" t="n">
        <f aca="false">(Vin-Vout)*I64/(Fsw*Lout2)</f>
        <v>0.84426048181553</v>
      </c>
      <c r="K64" s="0" t="n">
        <f aca="false">SQRT(H64^2+(J64^2)/12)</f>
        <v>1.12667563215696</v>
      </c>
      <c r="L64" s="0" t="n">
        <f aca="false">(K64^2*Rdcr*(1+Ltc*Ta-Ltc*25))/(1-K64^2*Rdcr*Ltc*ThetaCa)</f>
        <v>0.029264506424046</v>
      </c>
      <c r="N64" s="356" t="n">
        <f aca="false">L64</f>
        <v>0.029264506424046</v>
      </c>
      <c r="O64" s="357" t="n">
        <f aca="false">J64/(2*SQRT(3))</f>
        <v>0.24371700822118</v>
      </c>
      <c r="P64" s="357" t="n">
        <f aca="false">RCoutEsr*O64^2</f>
        <v>2.96989900481413E-005</v>
      </c>
      <c r="Q64" s="357" t="n">
        <f aca="false">P64</f>
        <v>2.96989900481413E-005</v>
      </c>
      <c r="R64" s="0" t="n">
        <f aca="false">SQRT(I64)*SQRT(H64^2+(J64^2)/12)</f>
        <v>0.652003587630002</v>
      </c>
      <c r="S64" s="400" t="n">
        <f aca="false">RCinEsr*R64^2</f>
        <v>0.000425108678282393</v>
      </c>
      <c r="T64" s="401" t="n">
        <f aca="false">S64</f>
        <v>0.000425108678282393</v>
      </c>
      <c r="U64" s="0" t="n">
        <f aca="false">SQRT(I64)*SQRT(H64^2+(J64^2)/12)</f>
        <v>0.652003587630002</v>
      </c>
      <c r="V64" s="0" t="n">
        <f aca="false">RdsonTop*U64^2</f>
        <v>0.00212554339141197</v>
      </c>
      <c r="W64" s="0" t="n">
        <f aca="false">(Vin*H64/2)*(Fsw)*(Tr+Tf)</f>
        <v>0.0500277308443853</v>
      </c>
      <c r="X64" s="0" t="n">
        <f aca="false">IF(H64&gt;J64/2,0,ABS(H64-J64/2)*VsdTop*Deadtime*Fsw)</f>
        <v>0</v>
      </c>
      <c r="Y64" s="0" t="n">
        <f aca="false">(X64+W64+V64*(1+RdsonTopTc*Ta-RdsonTopTc*25))/(1-V64*RdsonTopTc*ThetaJaTop)</f>
        <v>0.0521754544742876</v>
      </c>
      <c r="Z64" s="0" t="n">
        <f aca="false">SQRT(1-I64)*SQRT(H64^2+(J64^2)/12)</f>
        <v>0.918852165374762</v>
      </c>
      <c r="AA64" s="0" t="n">
        <f aca="false">RdsonBot*Z64^2</f>
        <v>0.00101314716217667</v>
      </c>
      <c r="AB64" s="0" t="n">
        <f aca="false">2*Deadtime*Fsw*IF(VfdSky&gt;0,0,VsdBot)*(H64+J64/2)</f>
        <v>0.0328171279939714</v>
      </c>
      <c r="AC64" s="0" t="n">
        <f aca="false">(AB64+AA64*(1+RdsonBotTc*Ta-RdsonBotTc*25))/(1-AA64*RdsonBotTc*ThetaJaBot)</f>
        <v>0.0338371315549103</v>
      </c>
      <c r="AD64" s="0" t="n">
        <f aca="false">2*Deadtime*Fsw*IF(VfdSky&gt;0,VfdSky,0)*H64</f>
        <v>0</v>
      </c>
      <c r="AE64" s="0" t="n">
        <f aca="false">IF(QrrSky&gt;0,QrrSky,QrrBot)*Fsw*(Vin-H64*RdsonTop)</f>
        <v>0.4030768</v>
      </c>
      <c r="AF64" s="0" t="n">
        <f aca="false">Iq*Vin</f>
        <v>0.054</v>
      </c>
      <c r="AG64" s="0" t="n">
        <f aca="false">Vin*(QgTop+QgBot)*Fsw</f>
        <v>0.35784</v>
      </c>
      <c r="AH64" s="357" t="n">
        <f aca="false">(Vin-Vdd)*Fsw*(QgTop+QgBot)+(RdsonDRT+RdsonDRT2)*Fsw*QgTop*Vdd/(RdsonDRT+2*RGateTop+RdsonDRT2)+(RdsonDRB+RdsonDRB2)*Fsw*QgBot*Vdd/(RdsonDRB+2*RGateBot+RdsonDRB2)</f>
        <v>0.31571422459893</v>
      </c>
      <c r="AI64" s="0" t="n">
        <f aca="false">SUM(AF64:AG64)</f>
        <v>0.41184</v>
      </c>
      <c r="AJ64" s="402" t="n">
        <f aca="false">SUM(N64,Q64,T64,Y64,AE64,AD64,AC64,AI64)</f>
        <v>0.930648700121574</v>
      </c>
      <c r="AK64" s="358" t="n">
        <f aca="false">Vout*H64</f>
        <v>6.6</v>
      </c>
      <c r="AL64" s="359" t="n">
        <f aca="false">AK64/(AK64+AJ64)</f>
        <v>0.876418521540309</v>
      </c>
      <c r="AM64" s="0" t="n">
        <f aca="false">ThetaJaTop*Y64</f>
        <v>2.60877272371438</v>
      </c>
      <c r="AN64" s="0" t="n">
        <f aca="false">AC64*ThetaJaBot</f>
        <v>1.69185657774551</v>
      </c>
      <c r="AO64" s="359"/>
      <c r="AP64" s="0" t="n">
        <f aca="false">AL64*100</f>
        <v>87.6418521540309</v>
      </c>
      <c r="AZ64" s="403"/>
      <c r="BA64" s="404"/>
    </row>
    <row r="65" customFormat="false" ht="12.75" hidden="false" customHeight="false" outlineLevel="0" collapsed="false">
      <c r="G65" s="0" t="n">
        <v>56</v>
      </c>
      <c r="H65" s="0" t="n">
        <f aca="false">Iout*(G65/100)</f>
        <v>1.12</v>
      </c>
      <c r="I65" s="0" t="n">
        <f aca="false">(Vout+Rdcr*H65+RdsonBot*H65)/(Vin-RdsonTop*H65+RdsonBot*H65)</f>
        <v>0.33491830068265</v>
      </c>
      <c r="J65" s="0" t="n">
        <f aca="false">(Vin-Vout)*I65/(Fsw*Lout2)</f>
        <v>0.844331850460463</v>
      </c>
      <c r="K65" s="0" t="n">
        <f aca="false">SQRT(H65^2+(J65^2)/12)</f>
        <v>1.14621464953494</v>
      </c>
      <c r="L65" s="0" t="n">
        <f aca="false">(K65^2*Rdcr*(1+Ltc*Ta-Ltc*25))/(1-K65^2*Rdcr*Ltc*ThetaCa)</f>
        <v>0.0302908097328692</v>
      </c>
      <c r="N65" s="356" t="n">
        <f aca="false">L65</f>
        <v>0.0302908097328692</v>
      </c>
      <c r="O65" s="357" t="n">
        <f aca="false">J65/(2*SQRT(3))</f>
        <v>0.243737610574362</v>
      </c>
      <c r="P65" s="357" t="n">
        <f aca="false">RCoutEsr*O65^2</f>
        <v>2.97040114042496E-005</v>
      </c>
      <c r="Q65" s="357" t="n">
        <f aca="false">P65</f>
        <v>2.97040114042496E-005</v>
      </c>
      <c r="R65" s="0" t="n">
        <f aca="false">SQRT(I65)*SQRT(H65^2+(J65^2)/12)</f>
        <v>0.663338790078083</v>
      </c>
      <c r="S65" s="400" t="n">
        <f aca="false">RCinEsr*R65^2</f>
        <v>0.000440018350422255</v>
      </c>
      <c r="T65" s="401" t="n">
        <f aca="false">S65</f>
        <v>0.000440018350422255</v>
      </c>
      <c r="U65" s="0" t="n">
        <f aca="false">SQRT(I65)*SQRT(H65^2+(J65^2)/12)</f>
        <v>0.663338790078083</v>
      </c>
      <c r="V65" s="0" t="n">
        <f aca="false">RdsonTop*U65^2</f>
        <v>0.00220009175211128</v>
      </c>
      <c r="W65" s="0" t="n">
        <f aca="false">(Vin*H65/2)*(Fsw)*(Tr+Tf)</f>
        <v>0.0509373259506469</v>
      </c>
      <c r="X65" s="0" t="n">
        <f aca="false">IF(H65&gt;J65/2,0,ABS(H65-J65/2)*VsdTop*Deadtime*Fsw)</f>
        <v>0</v>
      </c>
      <c r="Y65" s="0" t="n">
        <f aca="false">(X65+W65+V65*(1+RdsonTopTc*Ta-RdsonTopTc*25))/(1-V65*RdsonTopTc*ThetaJaTop)</f>
        <v>0.0531608094344326</v>
      </c>
      <c r="Z65" s="0" t="n">
        <f aca="false">SQRT(1-I65)*SQRT(H65^2+(J65^2)/12)</f>
        <v>0.934767175496789</v>
      </c>
      <c r="AA65" s="0" t="n">
        <f aca="false">RdsonBot*Z65^2</f>
        <v>0.00104854760686349</v>
      </c>
      <c r="AB65" s="0" t="n">
        <f aca="false">2*Deadtime*Fsw*IF(VfdSky&gt;0,0,VsdBot)*(H65+J65/2)</f>
        <v>0.0332490973479638</v>
      </c>
      <c r="AC65" s="0" t="n">
        <f aca="false">(AB65+AA65*(1+RdsonBotTc*Ta-RdsonBotTc*25))/(1-AA65*RdsonBotTc*ThetaJaBot)</f>
        <v>0.034304839006196</v>
      </c>
      <c r="AD65" s="0" t="n">
        <f aca="false">2*Deadtime*Fsw*IF(VfdSky&gt;0,VfdSky,0)*H65</f>
        <v>0</v>
      </c>
      <c r="AE65" s="0" t="n">
        <f aca="false">IF(QrrSky&gt;0,QrrSky,QrrBot)*Fsw*(Vin-H65*RdsonTop)</f>
        <v>0.40307456</v>
      </c>
      <c r="AF65" s="0" t="n">
        <f aca="false">Iq*Vin</f>
        <v>0.054</v>
      </c>
      <c r="AG65" s="0" t="n">
        <f aca="false">Vin*(QgTop+QgBot)*Fsw</f>
        <v>0.35784</v>
      </c>
      <c r="AH65" s="357" t="n">
        <f aca="false">(Vin-Vdd)*Fsw*(QgTop+QgBot)+(RdsonDRT+RdsonDRT2)*Fsw*QgTop*Vdd/(RdsonDRT+2*RGateTop+RdsonDRT2)+(RdsonDRB+RdsonDRB2)*Fsw*QgBot*Vdd/(RdsonDRB+2*RGateBot+RdsonDRB2)</f>
        <v>0.31571422459893</v>
      </c>
      <c r="AI65" s="0" t="n">
        <f aca="false">SUM(AF65:AG65)</f>
        <v>0.41184</v>
      </c>
      <c r="AJ65" s="402" t="n">
        <f aca="false">SUM(N65,Q65,T65,Y65,AE65,AD65,AC65,AI65)</f>
        <v>0.933140740535324</v>
      </c>
      <c r="AK65" s="358" t="n">
        <f aca="false">Vout*H65</f>
        <v>6.72</v>
      </c>
      <c r="AL65" s="359" t="n">
        <f aca="false">AK65/(AK65+AJ65)</f>
        <v>0.878070876758755</v>
      </c>
      <c r="AM65" s="0" t="n">
        <f aca="false">ThetaJaTop*Y65</f>
        <v>2.65804047172163</v>
      </c>
      <c r="AN65" s="0" t="n">
        <f aca="false">AC65*ThetaJaBot</f>
        <v>1.7152419503098</v>
      </c>
      <c r="AO65" s="359"/>
      <c r="AP65" s="0" t="n">
        <f aca="false">AL65*100</f>
        <v>87.8070876758755</v>
      </c>
      <c r="AZ65" s="403"/>
      <c r="BA65" s="404"/>
    </row>
    <row r="66" customFormat="false" ht="12.75" hidden="false" customHeight="false" outlineLevel="0" collapsed="false">
      <c r="A66" s="362" t="s">
        <v>426</v>
      </c>
      <c r="B66" s="437"/>
      <c r="C66" s="437"/>
      <c r="D66" s="346"/>
      <c r="G66" s="0" t="n">
        <v>57</v>
      </c>
      <c r="H66" s="0" t="n">
        <f aca="false">Iout*(G66/100)</f>
        <v>1.14</v>
      </c>
      <c r="I66" s="0" t="n">
        <f aca="false">(Vout+Rdcr*H66+RdsonBot*H66)/(Vin-RdsonTop*H66+RdsonBot*H66)</f>
        <v>0.334946610484257</v>
      </c>
      <c r="J66" s="0" t="n">
        <f aca="false">(Vin-Vout)*I66/(Fsw*Lout2)</f>
        <v>0.84440321970821</v>
      </c>
      <c r="K66" s="0" t="n">
        <f aca="false">SQRT(H66^2+(J66^2)/12)</f>
        <v>1.16576930241556</v>
      </c>
      <c r="L66" s="0" t="n">
        <f aca="false">(K66^2*Rdcr*(1+Ltc*Ta-Ltc*25))/(1-K66^2*Rdcr*Ltc*ThetaCa)</f>
        <v>0.0313357735520384</v>
      </c>
      <c r="N66" s="356" t="n">
        <f aca="false">L66</f>
        <v>0.0313357735520384</v>
      </c>
      <c r="O66" s="357" t="n">
        <f aca="false">J66/(2*SQRT(3))</f>
        <v>0.243758213101561</v>
      </c>
      <c r="P66" s="357" t="n">
        <f aca="false">RCoutEsr*O66^2</f>
        <v>2.9709033227233E-005</v>
      </c>
      <c r="Q66" s="357" t="n">
        <f aca="false">P66</f>
        <v>2.9709033227233E-005</v>
      </c>
      <c r="R66" s="0" t="n">
        <f aca="false">SQRT(I66)*SQRT(H66^2+(J66^2)/12)</f>
        <v>0.674683996361105</v>
      </c>
      <c r="S66" s="400" t="n">
        <f aca="false">RCinEsr*R66^2</f>
        <v>0.000455198494945792</v>
      </c>
      <c r="T66" s="401" t="n">
        <f aca="false">S66</f>
        <v>0.000455198494945792</v>
      </c>
      <c r="U66" s="0" t="n">
        <f aca="false">SQRT(I66)*SQRT(H66^2+(J66^2)/12)</f>
        <v>0.674683996361105</v>
      </c>
      <c r="V66" s="0" t="n">
        <f aca="false">RdsonTop*U66^2</f>
        <v>0.00227599247472896</v>
      </c>
      <c r="W66" s="0" t="n">
        <f aca="false">(Vin*H66/2)*(Fsw)*(Tr+Tf)</f>
        <v>0.0518469210569084</v>
      </c>
      <c r="X66" s="0" t="n">
        <f aca="false">IF(H66&gt;J66/2,0,ABS(H66-J66/2)*VsdTop*Deadtime*Fsw)</f>
        <v>0</v>
      </c>
      <c r="Y66" s="0" t="n">
        <f aca="false">(X66+W66+V66*(1+RdsonTopTc*Ta-RdsonTopTc*25))/(1-V66*RdsonTopTc*ThetaJaTop)</f>
        <v>0.0541475614201008</v>
      </c>
      <c r="Z66" s="0" t="n">
        <f aca="false">SQRT(1-I66)*SQRT(H66^2+(J66^2)/12)</f>
        <v>0.950694257639476</v>
      </c>
      <c r="AA66" s="0" t="n">
        <f aca="false">RdsonBot*Z66^2</f>
        <v>0.00108458348581041</v>
      </c>
      <c r="AB66" s="0" t="n">
        <f aca="false">2*Deadtime*Fsw*IF(VfdSky&gt;0,0,VsdBot)*(H66+J66/2)</f>
        <v>0.0336810667084545</v>
      </c>
      <c r="AC66" s="0" t="n">
        <f aca="false">(AB66+AA66*(1+RdsonBotTc*Ta-RdsonBotTc*25))/(1-AA66*RdsonBotTc*ThetaJaBot)</f>
        <v>0.0347731930804577</v>
      </c>
      <c r="AD66" s="0" t="n">
        <f aca="false">2*Deadtime*Fsw*IF(VfdSky&gt;0,VfdSky,0)*H66</f>
        <v>0</v>
      </c>
      <c r="AE66" s="0" t="n">
        <f aca="false">IF(QrrSky&gt;0,QrrSky,QrrBot)*Fsw*(Vin-H66*RdsonTop)</f>
        <v>0.40307232</v>
      </c>
      <c r="AF66" s="0" t="n">
        <f aca="false">Iq*Vin</f>
        <v>0.054</v>
      </c>
      <c r="AG66" s="0" t="n">
        <f aca="false">Vin*(QgTop+QgBot)*Fsw</f>
        <v>0.35784</v>
      </c>
      <c r="AH66" s="357" t="n">
        <f aca="false">(Vin-Vdd)*Fsw*(QgTop+QgBot)+(RdsonDRT+RdsonDRT2)*Fsw*QgTop*Vdd/(RdsonDRT+2*RGateTop+RdsonDRT2)+(RdsonDRB+RdsonDRB2)*Fsw*QgBot*Vdd/(RdsonDRB+2*RGateBot+RdsonDRB2)</f>
        <v>0.31571422459893</v>
      </c>
      <c r="AI66" s="0" t="n">
        <f aca="false">SUM(AF66:AG66)</f>
        <v>0.41184</v>
      </c>
      <c r="AJ66" s="402" t="n">
        <f aca="false">SUM(N66,Q66,T66,Y66,AE66,AD66,AC66,AI66)</f>
        <v>0.93565375558077</v>
      </c>
      <c r="AK66" s="358" t="n">
        <f aca="false">Vout*H66</f>
        <v>6.84</v>
      </c>
      <c r="AL66" s="359" t="n">
        <f aca="false">AK66/(AK66+AJ66)</f>
        <v>0.879668798921347</v>
      </c>
      <c r="AM66" s="0" t="n">
        <f aca="false">ThetaJaTop*Y66</f>
        <v>2.70737807100504</v>
      </c>
      <c r="AN66" s="0" t="n">
        <f aca="false">AC66*ThetaJaBot</f>
        <v>1.73865965402289</v>
      </c>
      <c r="AO66" s="359"/>
      <c r="AP66" s="0" t="n">
        <f aca="false">AL66*100</f>
        <v>87.9668798921347</v>
      </c>
      <c r="AZ66" s="403"/>
      <c r="BA66" s="404"/>
    </row>
    <row r="67" customFormat="false" ht="12.75" hidden="false" customHeight="false" outlineLevel="0" collapsed="false">
      <c r="A67" s="438" t="s">
        <v>354</v>
      </c>
      <c r="B67" s="397" t="s">
        <v>122</v>
      </c>
      <c r="C67" s="439" t="s">
        <v>430</v>
      </c>
      <c r="D67" s="346"/>
      <c r="G67" s="0" t="n">
        <v>58</v>
      </c>
      <c r="H67" s="0" t="n">
        <f aca="false">Iout*(G67/100)</f>
        <v>1.16</v>
      </c>
      <c r="I67" s="0" t="n">
        <f aca="false">(Vout+Rdcr*H67+RdsonBot*H67)/(Vin-RdsonTop*H67+RdsonBot*H67)</f>
        <v>0.334974920524982</v>
      </c>
      <c r="J67" s="0" t="n">
        <f aca="false">(Vin-Vout)*I67/(Fsw*Lout2)</f>
        <v>0.844474589558778</v>
      </c>
      <c r="K67" s="0" t="n">
        <f aca="false">SQRT(H67^2+(J67^2)/12)</f>
        <v>1.18533881697775</v>
      </c>
      <c r="L67" s="0" t="n">
        <f aca="false">(K67^2*Rdcr*(1+Ltc*Ta-Ltc*25))/(1-K67^2*Rdcr*Ltc*ThetaCa)</f>
        <v>0.0323994071770576</v>
      </c>
      <c r="N67" s="356" t="n">
        <f aca="false">L67</f>
        <v>0.0323994071770576</v>
      </c>
      <c r="O67" s="357" t="n">
        <f aca="false">J67/(2*SQRT(3))</f>
        <v>0.24377881580278</v>
      </c>
      <c r="P67" s="357" t="n">
        <f aca="false">RCoutEsr*O67^2</f>
        <v>2.97140555171028E-005</v>
      </c>
      <c r="Q67" s="357" t="n">
        <f aca="false">P67</f>
        <v>2.97140555171028E-005</v>
      </c>
      <c r="R67" s="0" t="n">
        <f aca="false">SQRT(I67)*SQRT(H67^2+(J67^2)/12)</f>
        <v>0.686038759713362</v>
      </c>
      <c r="S67" s="400" t="n">
        <f aca="false">RCinEsr*R67^2</f>
        <v>0.000470649179829048</v>
      </c>
      <c r="T67" s="401" t="n">
        <f aca="false">S67</f>
        <v>0.000470649179829048</v>
      </c>
      <c r="U67" s="0" t="n">
        <f aca="false">SQRT(I67)*SQRT(H67^2+(J67^2)/12)</f>
        <v>0.686038759713362</v>
      </c>
      <c r="V67" s="0" t="n">
        <f aca="false">RdsonTop*U67^2</f>
        <v>0.00235324589914524</v>
      </c>
      <c r="W67" s="0" t="n">
        <f aca="false">(Vin*H67/2)*(Fsw)*(Tr+Tf)</f>
        <v>0.05275651616317</v>
      </c>
      <c r="X67" s="0" t="n">
        <f aca="false">IF(H67&gt;J67/2,0,ABS(H67-J67/2)*VsdTop*Deadtime*Fsw)</f>
        <v>0</v>
      </c>
      <c r="Y67" s="0" t="n">
        <f aca="false">(X67+W67+V67*(1+RdsonTopTc*Ta-RdsonTopTc*25))/(1-V67*RdsonTopTc*ThetaJaTop)</f>
        <v>0.0551357116397778</v>
      </c>
      <c r="Z67" s="0" t="n">
        <f aca="false">SQRT(1-I67)*SQRT(H67^2+(J67^2)/12)</f>
        <v>0.96663277991446</v>
      </c>
      <c r="AA67" s="0" t="n">
        <f aca="false">RdsonBot*Z67^2</f>
        <v>0.00112125471744619</v>
      </c>
      <c r="AB67" s="0" t="n">
        <f aca="false">2*Deadtime*Fsw*IF(VfdSky&gt;0,0,VsdBot)*(H67+J67/2)</f>
        <v>0.0341130360754436</v>
      </c>
      <c r="AC67" s="0" t="n">
        <f aca="false">(AB67+AA67*(1+RdsonBotTc*Ta-RdsonBotTc*25))/(1-AA67*RdsonBotTc*ThetaJaBot)</f>
        <v>0.0352421938881199</v>
      </c>
      <c r="AD67" s="0" t="n">
        <f aca="false">2*Deadtime*Fsw*IF(VfdSky&gt;0,VfdSky,0)*H67</f>
        <v>0</v>
      </c>
      <c r="AE67" s="0" t="n">
        <f aca="false">IF(QrrSky&gt;0,QrrSky,QrrBot)*Fsw*(Vin-H67*RdsonTop)</f>
        <v>0.40307008</v>
      </c>
      <c r="AF67" s="0" t="n">
        <f aca="false">Iq*Vin</f>
        <v>0.054</v>
      </c>
      <c r="AG67" s="0" t="n">
        <f aca="false">Vin*(QgTop+QgBot)*Fsw</f>
        <v>0.35784</v>
      </c>
      <c r="AH67" s="357" t="n">
        <f aca="false">(Vin-Vdd)*Fsw*(QgTop+QgBot)+(RdsonDRT+RdsonDRT2)*Fsw*QgTop*Vdd/(RdsonDRT+2*RGateTop+RdsonDRT2)+(RdsonDRB+RdsonDRB2)*Fsw*QgBot*Vdd/(RdsonDRB+2*RGateBot+RdsonDRB2)</f>
        <v>0.31571422459893</v>
      </c>
      <c r="AI67" s="0" t="n">
        <f aca="false">SUM(AF67:AG67)</f>
        <v>0.41184</v>
      </c>
      <c r="AJ67" s="402" t="n">
        <f aca="false">SUM(N67,Q67,T67,Y67,AE67,AD67,AC67,AI67)</f>
        <v>0.938187755940301</v>
      </c>
      <c r="AK67" s="358" t="n">
        <f aca="false">Vout*H67</f>
        <v>6.96</v>
      </c>
      <c r="AL67" s="359" t="n">
        <f aca="false">AK67/(AK67+AJ67)</f>
        <v>0.881214807126523</v>
      </c>
      <c r="AM67" s="0" t="n">
        <f aca="false">ThetaJaTop*Y67</f>
        <v>2.75678558198889</v>
      </c>
      <c r="AN67" s="0" t="n">
        <f aca="false">AC67*ThetaJaBot</f>
        <v>1.76210969440599</v>
      </c>
      <c r="AO67" s="359"/>
      <c r="AP67" s="0" t="n">
        <f aca="false">AL67*100</f>
        <v>88.1214807126523</v>
      </c>
      <c r="AZ67" s="403"/>
      <c r="BA67" s="404"/>
    </row>
    <row r="68" customFormat="false" ht="12.75" hidden="false" customHeight="false" outlineLevel="0" collapsed="false">
      <c r="A68" s="440" t="s">
        <v>639</v>
      </c>
      <c r="B68" s="441" t="n">
        <f aca="false">I109</f>
        <v>0.336164158200129</v>
      </c>
      <c r="C68" s="426" t="s">
        <v>208</v>
      </c>
      <c r="D68" s="346"/>
      <c r="G68" s="0" t="n">
        <v>59</v>
      </c>
      <c r="H68" s="0" t="n">
        <f aca="false">Iout*(G68/100)</f>
        <v>1.18</v>
      </c>
      <c r="I68" s="0" t="n">
        <f aca="false">(Vout+Rdcr*H68+RdsonBot*H68)/(Vin-RdsonTop*H68+RdsonBot*H68)</f>
        <v>0.335003230804829</v>
      </c>
      <c r="J68" s="0" t="n">
        <f aca="false">(Vin-Vout)*I68/(Fsw*Lout2)</f>
        <v>0.844545960012175</v>
      </c>
      <c r="K68" s="0" t="n">
        <f aca="false">SQRT(H68^2+(J68^2)/12)</f>
        <v>1.20492246910237</v>
      </c>
      <c r="L68" s="0" t="n">
        <f aca="false">(K68^2*Rdcr*(1+Ltc*Ta-Ltc*25))/(1-K68^2*Rdcr*Ltc*ThetaCa)</f>
        <v>0.0334817200718929</v>
      </c>
      <c r="N68" s="356" t="n">
        <f aca="false">L68</f>
        <v>0.0334817200718929</v>
      </c>
      <c r="O68" s="357" t="n">
        <f aca="false">J68/(2*SQRT(3))</f>
        <v>0.24379941867802</v>
      </c>
      <c r="P68" s="357" t="n">
        <f aca="false">RCoutEsr*O68^2</f>
        <v>2.97190782738703E-005</v>
      </c>
      <c r="Q68" s="357" t="n">
        <f aca="false">P68</f>
        <v>2.97190782738703E-005</v>
      </c>
      <c r="R68" s="0" t="n">
        <f aca="false">SQRT(I68)*SQRT(H68^2+(J68^2)/12)</f>
        <v>0.697402662060607</v>
      </c>
      <c r="S68" s="400" t="n">
        <f aca="false">RCinEsr*R68^2</f>
        <v>0.000486370473049221</v>
      </c>
      <c r="T68" s="401" t="n">
        <f aca="false">S68</f>
        <v>0.000486370473049221</v>
      </c>
      <c r="U68" s="0" t="n">
        <f aca="false">SQRT(I68)*SQRT(H68^2+(J68^2)/12)</f>
        <v>0.697402662060607</v>
      </c>
      <c r="V68" s="0" t="n">
        <f aca="false">RdsonTop*U68^2</f>
        <v>0.0024318523652461</v>
      </c>
      <c r="W68" s="0" t="n">
        <f aca="false">(Vin*H68/2)*(Fsw)*(Tr+Tf)</f>
        <v>0.0536661112694315</v>
      </c>
      <c r="X68" s="0" t="n">
        <f aca="false">IF(H68&gt;J68/2,0,ABS(H68-J68/2)*VsdTop*Deadtime*Fsw)</f>
        <v>0</v>
      </c>
      <c r="Y68" s="0" t="n">
        <f aca="false">(X68+W68+V68*(1+RdsonTopTc*Ta-RdsonTopTc*25))/(1-V68*RdsonTopTc*ThetaJaTop)</f>
        <v>0.0561252613045683</v>
      </c>
      <c r="Z68" s="0" t="n">
        <f aca="false">SQRT(1-I68)*SQRT(H68^2+(J68^2)/12)</f>
        <v>0.982582151017674</v>
      </c>
      <c r="AA68" s="0" t="n">
        <f aca="false">RdsonBot*Z68^2</f>
        <v>0.00115856122019822</v>
      </c>
      <c r="AB68" s="0" t="n">
        <f aca="false">2*Deadtime*Fsw*IF(VfdSky&gt;0,0,VsdBot)*(H68+J68/2)</f>
        <v>0.0345450054489312</v>
      </c>
      <c r="AC68" s="0" t="n">
        <f aca="false">(AB68+AA68*(1+RdsonBotTc*Ta-RdsonBotTc*25))/(1-AA68*RdsonBotTc*ThetaJaBot)</f>
        <v>0.0357118415400715</v>
      </c>
      <c r="AD68" s="0" t="n">
        <f aca="false">2*Deadtime*Fsw*IF(VfdSky&gt;0,VfdSky,0)*H68</f>
        <v>0</v>
      </c>
      <c r="AE68" s="0" t="n">
        <f aca="false">IF(QrrSky&gt;0,QrrSky,QrrBot)*Fsw*(Vin-H68*RdsonTop)</f>
        <v>0.40306784</v>
      </c>
      <c r="AF68" s="0" t="n">
        <f aca="false">Iq*Vin</f>
        <v>0.054</v>
      </c>
      <c r="AG68" s="0" t="n">
        <f aca="false">Vin*(QgTop+QgBot)*Fsw</f>
        <v>0.35784</v>
      </c>
      <c r="AH68" s="357" t="n">
        <f aca="false">(Vin-Vdd)*Fsw*(QgTop+QgBot)+(RdsonDRT+RdsonDRT2)*Fsw*QgTop*Vdd/(RdsonDRT+2*RGateTop+RdsonDRT2)+(RdsonDRB+RdsonDRB2)*Fsw*QgBot*Vdd/(RdsonDRB+2*RGateBot+RdsonDRB2)</f>
        <v>0.31571422459893</v>
      </c>
      <c r="AI68" s="0" t="n">
        <f aca="false">SUM(AF68:AG68)</f>
        <v>0.41184</v>
      </c>
      <c r="AJ68" s="402" t="n">
        <f aca="false">SUM(N68,Q68,T68,Y68,AE68,AD68,AC68,AI68)</f>
        <v>0.940742752467856</v>
      </c>
      <c r="AK68" s="358" t="n">
        <f aca="false">Vout*H68</f>
        <v>7.08</v>
      </c>
      <c r="AL68" s="359" t="n">
        <f aca="false">AK68/(AK68+AJ68)</f>
        <v>0.882711267335135</v>
      </c>
      <c r="AM68" s="0" t="n">
        <f aca="false">ThetaJaTop*Y68</f>
        <v>2.80626306522842</v>
      </c>
      <c r="AN68" s="0" t="n">
        <f aca="false">AC68*ThetaJaBot</f>
        <v>1.78559207700358</v>
      </c>
      <c r="AO68" s="359"/>
      <c r="AP68" s="0" t="n">
        <f aca="false">AL68*100</f>
        <v>88.2711267335135</v>
      </c>
      <c r="AZ68" s="403"/>
      <c r="BA68" s="404"/>
    </row>
    <row r="69" customFormat="false" ht="12.75" hidden="false" customHeight="false" outlineLevel="0" collapsed="false">
      <c r="A69" s="411" t="s">
        <v>640</v>
      </c>
      <c r="B69" s="441" t="n">
        <f aca="false">1-B68</f>
        <v>0.663835841799871</v>
      </c>
      <c r="C69" s="426" t="s">
        <v>208</v>
      </c>
      <c r="G69" s="0" t="n">
        <v>60</v>
      </c>
      <c r="H69" s="0" t="n">
        <f aca="false">Iout*(G69/100)</f>
        <v>1.2</v>
      </c>
      <c r="I69" s="0" t="n">
        <f aca="false">(Vout+Rdcr*H69+RdsonBot*H69)/(Vin-RdsonTop*H69+RdsonBot*H69)</f>
        <v>0.335031541323802</v>
      </c>
      <c r="J69" s="0" t="n">
        <f aca="false">(Vin-Vout)*I69/(Fsw*Lout2)</f>
        <v>0.844617331068408</v>
      </c>
      <c r="K69" s="0" t="n">
        <f aca="false">SQRT(H69^2+(J69^2)/12)</f>
        <v>1.22451958048661</v>
      </c>
      <c r="L69" s="0" t="n">
        <f aca="false">(K69^2*Rdcr*(1+Ltc*Ta-Ltc*25))/(1-K69^2*Rdcr*Ltc*ThetaCa)</f>
        <v>0.0345827218691842</v>
      </c>
      <c r="N69" s="356" t="n">
        <f aca="false">L69</f>
        <v>0.0345827218691842</v>
      </c>
      <c r="O69" s="357" t="n">
        <f aca="false">J69/(2*SQRT(3))</f>
        <v>0.243820021727284</v>
      </c>
      <c r="P69" s="357" t="n">
        <f aca="false">RCoutEsr*O69^2</f>
        <v>2.97241014975467E-005</v>
      </c>
      <c r="Q69" s="357" t="n">
        <f aca="false">P69</f>
        <v>2.97241014975467E-005</v>
      </c>
      <c r="R69" s="0" t="n">
        <f aca="false">SQRT(I69)*SQRT(H69^2+(J69^2)/12)</f>
        <v>0.708775311777048</v>
      </c>
      <c r="S69" s="400" t="n">
        <f aca="false">RCinEsr*R69^2</f>
        <v>0.000502362442584651</v>
      </c>
      <c r="T69" s="401" t="n">
        <f aca="false">S69</f>
        <v>0.000502362442584651</v>
      </c>
      <c r="U69" s="0" t="n">
        <f aca="false">SQRT(I69)*SQRT(H69^2+(J69^2)/12)</f>
        <v>0.708775311777048</v>
      </c>
      <c r="V69" s="0" t="n">
        <f aca="false">RdsonTop*U69^2</f>
        <v>0.00251181221292326</v>
      </c>
      <c r="W69" s="0" t="n">
        <f aca="false">(Vin*H69/2)*(Fsw)*(Tr+Tf)</f>
        <v>0.0545757063756931</v>
      </c>
      <c r="X69" s="0" t="n">
        <f aca="false">IF(H69&gt;J69/2,0,ABS(H69-J69/2)*VsdTop*Deadtime*Fsw)</f>
        <v>0</v>
      </c>
      <c r="Y69" s="0" t="n">
        <f aca="false">(X69+W69+V69*(1+RdsonTopTc*Ta-RdsonTopTc*25))/(1-V69*RdsonTopTc*ThetaJaTop)</f>
        <v>0.0571162116282011</v>
      </c>
      <c r="Z69" s="0" t="n">
        <f aca="false">SQRT(1-I69)*SQRT(H69^2+(J69^2)/12)</f>
        <v>0.998541817056472</v>
      </c>
      <c r="AA69" s="0" t="n">
        <f aca="false">RdsonBot*Z69^2</f>
        <v>0.00119650291249253</v>
      </c>
      <c r="AB69" s="0" t="n">
        <f aca="false">2*Deadtime*Fsw*IF(VfdSky&gt;0,0,VsdBot)*(H69+J69/2)</f>
        <v>0.0349769748289174</v>
      </c>
      <c r="AC69" s="0" t="n">
        <f aca="false">(AB69+AA69*(1+RdsonBotTc*Ta-RdsonBotTc*25))/(1-AA69*RdsonBotTc*ThetaJaBot)</f>
        <v>0.0361821361476661</v>
      </c>
      <c r="AD69" s="0" t="n">
        <f aca="false">2*Deadtime*Fsw*IF(VfdSky&gt;0,VfdSky,0)*H69</f>
        <v>0</v>
      </c>
      <c r="AE69" s="0" t="n">
        <f aca="false">IF(QrrSky&gt;0,QrrSky,QrrBot)*Fsw*(Vin-H69*RdsonTop)</f>
        <v>0.4030656</v>
      </c>
      <c r="AF69" s="0" t="n">
        <f aca="false">Iq*Vin</f>
        <v>0.054</v>
      </c>
      <c r="AG69" s="0" t="n">
        <f aca="false">Vin*(QgTop+QgBot)*Fsw</f>
        <v>0.35784</v>
      </c>
      <c r="AH69" s="357" t="n">
        <f aca="false">(Vin-Vdd)*Fsw*(QgTop+QgBot)+(RdsonDRT+RdsonDRT2)*Fsw*QgTop*Vdd/(RdsonDRT+2*RGateTop+RdsonDRT2)+(RdsonDRB+RdsonDRB2)*Fsw*QgBot*Vdd/(RdsonDRB+2*RGateBot+RdsonDRB2)</f>
        <v>0.31571422459893</v>
      </c>
      <c r="AI69" s="0" t="n">
        <f aca="false">SUM(AF69:AG69)</f>
        <v>0.41184</v>
      </c>
      <c r="AJ69" s="402" t="n">
        <f aca="false">SUM(N69,Q69,T69,Y69,AE69,AD69,AC69,AI69)</f>
        <v>0.943318756189134</v>
      </c>
      <c r="AK69" s="358" t="n">
        <f aca="false">Vout*H69</f>
        <v>7.2</v>
      </c>
      <c r="AL69" s="359" t="n">
        <f aca="false">AK69/(AK69+AJ69)</f>
        <v>0.8841604038314</v>
      </c>
      <c r="AM69" s="0" t="n">
        <f aca="false">ThetaJaTop*Y69</f>
        <v>2.85581058141005</v>
      </c>
      <c r="AN69" s="0" t="n">
        <f aca="false">AC69*ThetaJaBot</f>
        <v>1.80910680738331</v>
      </c>
      <c r="AO69" s="359"/>
      <c r="AP69" s="0" t="n">
        <f aca="false">AL69*100</f>
        <v>88.41604038314</v>
      </c>
      <c r="AZ69" s="403"/>
      <c r="BA69" s="404"/>
    </row>
    <row r="70" customFormat="false" ht="12.75" hidden="false" customHeight="false" outlineLevel="0" collapsed="false">
      <c r="A70" s="442" t="s">
        <v>641</v>
      </c>
      <c r="B70" s="441" t="n">
        <f aca="false">Ipp</f>
        <v>0.663835841799871</v>
      </c>
      <c r="C70" s="426" t="s">
        <v>12</v>
      </c>
      <c r="G70" s="0" t="n">
        <v>61</v>
      </c>
      <c r="H70" s="0" t="n">
        <f aca="false">Iout*(G70/100)</f>
        <v>1.22</v>
      </c>
      <c r="I70" s="0" t="n">
        <f aca="false">(Vout+Rdcr*H70+RdsonBot*H70)/(Vin-RdsonTop*H70+RdsonBot*H70)</f>
        <v>0.335059852081903</v>
      </c>
      <c r="J70" s="0" t="n">
        <f aca="false">(Vin-Vout)*I70/(Fsw*Lout2)</f>
        <v>0.844688702727486</v>
      </c>
      <c r="K70" s="0" t="n">
        <f aca="false">SQRT(H70^2+(J70^2)/12)</f>
        <v>1.24412951511339</v>
      </c>
      <c r="L70" s="0" t="n">
        <f aca="false">(K70^2*Rdcr*(1+Ltc*Ta-Ltc*25))/(1-K70^2*Rdcr*Ltc*ThetaCa)</f>
        <v>0.0357024223704598</v>
      </c>
      <c r="N70" s="356" t="n">
        <f aca="false">L70</f>
        <v>0.0357024223704598</v>
      </c>
      <c r="O70" s="357" t="n">
        <f aca="false">J70/(2*SQRT(3))</f>
        <v>0.243840624950575</v>
      </c>
      <c r="P70" s="357" t="n">
        <f aca="false">RCoutEsr*O70^2</f>
        <v>2.97291251881435E-005</v>
      </c>
      <c r="Q70" s="357" t="n">
        <f aca="false">P70</f>
        <v>2.97291251881435E-005</v>
      </c>
      <c r="R70" s="0" t="n">
        <f aca="false">SQRT(I70)*SQRT(H70^2+(J70^2)/12)</f>
        <v>0.720156341647306</v>
      </c>
      <c r="S70" s="400" t="n">
        <f aca="false">RCinEsr*R70^2</f>
        <v>0.000518625156414832</v>
      </c>
      <c r="T70" s="401" t="n">
        <f aca="false">S70</f>
        <v>0.000518625156414832</v>
      </c>
      <c r="U70" s="0" t="n">
        <f aca="false">SQRT(I70)*SQRT(H70^2+(J70^2)/12)</f>
        <v>0.720156341647306</v>
      </c>
      <c r="V70" s="0" t="n">
        <f aca="false">RdsonTop*U70^2</f>
        <v>0.00259312578207416</v>
      </c>
      <c r="W70" s="0" t="n">
        <f aca="false">(Vin*H70/2)*(Fsw)*(Tr+Tf)</f>
        <v>0.0554853014819546</v>
      </c>
      <c r="X70" s="0" t="n">
        <f aca="false">IF(H70&gt;J70/2,0,ABS(H70-J70/2)*VsdTop*Deadtime*Fsw)</f>
        <v>0</v>
      </c>
      <c r="Y70" s="0" t="n">
        <f aca="false">(X70+W70+V70*(1+RdsonTopTc*Ta-RdsonTopTc*25))/(1-V70*RdsonTopTc*ThetaJaTop)</f>
        <v>0.0581085638270326</v>
      </c>
      <c r="Z70" s="0" t="n">
        <f aca="false">SQRT(1-I70)*SQRT(H70^2+(J70^2)/12)</f>
        <v>1.01451125866668</v>
      </c>
      <c r="AA70" s="0" t="n">
        <f aca="false">RdsonBot*Z70^2</f>
        <v>0.00123507971275375</v>
      </c>
      <c r="AB70" s="0" t="n">
        <f aca="false">2*Deadtime*Fsw*IF(VfdSky&gt;0,0,VsdBot)*(H70+J70/2)</f>
        <v>0.0354089442154023</v>
      </c>
      <c r="AC70" s="0" t="n">
        <f aca="false">(AB70+AA70*(1+RdsonBotTc*Ta-RdsonBotTc*25))/(1-AA70*RdsonBotTc*ThetaJaBot)</f>
        <v>0.0366530778227218</v>
      </c>
      <c r="AD70" s="0" t="n">
        <f aca="false">2*Deadtime*Fsw*IF(VfdSky&gt;0,VfdSky,0)*H70</f>
        <v>0</v>
      </c>
      <c r="AE70" s="0" t="n">
        <f aca="false">IF(QrrSky&gt;0,QrrSky,QrrBot)*Fsw*(Vin-H70*RdsonTop)</f>
        <v>0.40306336</v>
      </c>
      <c r="AF70" s="0" t="n">
        <f aca="false">Iq*Vin</f>
        <v>0.054</v>
      </c>
      <c r="AG70" s="0" t="n">
        <f aca="false">Vin*(QgTop+QgBot)*Fsw</f>
        <v>0.35784</v>
      </c>
      <c r="AH70" s="357" t="n">
        <f aca="false">(Vin-Vdd)*Fsw*(QgTop+QgBot)+(RdsonDRT+RdsonDRT2)*Fsw*QgTop*Vdd/(RdsonDRT+2*RGateTop+RdsonDRT2)+(RdsonDRB+RdsonDRB2)*Fsw*QgBot*Vdd/(RdsonDRB+2*RGateBot+RdsonDRB2)</f>
        <v>0.31571422459893</v>
      </c>
      <c r="AI70" s="0" t="n">
        <f aca="false">SUM(AF70:AG70)</f>
        <v>0.41184</v>
      </c>
      <c r="AJ70" s="402" t="n">
        <f aca="false">SUM(N70,Q70,T70,Y70,AE70,AD70,AC70,AI70)</f>
        <v>0.945915778301817</v>
      </c>
      <c r="AK70" s="358" t="n">
        <f aca="false">Vout*H70</f>
        <v>7.32</v>
      </c>
      <c r="AL70" s="359" t="n">
        <f aca="false">AK70/(AK70+AJ70)</f>
        <v>0.885564309669733</v>
      </c>
      <c r="AM70" s="0" t="n">
        <f aca="false">ThetaJaTop*Y70</f>
        <v>2.90542819135163</v>
      </c>
      <c r="AN70" s="0" t="n">
        <f aca="false">AC70*ThetaJaBot</f>
        <v>1.83265389113609</v>
      </c>
      <c r="AO70" s="359"/>
      <c r="AP70" s="0" t="n">
        <f aca="false">AL70*100</f>
        <v>88.5564309669733</v>
      </c>
      <c r="AZ70" s="403"/>
      <c r="BA70" s="404"/>
    </row>
    <row r="71" customFormat="false" ht="12.75" hidden="false" customHeight="false" outlineLevel="0" collapsed="false">
      <c r="A71" s="438" t="s">
        <v>380</v>
      </c>
      <c r="B71" s="397" t="s">
        <v>122</v>
      </c>
      <c r="C71" s="399" t="s">
        <v>430</v>
      </c>
      <c r="G71" s="0" t="n">
        <v>62</v>
      </c>
      <c r="H71" s="0" t="n">
        <f aca="false">Iout*(G71/100)</f>
        <v>1.24</v>
      </c>
      <c r="I71" s="0" t="n">
        <f aca="false">(Vout+Rdcr*H71+RdsonBot*H71)/(Vin-RdsonTop*H71+RdsonBot*H71)</f>
        <v>0.335088163079135</v>
      </c>
      <c r="J71" s="0" t="n">
        <f aca="false">(Vin-Vout)*I71/(Fsw*Lout2)</f>
        <v>0.844760074989416</v>
      </c>
      <c r="K71" s="0" t="n">
        <f aca="false">SQRT(H71^2+(J71^2)/12)</f>
        <v>1.26375167603899</v>
      </c>
      <c r="L71" s="0" t="n">
        <f aca="false">(K71^2*Rdcr*(1+Ltc*Ta-Ltc*25))/(1-K71^2*Rdcr*Ltc*ThetaCa)</f>
        <v>0.0368408315463555</v>
      </c>
      <c r="N71" s="356" t="n">
        <f aca="false">L71</f>
        <v>0.0368408315463555</v>
      </c>
      <c r="O71" s="357" t="n">
        <f aca="false">J71/(2*SQRT(3))</f>
        <v>0.243861228347894</v>
      </c>
      <c r="P71" s="357" t="n">
        <f aca="false">RCoutEsr*O71^2</f>
        <v>2.97341493456718E-005</v>
      </c>
      <c r="Q71" s="357" t="n">
        <f aca="false">P71</f>
        <v>2.97341493456718E-005</v>
      </c>
      <c r="R71" s="0" t="n">
        <f aca="false">SQRT(I71)*SQRT(H71^2+(J71^2)/12)</f>
        <v>0.731545407012033</v>
      </c>
      <c r="S71" s="400" t="n">
        <f aca="false">RCinEsr*R71^2</f>
        <v>0.000535158682520402</v>
      </c>
      <c r="T71" s="401" t="n">
        <f aca="false">S71</f>
        <v>0.000535158682520402</v>
      </c>
      <c r="U71" s="0" t="n">
        <f aca="false">SQRT(I71)*SQRT(H71^2+(J71^2)/12)</f>
        <v>0.731545407012033</v>
      </c>
      <c r="V71" s="0" t="n">
        <f aca="false">RdsonTop*U71^2</f>
        <v>0.00267579341260201</v>
      </c>
      <c r="W71" s="0" t="n">
        <f aca="false">(Vin*H71/2)*(Fsw)*(Tr+Tf)</f>
        <v>0.0563948965882162</v>
      </c>
      <c r="X71" s="0" t="n">
        <f aca="false">IF(H71&gt;J71/2,0,ABS(H71-J71/2)*VsdTop*Deadtime*Fsw)</f>
        <v>0</v>
      </c>
      <c r="Y71" s="0" t="n">
        <f aca="false">(X71+W71+V71*(1+RdsonTopTc*Ta-RdsonTopTc*25))/(1-V71*RdsonTopTc*ThetaJaTop)</f>
        <v>0.0591023191200524</v>
      </c>
      <c r="Z71" s="0" t="n">
        <f aca="false">SQRT(1-I71)*SQRT(H71^2+(J71^2)/12)</f>
        <v>1.03048998838948</v>
      </c>
      <c r="AA71" s="0" t="n">
        <f aca="false">RdsonBot*Z71^2</f>
        <v>0.00127429153940513</v>
      </c>
      <c r="AB71" s="0" t="n">
        <f aca="false">2*Deadtime*Fsw*IF(VfdSky&gt;0,0,VsdBot)*(H71+J71/2)</f>
        <v>0.0358409136083859</v>
      </c>
      <c r="AC71" s="0" t="n">
        <f aca="false">(AB71+AA71*(1+RdsonBotTc*Ta-RdsonBotTc*25))/(1-AA71*RdsonBotTc*ThetaJaBot)</f>
        <v>0.0371246666775211</v>
      </c>
      <c r="AD71" s="0" t="n">
        <f aca="false">2*Deadtime*Fsw*IF(VfdSky&gt;0,VfdSky,0)*H71</f>
        <v>0</v>
      </c>
      <c r="AE71" s="0" t="n">
        <f aca="false">IF(QrrSky&gt;0,QrrSky,QrrBot)*Fsw*(Vin-H71*RdsonTop)</f>
        <v>0.40306112</v>
      </c>
      <c r="AF71" s="0" t="n">
        <f aca="false">Iq*Vin</f>
        <v>0.054</v>
      </c>
      <c r="AG71" s="0" t="n">
        <f aca="false">Vin*(QgTop+QgBot)*Fsw</f>
        <v>0.35784</v>
      </c>
      <c r="AH71" s="357" t="n">
        <f aca="false">(Vin-Vdd)*Fsw*(QgTop+QgBot)+(RdsonDRT+RdsonDRT2)*Fsw*QgTop*Vdd/(RdsonDRT+2*RGateTop+RdsonDRT2)+(RdsonDRB+RdsonDRB2)*Fsw*QgBot*Vdd/(RdsonDRB+2*RGateBot+RdsonDRB2)</f>
        <v>0.31571422459893</v>
      </c>
      <c r="AI71" s="0" t="n">
        <f aca="false">SUM(AF71:AG71)</f>
        <v>0.41184</v>
      </c>
      <c r="AJ71" s="402" t="n">
        <f aca="false">SUM(N71,Q71,T71,Y71,AE71,AD71,AC71,AI71)</f>
        <v>0.948533830175795</v>
      </c>
      <c r="AK71" s="358" t="n">
        <f aca="false">Vout*H71</f>
        <v>7.44</v>
      </c>
      <c r="AL71" s="359" t="n">
        <f aca="false">AK71/(AK71+AJ71)</f>
        <v>0.886924956210623</v>
      </c>
      <c r="AM71" s="0" t="n">
        <f aca="false">ThetaJaTop*Y71</f>
        <v>2.95511595600262</v>
      </c>
      <c r="AN71" s="0" t="n">
        <f aca="false">AC71*ThetaJaBot</f>
        <v>1.85623333387606</v>
      </c>
      <c r="AO71" s="359"/>
      <c r="AP71" s="0" t="n">
        <f aca="false">AL71*100</f>
        <v>88.6924956210623</v>
      </c>
      <c r="AZ71" s="403"/>
      <c r="BA71" s="404"/>
    </row>
    <row r="72" customFormat="false" ht="12.75" hidden="false" customHeight="false" outlineLevel="0" collapsed="false">
      <c r="A72" s="440" t="s">
        <v>427</v>
      </c>
      <c r="B72" s="441" t="n">
        <f aca="false">(QgdTop+QgsTop/2)*(RdsonDRT+RGateTop)/(Vdd-VspTop)*1000000000</f>
        <v>3.56236996834012</v>
      </c>
      <c r="C72" s="426" t="s">
        <v>635</v>
      </c>
      <c r="G72" s="0" t="n">
        <v>63</v>
      </c>
      <c r="H72" s="0" t="n">
        <f aca="false">Iout*(G72/100)</f>
        <v>1.26</v>
      </c>
      <c r="I72" s="0" t="n">
        <f aca="false">(Vout+Rdcr*H72+RdsonBot*H72)/(Vin-RdsonTop*H72+RdsonBot*H72)</f>
        <v>0.335116474315501</v>
      </c>
      <c r="J72" s="0" t="n">
        <f aca="false">(Vin-Vout)*I72/(Fsw*Lout2)</f>
        <v>0.844831447854205</v>
      </c>
      <c r="K72" s="0" t="n">
        <f aca="false">SQRT(H72^2+(J72^2)/12)</f>
        <v>1.28338550246615</v>
      </c>
      <c r="L72" s="0" t="n">
        <f aca="false">(K72^2*Rdcr*(1+Ltc*Ta-Ltc*25))/(1-K72^2*Rdcr*Ltc*ThetaCa)</f>
        <v>0.0379979595368376</v>
      </c>
      <c r="N72" s="356" t="n">
        <f aca="false">L72</f>
        <v>0.0379979595368376</v>
      </c>
      <c r="O72" s="357" t="n">
        <f aca="false">J72/(2*SQRT(3))</f>
        <v>0.243881831919243</v>
      </c>
      <c r="P72" s="357" t="n">
        <f aca="false">RCoutEsr*O72^2</f>
        <v>2.9739173970143E-005</v>
      </c>
      <c r="Q72" s="357" t="n">
        <f aca="false">P72</f>
        <v>2.9739173970143E-005</v>
      </c>
      <c r="R72" s="0" t="n">
        <f aca="false">SQRT(I72)*SQRT(H72^2+(J72^2)/12)</f>
        <v>0.742942184078377</v>
      </c>
      <c r="S72" s="400" t="n">
        <f aca="false">RCinEsr*R72^2</f>
        <v>0.000551963088883149</v>
      </c>
      <c r="T72" s="401" t="n">
        <f aca="false">S72</f>
        <v>0.000551963088883149</v>
      </c>
      <c r="U72" s="0" t="n">
        <f aca="false">SQRT(I72)*SQRT(H72^2+(J72^2)/12)</f>
        <v>0.742942184078377</v>
      </c>
      <c r="V72" s="0" t="n">
        <f aca="false">RdsonTop*U72^2</f>
        <v>0.00275981544441574</v>
      </c>
      <c r="W72" s="0" t="n">
        <f aca="false">(Vin*H72/2)*(Fsw)*(Tr+Tf)</f>
        <v>0.0573044916944777</v>
      </c>
      <c r="X72" s="0" t="n">
        <f aca="false">IF(H72&gt;J72/2,0,ABS(H72-J72/2)*VsdTop*Deadtime*Fsw)</f>
        <v>0</v>
      </c>
      <c r="Y72" s="0" t="n">
        <f aca="false">(X72+W72+V72*(1+RdsonTopTc*Ta-RdsonTopTc*25))/(1-V72*RdsonTopTc*ThetaJaTop)</f>
        <v>0.0600974787288868</v>
      </c>
      <c r="Z72" s="0" t="n">
        <f aca="false">SQRT(1-I72)*SQRT(H72^2+(J72^2)/12)</f>
        <v>1.04647754828144</v>
      </c>
      <c r="AA72" s="0" t="n">
        <f aca="false">RdsonBot*Z72^2</f>
        <v>0.00131413831086856</v>
      </c>
      <c r="AB72" s="0" t="n">
        <f aca="false">2*Deadtime*Fsw*IF(VfdSky&gt;0,0,VsdBot)*(H72+J72/2)</f>
        <v>0.0362728830078683</v>
      </c>
      <c r="AC72" s="0" t="n">
        <f aca="false">(AB72+AA72*(1+RdsonBotTc*Ta-RdsonBotTc*25))/(1-AA72*RdsonBotTc*ThetaJaBot)</f>
        <v>0.0375969028248113</v>
      </c>
      <c r="AD72" s="0" t="n">
        <f aca="false">2*Deadtime*Fsw*IF(VfdSky&gt;0,VfdSky,0)*H72</f>
        <v>0</v>
      </c>
      <c r="AE72" s="0" t="n">
        <f aca="false">IF(QrrSky&gt;0,QrrSky,QrrBot)*Fsw*(Vin-H72*RdsonTop)</f>
        <v>0.40305888</v>
      </c>
      <c r="AF72" s="0" t="n">
        <f aca="false">Iq*Vin</f>
        <v>0.054</v>
      </c>
      <c r="AG72" s="0" t="n">
        <f aca="false">Vin*(QgTop+QgBot)*Fsw</f>
        <v>0.35784</v>
      </c>
      <c r="AH72" s="357" t="n">
        <f aca="false">(Vin-Vdd)*Fsw*(QgTop+QgBot)+(RdsonDRT+RdsonDRT2)*Fsw*QgTop*Vdd/(RdsonDRT+2*RGateTop+RdsonDRT2)+(RdsonDRB+RdsonDRB2)*Fsw*QgBot*Vdd/(RdsonDRB+2*RGateBot+RdsonDRB2)</f>
        <v>0.31571422459893</v>
      </c>
      <c r="AI72" s="0" t="n">
        <f aca="false">SUM(AF72:AG72)</f>
        <v>0.41184</v>
      </c>
      <c r="AJ72" s="402" t="n">
        <f aca="false">SUM(N72,Q72,T72,Y72,AE72,AD72,AC72,AI72)</f>
        <v>0.951172923353389</v>
      </c>
      <c r="AK72" s="358" t="n">
        <f aca="false">Vout*H72</f>
        <v>7.56</v>
      </c>
      <c r="AL72" s="359" t="n">
        <f aca="false">AK72/(AK72+AJ72)</f>
        <v>0.888244201836916</v>
      </c>
      <c r="AM72" s="0" t="n">
        <f aca="false">ThetaJaTop*Y72</f>
        <v>3.00487393644434</v>
      </c>
      <c r="AN72" s="0" t="n">
        <f aca="false">AC72*ThetaJaBot</f>
        <v>1.87984514124057</v>
      </c>
      <c r="AO72" s="359"/>
      <c r="AP72" s="0" t="n">
        <f aca="false">AL72*100</f>
        <v>88.8244201836916</v>
      </c>
      <c r="AZ72" s="403"/>
      <c r="BA72" s="404"/>
    </row>
    <row r="73" customFormat="false" ht="12.75" hidden="false" customHeight="false" outlineLevel="0" collapsed="false">
      <c r="A73" s="442" t="s">
        <v>428</v>
      </c>
      <c r="B73" s="441" t="n">
        <f aca="false">(QgdTop+QgsTop/2)*(RdsonDRT+RGateTop)/(VspTop)*1000000000</f>
        <v>3.65663881151346</v>
      </c>
      <c r="C73" s="426" t="s">
        <v>635</v>
      </c>
      <c r="G73" s="0" t="n">
        <v>64</v>
      </c>
      <c r="H73" s="0" t="n">
        <f aca="false">Iout*(G73/100)</f>
        <v>1.28</v>
      </c>
      <c r="I73" s="0" t="n">
        <f aca="false">(Vout+Rdcr*H73+RdsonBot*H73)/(Vin-RdsonTop*H73+RdsonBot*H73)</f>
        <v>0.335144785791005</v>
      </c>
      <c r="J73" s="0" t="n">
        <f aca="false">(Vin-Vout)*I73/(Fsw*Lout2)</f>
        <v>0.844902821321861</v>
      </c>
      <c r="K73" s="0" t="n">
        <f aca="false">SQRT(H73^2+(J73^2)/12)</f>
        <v>1.30303046707402</v>
      </c>
      <c r="L73" s="0" t="n">
        <f aca="false">(K73^2*Rdcr*(1+Ltc*Ta-Ltc*25))/(1-K73^2*Rdcr*Ltc*ThetaCa)</f>
        <v>0.039173816651429</v>
      </c>
      <c r="N73" s="356" t="n">
        <f aca="false">L73</f>
        <v>0.039173816651429</v>
      </c>
      <c r="O73" s="357" t="n">
        <f aca="false">J73/(2*SQRT(3))</f>
        <v>0.243902435664625</v>
      </c>
      <c r="P73" s="357" t="n">
        <f aca="false">RCoutEsr*O73^2</f>
        <v>2.97441990615684E-005</v>
      </c>
      <c r="Q73" s="357" t="n">
        <f aca="false">P73</f>
        <v>2.97441990615684E-005</v>
      </c>
      <c r="R73" s="0" t="n">
        <f aca="false">SQRT(I73)*SQRT(H73^2+(J73^2)/12)</f>
        <v>0.754346368378619</v>
      </c>
      <c r="S73" s="400" t="n">
        <f aca="false">RCinEsr*R73^2</f>
        <v>0.000569038443486011</v>
      </c>
      <c r="T73" s="401" t="n">
        <f aca="false">S73</f>
        <v>0.000569038443486011</v>
      </c>
      <c r="U73" s="0" t="n">
        <f aca="false">SQRT(I73)*SQRT(H73^2+(J73^2)/12)</f>
        <v>0.754346368378619</v>
      </c>
      <c r="V73" s="0" t="n">
        <f aca="false">RdsonTop*U73^2</f>
        <v>0.00284519221743005</v>
      </c>
      <c r="W73" s="0" t="n">
        <f aca="false">(Vin*H73/2)*(Fsw)*(Tr+Tf)</f>
        <v>0.0582140868007393</v>
      </c>
      <c r="X73" s="0" t="n">
        <f aca="false">IF(H73&gt;J73/2,0,ABS(H73-J73/2)*VsdTop*Deadtime*Fsw)</f>
        <v>0</v>
      </c>
      <c r="Y73" s="0" t="n">
        <f aca="false">(X73+W73+V73*(1+RdsonTopTc*Ta-RdsonTopTc*25))/(1-V73*RdsonTopTc*ThetaJaTop)</f>
        <v>0.0610940438778038</v>
      </c>
      <c r="Z73" s="0" t="n">
        <f aca="false">SQRT(1-I73)*SQRT(H73^2+(J73^2)/12)</f>
        <v>1.06247350773425</v>
      </c>
      <c r="AA73" s="0" t="n">
        <f aca="false">RdsonBot*Z73^2</f>
        <v>0.00135461994556455</v>
      </c>
      <c r="AB73" s="0" t="n">
        <f aca="false">2*Deadtime*Fsw*IF(VfdSky&gt;0,0,VsdBot)*(H73+J73/2)</f>
        <v>0.0367048524138497</v>
      </c>
      <c r="AC73" s="0" t="n">
        <f aca="false">(AB73+AA73*(1+RdsonBotTc*Ta-RdsonBotTc*25))/(1-AA73*RdsonBotTc*ThetaJaBot)</f>
        <v>0.0380697863778044</v>
      </c>
      <c r="AD73" s="0" t="n">
        <f aca="false">2*Deadtime*Fsw*IF(VfdSky&gt;0,VfdSky,0)*H73</f>
        <v>0</v>
      </c>
      <c r="AE73" s="0" t="n">
        <f aca="false">IF(QrrSky&gt;0,QrrSky,QrrBot)*Fsw*(Vin-H73*RdsonTop)</f>
        <v>0.40305664</v>
      </c>
      <c r="AF73" s="0" t="n">
        <f aca="false">Iq*Vin</f>
        <v>0.054</v>
      </c>
      <c r="AG73" s="0" t="n">
        <f aca="false">Vin*(QgTop+QgBot)*Fsw</f>
        <v>0.35784</v>
      </c>
      <c r="AH73" s="357" t="n">
        <f aca="false">(Vin-Vdd)*Fsw*(QgTop+QgBot)+(RdsonDRT+RdsonDRT2)*Fsw*QgTop*Vdd/(RdsonDRT+2*RGateTop+RdsonDRT2)+(RdsonDRB+RdsonDRB2)*Fsw*QgBot*Vdd/(RdsonDRB+2*RGateBot+RdsonDRB2)</f>
        <v>0.31571422459893</v>
      </c>
      <c r="AI73" s="0" t="n">
        <f aca="false">SUM(AF73:AG73)</f>
        <v>0.41184</v>
      </c>
      <c r="AJ73" s="402" t="n">
        <f aca="false">SUM(N73,Q73,T73,Y73,AE73,AD73,AC73,AI73)</f>
        <v>0.953833069549585</v>
      </c>
      <c r="AK73" s="358" t="n">
        <f aca="false">Vout*H73</f>
        <v>7.68</v>
      </c>
      <c r="AL73" s="359" t="n">
        <f aca="false">AK73/(AK73+AJ73)</f>
        <v>0.889523799931501</v>
      </c>
      <c r="AM73" s="0" t="n">
        <f aca="false">ThetaJaTop*Y73</f>
        <v>3.05470219389019</v>
      </c>
      <c r="AN73" s="0" t="n">
        <f aca="false">AC73*ThetaJaBot</f>
        <v>1.90348931889022</v>
      </c>
      <c r="AO73" s="359"/>
      <c r="AP73" s="0" t="n">
        <f aca="false">AL73*100</f>
        <v>88.9523799931501</v>
      </c>
      <c r="AZ73" s="403"/>
      <c r="BA73" s="404"/>
    </row>
    <row r="74" customFormat="false" ht="12.75" hidden="false" customHeight="false" outlineLevel="0" collapsed="false">
      <c r="A74" s="438" t="s">
        <v>438</v>
      </c>
      <c r="B74" s="397" t="s">
        <v>122</v>
      </c>
      <c r="C74" s="399" t="s">
        <v>430</v>
      </c>
      <c r="G74" s="0" t="n">
        <v>65</v>
      </c>
      <c r="H74" s="0" t="n">
        <f aca="false">Iout*(G74/100)</f>
        <v>1.3</v>
      </c>
      <c r="I74" s="0" t="n">
        <f aca="false">(Vout+Rdcr*H74+RdsonBot*H74)/(Vin-RdsonTop*H74+RdsonBot*H74)</f>
        <v>0.335173097505649</v>
      </c>
      <c r="J74" s="0" t="n">
        <f aca="false">(Vin-Vout)*I74/(Fsw*Lout2)</f>
        <v>0.844974195392392</v>
      </c>
      <c r="K74" s="0" t="n">
        <f aca="false">SQRT(H74^2+(J74^2)/12)</f>
        <v>1.32268607357903</v>
      </c>
      <c r="L74" s="0" t="n">
        <f aca="false">(K74^2*Rdcr*(1+Ltc*Ta-Ltc*25))/(1-K74^2*Rdcr*Ltc*ThetaCa)</f>
        <v>0.0403684133694403</v>
      </c>
      <c r="N74" s="356" t="n">
        <f aca="false">L74</f>
        <v>0.0403684133694403</v>
      </c>
      <c r="O74" s="357" t="n">
        <f aca="false">J74/(2*SQRT(3))</f>
        <v>0.243923039584042</v>
      </c>
      <c r="P74" s="357" t="n">
        <f aca="false">RCoutEsr*O74^2</f>
        <v>2.97492246199592E-005</v>
      </c>
      <c r="Q74" s="357" t="n">
        <f aca="false">P74</f>
        <v>2.97492246199592E-005</v>
      </c>
      <c r="R74" s="0" t="n">
        <f aca="false">SQRT(I74)*SQRT(H74^2+(J74^2)/12)</f>
        <v>0.765757673362189</v>
      </c>
      <c r="S74" s="400" t="n">
        <f aca="false">RCinEsr*R74^2</f>
        <v>0.000586384814313072</v>
      </c>
      <c r="T74" s="401" t="n">
        <f aca="false">S74</f>
        <v>0.000586384814313072</v>
      </c>
      <c r="U74" s="0" t="n">
        <f aca="false">SQRT(I74)*SQRT(H74^2+(J74^2)/12)</f>
        <v>0.765757673362189</v>
      </c>
      <c r="V74" s="0" t="n">
        <f aca="false">RdsonTop*U74^2</f>
        <v>0.00293192407156536</v>
      </c>
      <c r="W74" s="0" t="n">
        <f aca="false">(Vin*H74/2)*(Fsw)*(Tr+Tf)</f>
        <v>0.0591236819070009</v>
      </c>
      <c r="X74" s="0" t="n">
        <f aca="false">IF(H74&gt;J74/2,0,ABS(H74-J74/2)*VsdTop*Deadtime*Fsw)</f>
        <v>0</v>
      </c>
      <c r="Y74" s="0" t="n">
        <f aca="false">(X74+W74+V74*(1+RdsonTopTc*Ta-RdsonTopTc*25))/(1-V74*RdsonTopTc*ThetaJaTop)</f>
        <v>0.0620920157937177</v>
      </c>
      <c r="Z74" s="0" t="n">
        <f aca="false">SQRT(1-I74)*SQRT(H74^2+(J74^2)/12)</f>
        <v>1.07847746148301</v>
      </c>
      <c r="AA74" s="0" t="n">
        <f aca="false">RdsonBot*Z74^2</f>
        <v>0.00139573636191222</v>
      </c>
      <c r="AB74" s="0" t="n">
        <f aca="false">2*Deadtime*Fsw*IF(VfdSky&gt;0,0,VsdBot)*(H74+J74/2)</f>
        <v>0.03713682182633</v>
      </c>
      <c r="AC74" s="0" t="n">
        <f aca="false">(AB74+AA74*(1+RdsonBotTc*Ta-RdsonBotTc*25))/(1-AA74*RdsonBotTc*ThetaJaBot)</f>
        <v>0.038543317450177</v>
      </c>
      <c r="AD74" s="0" t="n">
        <f aca="false">2*Deadtime*Fsw*IF(VfdSky&gt;0,VfdSky,0)*H74</f>
        <v>0</v>
      </c>
      <c r="AE74" s="0" t="n">
        <f aca="false">IF(QrrSky&gt;0,QrrSky,QrrBot)*Fsw*(Vin-H74*RdsonTop)</f>
        <v>0.4030544</v>
      </c>
      <c r="AF74" s="0" t="n">
        <f aca="false">Iq*Vin</f>
        <v>0.054</v>
      </c>
      <c r="AG74" s="0" t="n">
        <f aca="false">Vin*(QgTop+QgBot)*Fsw</f>
        <v>0.35784</v>
      </c>
      <c r="AH74" s="357" t="n">
        <f aca="false">(Vin-Vdd)*Fsw*(QgTop+QgBot)+(RdsonDRT+RdsonDRT2)*Fsw*QgTop*Vdd/(RdsonDRT+2*RGateTop+RdsonDRT2)+(RdsonDRB+RdsonDRB2)*Fsw*QgBot*Vdd/(RdsonDRB+2*RGateBot+RdsonDRB2)</f>
        <v>0.31571422459893</v>
      </c>
      <c r="AI74" s="0" t="n">
        <f aca="false">SUM(AF74:AG74)</f>
        <v>0.41184</v>
      </c>
      <c r="AJ74" s="402" t="n">
        <f aca="false">SUM(N74,Q74,T74,Y74,AE74,AD74,AC74,AI74)</f>
        <v>0.956514280652268</v>
      </c>
      <c r="AK74" s="358" t="n">
        <f aca="false">Vout*H74</f>
        <v>7.8</v>
      </c>
      <c r="AL74" s="359" t="n">
        <f aca="false">AK74/(AK74+AJ74)</f>
        <v>0.890765406188429</v>
      </c>
      <c r="AM74" s="0" t="n">
        <f aca="false">ThetaJaTop*Y74</f>
        <v>3.10460078968589</v>
      </c>
      <c r="AN74" s="0" t="n">
        <f aca="false">AC74*ThetaJaBot</f>
        <v>1.92716587250885</v>
      </c>
      <c r="AO74" s="359"/>
      <c r="AP74" s="0" t="n">
        <f aca="false">AL74*100</f>
        <v>89.0765406188429</v>
      </c>
      <c r="AZ74" s="403"/>
      <c r="BA74" s="404"/>
    </row>
    <row r="75" customFormat="false" ht="12.75" hidden="false" customHeight="false" outlineLevel="0" collapsed="false">
      <c r="A75" s="443" t="s">
        <v>431</v>
      </c>
      <c r="B75" s="444" t="n">
        <f aca="false">AI9</f>
        <v>0.41184</v>
      </c>
      <c r="C75" s="445" t="s">
        <v>204</v>
      </c>
      <c r="G75" s="0" t="n">
        <v>66</v>
      </c>
      <c r="H75" s="0" t="n">
        <f aca="false">Iout*(G75/100)</f>
        <v>1.32</v>
      </c>
      <c r="I75" s="0" t="n">
        <f aca="false">(Vout+Rdcr*H75+RdsonBot*H75)/(Vin-RdsonTop*H75+RdsonBot*H75)</f>
        <v>0.335201409459436</v>
      </c>
      <c r="J75" s="0" t="n">
        <f aca="false">(Vin-Vout)*I75/(Fsw*Lout2)</f>
        <v>0.845045570065805</v>
      </c>
      <c r="K75" s="0" t="n">
        <f aca="false">SQRT(H75^2+(J75^2)/12)</f>
        <v>1.34235185450412</v>
      </c>
      <c r="L75" s="0" t="n">
        <f aca="false">(K75^2*Rdcr*(1+Ltc*Ta-Ltc*25))/(1-K75^2*Rdcr*Ltc*ThetaCa)</f>
        <v>0.0415817603402034</v>
      </c>
      <c r="N75" s="356" t="n">
        <f aca="false">L75</f>
        <v>0.0415817603402034</v>
      </c>
      <c r="O75" s="357" t="n">
        <f aca="false">J75/(2*SQRT(3))</f>
        <v>0.243943643677497</v>
      </c>
      <c r="P75" s="357" t="n">
        <f aca="false">RCoutEsr*O75^2</f>
        <v>2.97542506453267E-005</v>
      </c>
      <c r="Q75" s="357" t="n">
        <f aca="false">P75</f>
        <v>2.97542506453267E-005</v>
      </c>
      <c r="R75" s="0" t="n">
        <f aca="false">SQRT(I75)*SQRT(H75^2+(J75^2)/12)</f>
        <v>0.77717582910791</v>
      </c>
      <c r="S75" s="400" t="n">
        <f aca="false">RCinEsr*R75^2</f>
        <v>0.000604002269349567</v>
      </c>
      <c r="T75" s="401" t="n">
        <f aca="false">S75</f>
        <v>0.000604002269349567</v>
      </c>
      <c r="U75" s="0" t="n">
        <f aca="false">SQRT(I75)*SQRT(H75^2+(J75^2)/12)</f>
        <v>0.77717582910791</v>
      </c>
      <c r="V75" s="0" t="n">
        <f aca="false">RdsonTop*U75^2</f>
        <v>0.00302001134674783</v>
      </c>
      <c r="W75" s="0" t="n">
        <f aca="false">(Vin*H75/2)*(Fsw)*(Tr+Tf)</f>
        <v>0.0600332770132624</v>
      </c>
      <c r="X75" s="0" t="n">
        <f aca="false">IF(H75&gt;J75/2,0,ABS(H75-J75/2)*VsdTop*Deadtime*Fsw)</f>
        <v>0</v>
      </c>
      <c r="Y75" s="0" t="n">
        <f aca="false">(X75+W75+V75*(1+RdsonTopTc*Ta-RdsonTopTc*25))/(1-V75*RdsonTopTc*ThetaJaTop)</f>
        <v>0.0630913957061932</v>
      </c>
      <c r="Z75" s="0" t="n">
        <f aca="false">SQRT(1-I75)*SQRT(H75^2+(J75^2)/12)</f>
        <v>1.09448902778469</v>
      </c>
      <c r="AA75" s="0" t="n">
        <f aca="false">RdsonBot*Z75^2</f>
        <v>0.0014374874783293</v>
      </c>
      <c r="AB75" s="0" t="n">
        <f aca="false">2*Deadtime*Fsw*IF(VfdSky&gt;0,0,VsdBot)*(H75+J75/2)</f>
        <v>0.0375687912453094</v>
      </c>
      <c r="AC75" s="0" t="n">
        <f aca="false">(AB75+AA75*(1+RdsonBotTc*Ta-RdsonBotTc*25))/(1-AA75*RdsonBotTc*ThetaJaBot)</f>
        <v>0.0390174961560707</v>
      </c>
      <c r="AD75" s="0" t="n">
        <f aca="false">2*Deadtime*Fsw*IF(VfdSky&gt;0,VfdSky,0)*H75</f>
        <v>0</v>
      </c>
      <c r="AE75" s="0" t="n">
        <f aca="false">IF(QrrSky&gt;0,QrrSky,QrrBot)*Fsw*(Vin-H75*RdsonTop)</f>
        <v>0.40305216</v>
      </c>
      <c r="AF75" s="0" t="n">
        <f aca="false">Iq*Vin</f>
        <v>0.054</v>
      </c>
      <c r="AG75" s="0" t="n">
        <f aca="false">Vin*(QgTop+QgBot)*Fsw</f>
        <v>0.35784</v>
      </c>
      <c r="AH75" s="357" t="n">
        <f aca="false">(Vin-Vdd)*Fsw*(QgTop+QgBot)+(RdsonDRT+RdsonDRT2)*Fsw*QgTop*Vdd/(RdsonDRT+2*RGateTop+RdsonDRT2)+(RdsonDRB+RdsonDRB2)*Fsw*QgBot*Vdd/(RdsonDRB+2*RGateBot+RdsonDRB2)</f>
        <v>0.31571422459893</v>
      </c>
      <c r="AI75" s="0" t="n">
        <f aca="false">SUM(AF75:AG75)</f>
        <v>0.41184</v>
      </c>
      <c r="AJ75" s="402" t="n">
        <f aca="false">SUM(N75,Q75,T75,Y75,AE75,AD75,AC75,AI75)</f>
        <v>0.959216568722462</v>
      </c>
      <c r="AK75" s="358" t="n">
        <f aca="false">Vout*H75</f>
        <v>7.92</v>
      </c>
      <c r="AL75" s="359" t="n">
        <f aca="false">AK75/(AK75+AJ75)</f>
        <v>0.89197058532153</v>
      </c>
      <c r="AM75" s="0" t="n">
        <f aca="false">ThetaJaTop*Y75</f>
        <v>3.15456978530966</v>
      </c>
      <c r="AN75" s="0" t="n">
        <f aca="false">AC75*ThetaJaBot</f>
        <v>1.95087480780354</v>
      </c>
      <c r="AO75" s="359"/>
      <c r="AP75" s="0" t="n">
        <f aca="false">AL75*100</f>
        <v>89.197058532153</v>
      </c>
      <c r="AZ75" s="403"/>
      <c r="BA75" s="404"/>
    </row>
    <row r="76" customFormat="false" ht="12.75" hidden="false" customHeight="false" outlineLevel="0" collapsed="false">
      <c r="A76" s="443" t="s">
        <v>432</v>
      </c>
      <c r="B76" s="446" t="n">
        <f aca="false">B75*B62</f>
        <v>8.2368</v>
      </c>
      <c r="C76" s="409" t="s">
        <v>642</v>
      </c>
      <c r="G76" s="0" t="n">
        <v>67</v>
      </c>
      <c r="H76" s="0" t="n">
        <f aca="false">Iout*(G76/100)</f>
        <v>1.34</v>
      </c>
      <c r="I76" s="0" t="n">
        <f aca="false">(Vout+Rdcr*H76+RdsonBot*H76)/(Vin-RdsonTop*H76+RdsonBot*H76)</f>
        <v>0.33522972165237</v>
      </c>
      <c r="J76" s="0" t="n">
        <f aca="false">(Vin-Vout)*I76/(Fsw*Lout2)</f>
        <v>0.845116945342108</v>
      </c>
      <c r="K76" s="0" t="n">
        <f aca="false">SQRT(H76^2+(J76^2)/12)</f>
        <v>1.36202736913594</v>
      </c>
      <c r="L76" s="0" t="n">
        <f aca="false">(K76^2*Rdcr*(1+Ltc*Ta-Ltc*25))/(1-K76^2*Rdcr*Ltc*ThetaCa)</f>
        <v>0.0428138683833109</v>
      </c>
      <c r="N76" s="356" t="n">
        <f aca="false">L76</f>
        <v>0.0428138683833109</v>
      </c>
      <c r="O76" s="357" t="n">
        <f aca="false">J76/(2*SQRT(3))</f>
        <v>0.24396424794499</v>
      </c>
      <c r="P76" s="357" t="n">
        <f aca="false">RCoutEsr*O76^2</f>
        <v>2.97592771376823E-005</v>
      </c>
      <c r="Q76" s="357" t="n">
        <f aca="false">P76</f>
        <v>2.97592771376823E-005</v>
      </c>
      <c r="R76" s="0" t="n">
        <f aca="false">SQRT(I76)*SQRT(H76^2+(J76^2)/12)</f>
        <v>0.788600581144775</v>
      </c>
      <c r="S76" s="400" t="n">
        <f aca="false">RCinEsr*R76^2</f>
        <v>0.000621890876581877</v>
      </c>
      <c r="T76" s="401" t="n">
        <f aca="false">S76</f>
        <v>0.000621890876581877</v>
      </c>
      <c r="U76" s="0" t="n">
        <f aca="false">SQRT(I76)*SQRT(H76^2+(J76^2)/12)</f>
        <v>0.788600581144775</v>
      </c>
      <c r="V76" s="0" t="n">
        <f aca="false">RdsonTop*U76^2</f>
        <v>0.00310945438290938</v>
      </c>
      <c r="W76" s="0" t="n">
        <f aca="false">(Vin*H76/2)*(Fsw)*(Tr+Tf)</f>
        <v>0.0609428721195239</v>
      </c>
      <c r="X76" s="0" t="n">
        <f aca="false">IF(H76&gt;J76/2,0,ABS(H76-J76/2)*VsdTop*Deadtime*Fsw)</f>
        <v>0</v>
      </c>
      <c r="Y76" s="0" t="n">
        <f aca="false">(X76+W76+V76*(1+RdsonTopTc*Ta-RdsonTopTc*25))/(1-V76*RdsonTopTc*ThetaJaTop)</f>
        <v>0.0640921848474502</v>
      </c>
      <c r="Z76" s="0" t="n">
        <f aca="false">SQRT(1-I76)*SQRT(H76^2+(J76^2)/12)</f>
        <v>1.11050784675008</v>
      </c>
      <c r="AA76" s="0" t="n">
        <f aca="false">RdsonBot*Z76^2</f>
        <v>0.00147987321323219</v>
      </c>
      <c r="AB76" s="0" t="n">
        <f aca="false">2*Deadtime*Fsw*IF(VfdSky&gt;0,0,VsdBot)*(H76+J76/2)</f>
        <v>0.0380007606707879</v>
      </c>
      <c r="AC76" s="0" t="n">
        <f aca="false">(AB76+AA76*(1+RdsonBotTc*Ta-RdsonBotTc*25))/(1-AA76*RdsonBotTc*ThetaJaBot)</f>
        <v>0.0394923226100919</v>
      </c>
      <c r="AD76" s="0" t="n">
        <f aca="false">2*Deadtime*Fsw*IF(VfdSky&gt;0,VfdSky,0)*H76</f>
        <v>0</v>
      </c>
      <c r="AE76" s="0" t="n">
        <f aca="false">IF(QrrSky&gt;0,QrrSky,QrrBot)*Fsw*(Vin-H76*RdsonTop)</f>
        <v>0.40304992</v>
      </c>
      <c r="AF76" s="0" t="n">
        <f aca="false">Iq*Vin</f>
        <v>0.054</v>
      </c>
      <c r="AG76" s="0" t="n">
        <f aca="false">Vin*(QgTop+QgBot)*Fsw</f>
        <v>0.35784</v>
      </c>
      <c r="AH76" s="357" t="n">
        <f aca="false">(Vin-Vdd)*Fsw*(QgTop+QgBot)+(RdsonDRT+RdsonDRT2)*Fsw*QgTop*Vdd/(RdsonDRT+2*RGateTop+RdsonDRT2)+(RdsonDRB+RdsonDRB2)*Fsw*QgBot*Vdd/(RdsonDRB+2*RGateBot+RdsonDRB2)</f>
        <v>0.31571422459893</v>
      </c>
      <c r="AI76" s="0" t="n">
        <f aca="false">SUM(AF76:AG76)</f>
        <v>0.41184</v>
      </c>
      <c r="AJ76" s="402" t="n">
        <f aca="false">SUM(N76,Q76,T76,Y76,AE76,AD76,AC76,AI76)</f>
        <v>0.961939945994573</v>
      </c>
      <c r="AK76" s="358" t="n">
        <f aca="false">Vout*H76</f>
        <v>8.04</v>
      </c>
      <c r="AL76" s="359" t="n">
        <f aca="false">AK76/(AK76+AJ76)</f>
        <v>0.89314081722767</v>
      </c>
      <c r="AM76" s="0" t="n">
        <f aca="false">ThetaJaTop*Y76</f>
        <v>3.20460924237251</v>
      </c>
      <c r="AN76" s="0" t="n">
        <f aca="false">AC76*ThetaJaBot</f>
        <v>1.9746161305046</v>
      </c>
      <c r="AO76" s="359"/>
      <c r="AP76" s="0" t="n">
        <f aca="false">AL76*100</f>
        <v>89.314081722767</v>
      </c>
      <c r="AZ76" s="403"/>
      <c r="BA76" s="404"/>
    </row>
    <row r="77" customFormat="false" ht="12.75" hidden="false" customHeight="false" outlineLevel="0" collapsed="false">
      <c r="A77" s="443" t="s">
        <v>433</v>
      </c>
      <c r="B77" s="446" t="n">
        <f aca="false">(QgBot+QgTop)*Fsw+Iq</f>
        <v>0.02288</v>
      </c>
      <c r="C77" s="409" t="s">
        <v>12</v>
      </c>
      <c r="G77" s="0" t="n">
        <v>68</v>
      </c>
      <c r="H77" s="0" t="n">
        <f aca="false">Iout*(G77/100)</f>
        <v>1.36</v>
      </c>
      <c r="I77" s="0" t="n">
        <f aca="false">(Vout+Rdcr*H77+RdsonBot*H77)/(Vin-RdsonTop*H77+RdsonBot*H77)</f>
        <v>0.335258034084453</v>
      </c>
      <c r="J77" s="0" t="n">
        <f aca="false">(Vin-Vout)*I77/(Fsw*Lout2)</f>
        <v>0.845188321221309</v>
      </c>
      <c r="K77" s="0" t="n">
        <f aca="false">SQRT(H77^2+(J77^2)/12)</f>
        <v>1.38171220165202</v>
      </c>
      <c r="L77" s="0" t="n">
        <f aca="false">(K77^2*Rdcr*(1+Ltc*Ta-Ltc*25))/(1-K77^2*Rdcr*Ltc*ThetaCa)</f>
        <v>0.0440647484888572</v>
      </c>
      <c r="N77" s="356" t="n">
        <f aca="false">L77</f>
        <v>0.0440647484888572</v>
      </c>
      <c r="O77" s="357" t="n">
        <f aca="false">J77/(2*SQRT(3))</f>
        <v>0.243984852386525</v>
      </c>
      <c r="P77" s="357" t="n">
        <f aca="false">RCoutEsr*O77^2</f>
        <v>2.97643040970373E-005</v>
      </c>
      <c r="Q77" s="357" t="n">
        <f aca="false">P77</f>
        <v>2.97643040970373E-005</v>
      </c>
      <c r="R77" s="0" t="n">
        <f aca="false">SQRT(I77)*SQRT(H77^2+(J77^2)/12)</f>
        <v>0.800031689370823</v>
      </c>
      <c r="S77" s="400" t="n">
        <f aca="false">RCinEsr*R77^2</f>
        <v>0.000640050703997533</v>
      </c>
      <c r="T77" s="401" t="n">
        <f aca="false">S77</f>
        <v>0.000640050703997533</v>
      </c>
      <c r="U77" s="0" t="n">
        <f aca="false">SQRT(I77)*SQRT(H77^2+(J77^2)/12)</f>
        <v>0.800031689370823</v>
      </c>
      <c r="V77" s="0" t="n">
        <f aca="false">RdsonTop*U77^2</f>
        <v>0.00320025351998766</v>
      </c>
      <c r="W77" s="0" t="n">
        <f aca="false">(Vin*H77/2)*(Fsw)*(Tr+Tf)</f>
        <v>0.0618524672257855</v>
      </c>
      <c r="X77" s="0" t="n">
        <f aca="false">IF(H77&gt;J77/2,0,ABS(H77-J77/2)*VsdTop*Deadtime*Fsw)</f>
        <v>0</v>
      </c>
      <c r="Y77" s="0" t="n">
        <f aca="false">(X77+W77+V77*(1+RdsonTopTc*Ta-RdsonTopTc*25))/(1-V77*RdsonTopTc*ThetaJaTop)</f>
        <v>0.0650943844523682</v>
      </c>
      <c r="Z77" s="0" t="n">
        <f aca="false">SQRT(1-I77)*SQRT(H77^2+(J77^2)/12)</f>
        <v>1.12653357881447</v>
      </c>
      <c r="AA77" s="0" t="n">
        <f aca="false">RdsonBot*Z77^2</f>
        <v>0.00152289348503585</v>
      </c>
      <c r="AB77" s="0" t="n">
        <f aca="false">2*Deadtime*Fsw*IF(VfdSky&gt;0,0,VsdBot)*(H77+J77/2)</f>
        <v>0.0384327301027657</v>
      </c>
      <c r="AC77" s="0" t="n">
        <f aca="false">(AB77+AA77*(1+RdsonBotTc*Ta-RdsonBotTc*25))/(1-AA77*RdsonBotTc*ThetaJaBot)</f>
        <v>0.0399677969273119</v>
      </c>
      <c r="AD77" s="0" t="n">
        <f aca="false">2*Deadtime*Fsw*IF(VfdSky&gt;0,VfdSky,0)*H77</f>
        <v>0</v>
      </c>
      <c r="AE77" s="0" t="n">
        <f aca="false">IF(QrrSky&gt;0,QrrSky,QrrBot)*Fsw*(Vin-H77*RdsonTop)</f>
        <v>0.40304768</v>
      </c>
      <c r="AF77" s="0" t="n">
        <f aca="false">Iq*Vin</f>
        <v>0.054</v>
      </c>
      <c r="AG77" s="0" t="n">
        <f aca="false">Vin*(QgTop+QgBot)*Fsw</f>
        <v>0.35784</v>
      </c>
      <c r="AH77" s="357" t="n">
        <f aca="false">(Vin-Vdd)*Fsw*(QgTop+QgBot)+(RdsonDRT+RdsonDRT2)*Fsw*QgTop*Vdd/(RdsonDRT+2*RGateTop+RdsonDRT2)+(RdsonDRB+RdsonDRB2)*Fsw*QgBot*Vdd/(RdsonDRB+2*RGateBot+RdsonDRB2)</f>
        <v>0.31571422459893</v>
      </c>
      <c r="AI77" s="0" t="n">
        <f aca="false">SUM(AF77:AG77)</f>
        <v>0.41184</v>
      </c>
      <c r="AJ77" s="402" t="n">
        <f aca="false">SUM(N77,Q77,T77,Y77,AE77,AD77,AC77,AI77)</f>
        <v>0.964684424876632</v>
      </c>
      <c r="AK77" s="358" t="n">
        <f aca="false">Vout*H77</f>
        <v>8.16</v>
      </c>
      <c r="AL77" s="359" t="n">
        <f aca="false">AK77/(AK77+AJ77)</f>
        <v>0.894277502655696</v>
      </c>
      <c r="AM77" s="0" t="n">
        <f aca="false">ThetaJaTop*Y77</f>
        <v>3.25471922261841</v>
      </c>
      <c r="AN77" s="0" t="n">
        <f aca="false">AC77*ThetaJaBot</f>
        <v>1.9983898463656</v>
      </c>
      <c r="AO77" s="359"/>
      <c r="AP77" s="0" t="n">
        <f aca="false">AL77*100</f>
        <v>89.4277502655696</v>
      </c>
      <c r="AZ77" s="403"/>
      <c r="BA77" s="404"/>
    </row>
    <row r="78" customFormat="false" ht="12.75" hidden="false" customHeight="false" outlineLevel="0" collapsed="false">
      <c r="A78" s="443" t="s">
        <v>434</v>
      </c>
      <c r="B78" s="447" t="n">
        <f aca="false">QrrBot*Fsw</f>
        <v>0.0224</v>
      </c>
      <c r="C78" s="409" t="s">
        <v>12</v>
      </c>
      <c r="G78" s="0" t="n">
        <v>69</v>
      </c>
      <c r="H78" s="0" t="n">
        <f aca="false">Iout*(G78/100)</f>
        <v>1.38</v>
      </c>
      <c r="I78" s="0" t="n">
        <f aca="false">(Vout+Rdcr*H78+RdsonBot*H78)/(Vin-RdsonTop*H78+RdsonBot*H78)</f>
        <v>0.335286346755688</v>
      </c>
      <c r="J78" s="0" t="n">
        <f aca="false">(Vin-Vout)*I78/(Fsw*Lout2)</f>
        <v>0.845259697703416</v>
      </c>
      <c r="K78" s="0" t="n">
        <f aca="false">SQRT(H78^2+(J78^2)/12)</f>
        <v>1.40140595940177</v>
      </c>
      <c r="L78" s="0" t="n">
        <f aca="false">(K78^2*Rdcr*(1+Ltc*Ta-Ltc*25))/(1-K78^2*Rdcr*Ltc*ThetaCa)</f>
        <v>0.0453344118176854</v>
      </c>
      <c r="N78" s="356" t="n">
        <f aca="false">L78</f>
        <v>0.0453344118176854</v>
      </c>
      <c r="O78" s="357" t="n">
        <f aca="false">J78/(2*SQRT(3))</f>
        <v>0.244005457002104</v>
      </c>
      <c r="P78" s="357" t="n">
        <f aca="false">RCoutEsr*O78^2</f>
        <v>2.97693315234029E-005</v>
      </c>
      <c r="Q78" s="357" t="n">
        <f aca="false">P78</f>
        <v>2.97693315234029E-005</v>
      </c>
      <c r="R78" s="0" t="n">
        <f aca="false">SQRT(I78)*SQRT(H78^2+(J78^2)/12)</f>
        <v>0.811468927060805</v>
      </c>
      <c r="S78" s="400" t="n">
        <f aca="false">RCinEsr*R78^2</f>
        <v>0.000658481819585214</v>
      </c>
      <c r="T78" s="401" t="n">
        <f aca="false">S78</f>
        <v>0.000658481819585214</v>
      </c>
      <c r="U78" s="0" t="n">
        <f aca="false">SQRT(I78)*SQRT(H78^2+(J78^2)/12)</f>
        <v>0.811468927060805</v>
      </c>
      <c r="V78" s="0" t="n">
        <f aca="false">RdsonTop*U78^2</f>
        <v>0.00329240909792607</v>
      </c>
      <c r="W78" s="0" t="n">
        <f aca="false">(Vin*H78/2)*(Fsw)*(Tr+Tf)</f>
        <v>0.062762062332047</v>
      </c>
      <c r="X78" s="0" t="n">
        <f aca="false">IF(H78&gt;J78/2,0,ABS(H78-J78/2)*VsdTop*Deadtime*Fsw)</f>
        <v>0</v>
      </c>
      <c r="Y78" s="0" t="n">
        <f aca="false">(X78+W78+V78*(1+RdsonTopTc*Ta-RdsonTopTc*25))/(1-V78*RdsonTopTc*ThetaJaTop)</f>
        <v>0.0660979957584911</v>
      </c>
      <c r="Z78" s="0" t="n">
        <f aca="false">SQRT(1-I78)*SQRT(H78^2+(J78^2)/12)</f>
        <v>1.14256590333407</v>
      </c>
      <c r="AA78" s="0" t="n">
        <f aca="false">RdsonBot*Z78^2</f>
        <v>0.00156654821215391</v>
      </c>
      <c r="AB78" s="0" t="n">
        <f aca="false">2*Deadtime*Fsw*IF(VfdSky&gt;0,0,VsdBot)*(H78+J78/2)</f>
        <v>0.0388646995412428</v>
      </c>
      <c r="AC78" s="0" t="n">
        <f aca="false">(AB78+AA78*(1+RdsonBotTc*Ta-RdsonBotTc*25))/(1-AA78*RdsonBotTc*ThetaJaBot)</f>
        <v>0.0404439192232671</v>
      </c>
      <c r="AD78" s="0" t="n">
        <f aca="false">2*Deadtime*Fsw*IF(VfdSky&gt;0,VfdSky,0)*H78</f>
        <v>0</v>
      </c>
      <c r="AE78" s="0" t="n">
        <f aca="false">IF(QrrSky&gt;0,QrrSky,QrrBot)*Fsw*(Vin-H78*RdsonTop)</f>
        <v>0.40304544</v>
      </c>
      <c r="AF78" s="0" t="n">
        <f aca="false">Iq*Vin</f>
        <v>0.054</v>
      </c>
      <c r="AG78" s="0" t="n">
        <f aca="false">Vin*(QgTop+QgBot)*Fsw</f>
        <v>0.35784</v>
      </c>
      <c r="AH78" s="357" t="n">
        <f aca="false">(Vin-Vdd)*Fsw*(QgTop+QgBot)+(RdsonDRT+RdsonDRT2)*Fsw*QgTop*Vdd/(RdsonDRT+2*RGateTop+RdsonDRT2)+(RdsonDRB+RdsonDRB2)*Fsw*QgBot*Vdd/(RdsonDRB+2*RGateBot+RdsonDRB2)</f>
        <v>0.31571422459893</v>
      </c>
      <c r="AI78" s="0" t="n">
        <f aca="false">SUM(AF78:AG78)</f>
        <v>0.41184</v>
      </c>
      <c r="AJ78" s="402" t="n">
        <f aca="false">SUM(N78,Q78,T78,Y78,AE78,AD78,AC78,AI78)</f>
        <v>0.967450017950552</v>
      </c>
      <c r="AK78" s="358" t="n">
        <f aca="false">Vout*H78</f>
        <v>8.28</v>
      </c>
      <c r="AL78" s="359" t="n">
        <f aca="false">AK78/(AK78+AJ78)</f>
        <v>0.89538196842669</v>
      </c>
      <c r="AM78" s="0" t="n">
        <f aca="false">ThetaJaTop*Y78</f>
        <v>3.30489978792455</v>
      </c>
      <c r="AN78" s="0" t="n">
        <f aca="false">AC78*ThetaJaBot</f>
        <v>2.02219596116335</v>
      </c>
      <c r="AO78" s="359"/>
      <c r="AP78" s="0" t="n">
        <f aca="false">AL78*100</f>
        <v>89.5381968426691</v>
      </c>
      <c r="AZ78" s="403"/>
      <c r="BA78" s="404"/>
    </row>
    <row r="79" customFormat="false" ht="12.75" hidden="false" customHeight="false" outlineLevel="0" collapsed="false">
      <c r="A79" s="443" t="s">
        <v>435</v>
      </c>
      <c r="B79" s="447" t="n">
        <f aca="false">C79/Vin</f>
        <v>0.000418216580333919</v>
      </c>
      <c r="C79" s="426" t="n">
        <f aca="false">Deadtime*Fsw*(Ipp/2)*(VsdTop+VsdBot)</f>
        <v>0.00752789844601054</v>
      </c>
      <c r="G79" s="0" t="n">
        <v>70</v>
      </c>
      <c r="H79" s="0" t="n">
        <f aca="false">Iout*(G79/100)</f>
        <v>1.4</v>
      </c>
      <c r="I79" s="0" t="n">
        <f aca="false">(Vout+Rdcr*H79+RdsonBot*H79)/(Vin-RdsonTop*H79+RdsonBot*H79)</f>
        <v>0.335314659666079</v>
      </c>
      <c r="J79" s="0" t="n">
        <f aca="false">(Vin-Vout)*I79/(Fsw*Lout2)</f>
        <v>0.845331074788435</v>
      </c>
      <c r="K79" s="0" t="n">
        <f aca="false">SQRT(H79^2+(J79^2)/12)</f>
        <v>1.42110827132685</v>
      </c>
      <c r="L79" s="0" t="n">
        <f aca="false">(K79^2*Rdcr*(1+Ltc*Ta-Ltc*25))/(1-K79^2*Rdcr*Ltc*ThetaCa)</f>
        <v>0.046622869701637</v>
      </c>
      <c r="N79" s="356" t="n">
        <f aca="false">L79</f>
        <v>0.046622869701637</v>
      </c>
      <c r="O79" s="357" t="n">
        <f aca="false">J79/(2*SQRT(3))</f>
        <v>0.244026061791729</v>
      </c>
      <c r="P79" s="357" t="n">
        <f aca="false">RCoutEsr*O79^2</f>
        <v>2.97743594167904E-005</v>
      </c>
      <c r="Q79" s="357" t="n">
        <f aca="false">P79</f>
        <v>2.97743594167904E-005</v>
      </c>
      <c r="R79" s="0" t="n">
        <f aca="false">SQRT(I79)*SQRT(H79^2+(J79^2)/12)</f>
        <v>0.822912079954322</v>
      </c>
      <c r="S79" s="400" t="n">
        <f aca="false">RCinEsr*R79^2</f>
        <v>0.000677184291334748</v>
      </c>
      <c r="T79" s="401" t="n">
        <f aca="false">S79</f>
        <v>0.000677184291334748</v>
      </c>
      <c r="U79" s="0" t="n">
        <f aca="false">SQRT(I79)*SQRT(H79^2+(J79^2)/12)</f>
        <v>0.822912079954322</v>
      </c>
      <c r="V79" s="0" t="n">
        <f aca="false">RdsonTop*U79^2</f>
        <v>0.00338592145667374</v>
      </c>
      <c r="W79" s="0" t="n">
        <f aca="false">(Vin*H79/2)*(Fsw)*(Tr+Tf)</f>
        <v>0.0636716574383086</v>
      </c>
      <c r="X79" s="0" t="n">
        <f aca="false">IF(H79&gt;J79/2,0,ABS(H79-J79/2)*VsdTop*Deadtime*Fsw)</f>
        <v>0</v>
      </c>
      <c r="Y79" s="0" t="n">
        <f aca="false">(X79+W79+V79*(1+RdsonTopTc*Ta-RdsonTopTc*25))/(1-V79*RdsonTopTc*ThetaJaTop)</f>
        <v>0.0671030200060315</v>
      </c>
      <c r="Z79" s="0" t="n">
        <f aca="false">SQRT(1-I79)*SQRT(H79^2+(J79^2)/12)</f>
        <v>1.15860451729606</v>
      </c>
      <c r="AA79" s="0" t="n">
        <f aca="false">RdsonBot*Z79^2</f>
        <v>0.0016108373129986</v>
      </c>
      <c r="AB79" s="0" t="n">
        <f aca="false">2*Deadtime*Fsw*IF(VfdSky&gt;0,0,VsdBot)*(H79+J79/2)</f>
        <v>0.0392966689862193</v>
      </c>
      <c r="AC79" s="0" t="n">
        <f aca="false">(AB79+AA79*(1+RdsonBotTc*Ta-RdsonBotTc*25))/(1-AA79*RdsonBotTc*ThetaJaBot)</f>
        <v>0.0409206896139587</v>
      </c>
      <c r="AD79" s="0" t="n">
        <f aca="false">2*Deadtime*Fsw*IF(VfdSky&gt;0,VfdSky,0)*H79</f>
        <v>0</v>
      </c>
      <c r="AE79" s="0" t="n">
        <f aca="false">IF(QrrSky&gt;0,QrrSky,QrrBot)*Fsw*(Vin-H79*RdsonTop)</f>
        <v>0.4030432</v>
      </c>
      <c r="AF79" s="0" t="n">
        <f aca="false">Iq*Vin</f>
        <v>0.054</v>
      </c>
      <c r="AG79" s="0" t="n">
        <f aca="false">Vin*(QgTop+QgBot)*Fsw</f>
        <v>0.35784</v>
      </c>
      <c r="AH79" s="357" t="n">
        <f aca="false">(Vin-Vdd)*Fsw*(QgTop+QgBot)+(RdsonDRT+RdsonDRT2)*Fsw*QgTop*Vdd/(RdsonDRT+2*RGateTop+RdsonDRT2)+(RdsonDRB+RdsonDRB2)*Fsw*QgBot*Vdd/(RdsonDRB+2*RGateBot+RdsonDRB2)</f>
        <v>0.31571422459893</v>
      </c>
      <c r="AI79" s="0" t="n">
        <f aca="false">SUM(AF79:AG79)</f>
        <v>0.41184</v>
      </c>
      <c r="AJ79" s="402" t="n">
        <f aca="false">SUM(N79,Q79,T79,Y79,AE79,AD79,AC79,AI79)</f>
        <v>0.970236737972379</v>
      </c>
      <c r="AK79" s="358" t="n">
        <f aca="false">Vout*H79</f>
        <v>8.4</v>
      </c>
      <c r="AL79" s="359" t="n">
        <f aca="false">AK79/(AK79+AJ79)</f>
        <v>0.896455472246443</v>
      </c>
      <c r="AM79" s="0" t="n">
        <f aca="false">ThetaJaTop*Y79</f>
        <v>3.35515100030158</v>
      </c>
      <c r="AN79" s="0" t="n">
        <f aca="false">AC79*ThetaJaBot</f>
        <v>2.04603448069793</v>
      </c>
      <c r="AO79" s="359"/>
      <c r="AP79" s="0" t="n">
        <f aca="false">AL79*100</f>
        <v>89.6455472246443</v>
      </c>
      <c r="AZ79" s="403"/>
      <c r="BA79" s="404"/>
    </row>
    <row r="80" customFormat="false" ht="12.75" hidden="false" customHeight="false" outlineLevel="0" collapsed="false">
      <c r="A80" s="443" t="s">
        <v>525</v>
      </c>
      <c r="B80" s="447" t="n">
        <f aca="false">SUM(B77:B79)</f>
        <v>0.0456982165803339</v>
      </c>
      <c r="C80" s="409" t="s">
        <v>12</v>
      </c>
      <c r="G80" s="0" t="n">
        <v>71</v>
      </c>
      <c r="H80" s="0" t="n">
        <f aca="false">Iout*(G80/100)</f>
        <v>1.42</v>
      </c>
      <c r="I80" s="0" t="n">
        <f aca="false">(Vout+Rdcr*H80+RdsonBot*H80)/(Vin-RdsonTop*H80+RdsonBot*H80)</f>
        <v>0.335342972815629</v>
      </c>
      <c r="J80" s="0" t="n">
        <f aca="false">(Vin-Vout)*I80/(Fsw*Lout2)</f>
        <v>0.845402452476374</v>
      </c>
      <c r="K80" s="0" t="n">
        <f aca="false">SQRT(H80^2+(J80^2)/12)</f>
        <v>1.44081878650801</v>
      </c>
      <c r="L80" s="0" t="n">
        <f aca="false">(K80^2*Rdcr*(1+Ltc*Ta-Ltc*25))/(1-K80^2*Rdcr*Ltc*ThetaCa)</f>
        <v>0.0479301336438062</v>
      </c>
      <c r="N80" s="356" t="n">
        <f aca="false">L80</f>
        <v>0.0479301336438062</v>
      </c>
      <c r="O80" s="357" t="n">
        <f aca="false">J80/(2*SQRT(3))</f>
        <v>0.244046666755402</v>
      </c>
      <c r="P80" s="357" t="n">
        <f aca="false">RCoutEsr*O80^2</f>
        <v>2.97793877772112E-005</v>
      </c>
      <c r="Q80" s="357" t="n">
        <f aca="false">P80</f>
        <v>2.97793877772112E-005</v>
      </c>
      <c r="R80" s="0" t="n">
        <f aca="false">SQRT(I80)*SQRT(H80^2+(J80^2)/12)</f>
        <v>0.834360945416977</v>
      </c>
      <c r="S80" s="400" t="n">
        <f aca="false">RCinEsr*R80^2</f>
        <v>0.000696158187237112</v>
      </c>
      <c r="T80" s="401" t="n">
        <f aca="false">S80</f>
        <v>0.000696158187237112</v>
      </c>
      <c r="U80" s="0" t="n">
        <f aca="false">SQRT(I80)*SQRT(H80^2+(J80^2)/12)</f>
        <v>0.834360945416977</v>
      </c>
      <c r="V80" s="0" t="n">
        <f aca="false">RdsonTop*U80^2</f>
        <v>0.00348079093618556</v>
      </c>
      <c r="W80" s="0" t="n">
        <f aca="false">(Vin*H80/2)*(Fsw)*(Tr+Tf)</f>
        <v>0.0645812525445701</v>
      </c>
      <c r="X80" s="0" t="n">
        <f aca="false">IF(H80&gt;J80/2,0,ABS(H80-J80/2)*VsdTop*Deadtime*Fsw)</f>
        <v>0</v>
      </c>
      <c r="Y80" s="0" t="n">
        <f aca="false">(X80+W80+V80*(1+RdsonTopTc*Ta-RdsonTopTc*25))/(1-V80*RdsonTopTc*ThetaJaTop)</f>
        <v>0.0681094584378755</v>
      </c>
      <c r="Z80" s="0" t="n">
        <f aca="false">SQRT(1-I80)*SQRT(H80^2+(J80^2)/12)</f>
        <v>1.17464913413211</v>
      </c>
      <c r="AA80" s="0" t="n">
        <f aca="false">RdsonBot*Z80^2</f>
        <v>0.00165576070598077</v>
      </c>
      <c r="AB80" s="0" t="n">
        <f aca="false">2*Deadtime*Fsw*IF(VfdSky&gt;0,0,VsdBot)*(H80+J80/2)</f>
        <v>0.0397286384376953</v>
      </c>
      <c r="AC80" s="0" t="n">
        <f aca="false">(AB80+AA80*(1+RdsonBotTc*Ta-RdsonBotTc*25))/(1-AA80*RdsonBotTc*ThetaJaBot)</f>
        <v>0.0413981082158532</v>
      </c>
      <c r="AD80" s="0" t="n">
        <f aca="false">2*Deadtime*Fsw*IF(VfdSky&gt;0,VfdSky,0)*H80</f>
        <v>0</v>
      </c>
      <c r="AE80" s="0" t="n">
        <f aca="false">IF(QrrSky&gt;0,QrrSky,QrrBot)*Fsw*(Vin-H80*RdsonTop)</f>
        <v>0.40304096</v>
      </c>
      <c r="AF80" s="0" t="n">
        <f aca="false">Iq*Vin</f>
        <v>0.054</v>
      </c>
      <c r="AG80" s="0" t="n">
        <f aca="false">Vin*(QgTop+QgBot)*Fsw</f>
        <v>0.35784</v>
      </c>
      <c r="AH80" s="357" t="n">
        <f aca="false">(Vin-Vdd)*Fsw*(QgTop+QgBot)+(RdsonDRT+RdsonDRT2)*Fsw*QgTop*Vdd/(RdsonDRT+2*RGateTop+RdsonDRT2)+(RdsonDRB+RdsonDRB2)*Fsw*QgBot*Vdd/(RdsonDRB+2*RGateBot+RdsonDRB2)</f>
        <v>0.31571422459893</v>
      </c>
      <c r="AI80" s="0" t="n">
        <f aca="false">SUM(AF80:AG80)</f>
        <v>0.41184</v>
      </c>
      <c r="AJ80" s="402" t="n">
        <f aca="false">SUM(N80,Q80,T80,Y80,AE80,AD80,AC80,AI80)</f>
        <v>0.973044597872549</v>
      </c>
      <c r="AK80" s="358" t="n">
        <f aca="false">Vout*H80</f>
        <v>8.52</v>
      </c>
      <c r="AL80" s="359" t="n">
        <f aca="false">AK80/(AK80+AJ80)</f>
        <v>0.897499207146818</v>
      </c>
      <c r="AM80" s="0" t="n">
        <f aca="false">ThetaJaTop*Y80</f>
        <v>3.40547292189378</v>
      </c>
      <c r="AN80" s="0" t="n">
        <f aca="false">AC80*ThetaJaBot</f>
        <v>2.06990541079266</v>
      </c>
      <c r="AO80" s="359"/>
      <c r="AP80" s="0" t="n">
        <f aca="false">AL80*100</f>
        <v>89.7499207146818</v>
      </c>
      <c r="AZ80" s="403"/>
      <c r="BA80" s="404"/>
    </row>
    <row r="81" customFormat="false" ht="12.75" hidden="false" customHeight="false" outlineLevel="0" collapsed="false">
      <c r="A81" s="329"/>
      <c r="B81" s="270"/>
      <c r="C81" s="270"/>
      <c r="G81" s="0" t="n">
        <v>72</v>
      </c>
      <c r="H81" s="0" t="n">
        <f aca="false">Iout*(G81/100)</f>
        <v>1.44</v>
      </c>
      <c r="I81" s="0" t="n">
        <f aca="false">(Vout+Rdcr*H81+RdsonBot*H81)/(Vin-RdsonTop*H81+RdsonBot*H81)</f>
        <v>0.335371286204339</v>
      </c>
      <c r="J81" s="0" t="n">
        <f aca="false">(Vin-Vout)*I81/(Fsw*Lout2)</f>
        <v>0.845473830767242</v>
      </c>
      <c r="K81" s="0" t="n">
        <f aca="false">SQRT(H81^2+(J81^2)/12)</f>
        <v>1.46053717282695</v>
      </c>
      <c r="L81" s="0" t="n">
        <f aca="false">(K81^2*Rdcr*(1+Ltc*Ta-Ltc*25))/(1-K81^2*Rdcr*Ltc*ThetaCa)</f>
        <v>0.0492562153187973</v>
      </c>
      <c r="N81" s="356" t="n">
        <f aca="false">L81</f>
        <v>0.0492562153187973</v>
      </c>
      <c r="O81" s="357" t="n">
        <f aca="false">J81/(2*SQRT(3))</f>
        <v>0.244067271893126</v>
      </c>
      <c r="P81" s="357" t="n">
        <f aca="false">RCoutEsr*O81^2</f>
        <v>2.97844166046765E-005</v>
      </c>
      <c r="Q81" s="357" t="n">
        <f aca="false">P81</f>
        <v>2.97844166046765E-005</v>
      </c>
      <c r="R81" s="0" t="n">
        <f aca="false">SQRT(I81)*SQRT(H81^2+(J81^2)/12)</f>
        <v>0.845815331667871</v>
      </c>
      <c r="S81" s="400" t="n">
        <f aca="false">RCinEsr*R81^2</f>
        <v>0.000715403575284431</v>
      </c>
      <c r="T81" s="401" t="n">
        <f aca="false">S81</f>
        <v>0.000715403575284431</v>
      </c>
      <c r="U81" s="0" t="n">
        <f aca="false">SQRT(I81)*SQRT(H81^2+(J81^2)/12)</f>
        <v>0.845815331667871</v>
      </c>
      <c r="V81" s="0" t="n">
        <f aca="false">RdsonTop*U81^2</f>
        <v>0.00357701787642215</v>
      </c>
      <c r="W81" s="0" t="n">
        <f aca="false">(Vin*H81/2)*(Fsw)*(Tr+Tf)</f>
        <v>0.0654908476508317</v>
      </c>
      <c r="X81" s="0" t="n">
        <f aca="false">IF(H81&gt;J81/2,0,ABS(H81-J81/2)*VsdTop*Deadtime*Fsw)</f>
        <v>0</v>
      </c>
      <c r="Y81" s="0" t="n">
        <f aca="false">(X81+W81+V81*(1+RdsonTopTc*Ta-RdsonTopTc*25))/(1-V81*RdsonTopTc*ThetaJaTop)</f>
        <v>0.069117312299587</v>
      </c>
      <c r="Z81" s="0" t="n">
        <f aca="false">SQRT(1-I81)*SQRT(H81^2+(J81^2)/12)</f>
        <v>1.19069948262562</v>
      </c>
      <c r="AA81" s="0" t="n">
        <f aca="false">RdsonBot*Z81^2</f>
        <v>0.00170131830950991</v>
      </c>
      <c r="AB81" s="0" t="n">
        <f aca="false">2*Deadtime*Fsw*IF(VfdSky&gt;0,0,VsdBot)*(H81+J81/2)</f>
        <v>0.0401606078956709</v>
      </c>
      <c r="AC81" s="0" t="n">
        <f aca="false">(AB81+AA81*(1+RdsonBotTc*Ta-RdsonBotTc*25))/(1-AA81*RdsonBotTc*ThetaJaBot)</f>
        <v>0.0418761751458824</v>
      </c>
      <c r="AD81" s="0" t="n">
        <f aca="false">2*Deadtime*Fsw*IF(VfdSky&gt;0,VfdSky,0)*H81</f>
        <v>0</v>
      </c>
      <c r="AE81" s="0" t="n">
        <f aca="false">IF(QrrSky&gt;0,QrrSky,QrrBot)*Fsw*(Vin-H81*RdsonTop)</f>
        <v>0.40303872</v>
      </c>
      <c r="AF81" s="0" t="n">
        <f aca="false">Iq*Vin</f>
        <v>0.054</v>
      </c>
      <c r="AG81" s="0" t="n">
        <f aca="false">Vin*(QgTop+QgBot)*Fsw</f>
        <v>0.35784</v>
      </c>
      <c r="AH81" s="357" t="n">
        <f aca="false">(Vin-Vdd)*Fsw*(QgTop+QgBot)+(RdsonDRT+RdsonDRT2)*Fsw*QgTop*Vdd/(RdsonDRT+2*RGateTop+RdsonDRT2)+(RdsonDRB+RdsonDRB2)*Fsw*QgBot*Vdd/(RdsonDRB+2*RGateBot+RdsonDRB2)</f>
        <v>0.31571422459893</v>
      </c>
      <c r="AI81" s="0" t="n">
        <f aca="false">SUM(AF81:AG81)</f>
        <v>0.41184</v>
      </c>
      <c r="AJ81" s="402" t="n">
        <f aca="false">SUM(N81,Q81,T81,Y81,AE81,AD81,AC81,AI81)</f>
        <v>0.975873610756156</v>
      </c>
      <c r="AK81" s="358" t="n">
        <f aca="false">Vout*H81</f>
        <v>8.64</v>
      </c>
      <c r="AL81" s="359" t="n">
        <f aca="false">AK81/(AK81+AJ81)</f>
        <v>0.898514305588984</v>
      </c>
      <c r="AM81" s="0" t="n">
        <f aca="false">ThetaJaTop*Y81</f>
        <v>3.45586561497935</v>
      </c>
      <c r="AN81" s="0" t="n">
        <f aca="false">AC81*ThetaJaBot</f>
        <v>2.09380875729412</v>
      </c>
      <c r="AO81" s="359"/>
      <c r="AP81" s="0" t="n">
        <f aca="false">AL81*100</f>
        <v>89.8514305588984</v>
      </c>
      <c r="AZ81" s="403"/>
      <c r="BA81" s="404"/>
    </row>
    <row r="82" customFormat="false" ht="12.75" hidden="false" customHeight="false" outlineLevel="0" collapsed="false">
      <c r="A82" s="329"/>
      <c r="B82" s="270"/>
      <c r="C82" s="270"/>
      <c r="G82" s="0" t="n">
        <v>73</v>
      </c>
      <c r="H82" s="0" t="n">
        <f aca="false">Iout*(G82/100)</f>
        <v>1.46</v>
      </c>
      <c r="I82" s="0" t="n">
        <f aca="false">(Vout+Rdcr*H82+RdsonBot*H82)/(Vin-RdsonTop*H82+RdsonBot*H82)</f>
        <v>0.335399599832215</v>
      </c>
      <c r="J82" s="0" t="n">
        <f aca="false">(Vin-Vout)*I82/(Fsw*Lout2)</f>
        <v>0.845545209661046</v>
      </c>
      <c r="K82" s="0" t="n">
        <f aca="false">SQRT(H82^2+(J82^2)/12)</f>
        <v>1.4802631157326</v>
      </c>
      <c r="L82" s="0" t="n">
        <f aca="false">(K82^2*Rdcr*(1+Ltc*Ta-Ltc*25))/(1-K82^2*Rdcr*Ltc*ThetaCa)</f>
        <v>0.0506011265729873</v>
      </c>
      <c r="N82" s="356" t="n">
        <f aca="false">L82</f>
        <v>0.0506011265729873</v>
      </c>
      <c r="O82" s="357" t="n">
        <f aca="false">J82/(2*SQRT(3))</f>
        <v>0.244087877204902</v>
      </c>
      <c r="P82" s="357" t="n">
        <f aca="false">RCoutEsr*O82^2</f>
        <v>2.97894458991976E-005</v>
      </c>
      <c r="Q82" s="357" t="n">
        <f aca="false">P82</f>
        <v>2.97894458991976E-005</v>
      </c>
      <c r="R82" s="0" t="n">
        <f aca="false">SQRT(I82)*SQRT(H82^2+(J82^2)/12)</f>
        <v>0.857275057067437</v>
      </c>
      <c r="S82" s="400" t="n">
        <f aca="false">RCinEsr*R82^2</f>
        <v>0.000734920523469978</v>
      </c>
      <c r="T82" s="401" t="n">
        <f aca="false">S82</f>
        <v>0.000734920523469978</v>
      </c>
      <c r="U82" s="0" t="n">
        <f aca="false">SQRT(I82)*SQRT(H82^2+(J82^2)/12)</f>
        <v>0.857275057067437</v>
      </c>
      <c r="V82" s="0" t="n">
        <f aca="false">RdsonTop*U82^2</f>
        <v>0.00367460261734989</v>
      </c>
      <c r="W82" s="0" t="n">
        <f aca="false">(Vin*H82/2)*(Fsw)*(Tr+Tf)</f>
        <v>0.0664004427570933</v>
      </c>
      <c r="X82" s="0" t="n">
        <f aca="false">IF(H82&gt;J82/2,0,ABS(H82-J82/2)*VsdTop*Deadtime*Fsw)</f>
        <v>0</v>
      </c>
      <c r="Y82" s="0" t="n">
        <f aca="false">(X82+W82+V82*(1+RdsonTopTc*Ta-RdsonTopTc*25))/(1-V82*RdsonTopTc*ThetaJaTop)</f>
        <v>0.0701265828394127</v>
      </c>
      <c r="Z82" s="0" t="n">
        <f aca="false">SQRT(1-I82)*SQRT(H82^2+(J82^2)/12)</f>
        <v>1.2067553059044</v>
      </c>
      <c r="AA82" s="0" t="n">
        <f aca="false">RdsonBot*Z82^2</f>
        <v>0.0017475100419941</v>
      </c>
      <c r="AB82" s="0" t="n">
        <f aca="false">2*Deadtime*Fsw*IF(VfdSky&gt;0,0,VsdBot)*(H82+J82/2)</f>
        <v>0.0405925773601461</v>
      </c>
      <c r="AC82" s="0" t="n">
        <f aca="false">(AB82+AA82*(1+RdsonBotTc*Ta-RdsonBotTc*25))/(1-AA82*RdsonBotTc*ThetaJaBot)</f>
        <v>0.0423548905214429</v>
      </c>
      <c r="AD82" s="0" t="n">
        <f aca="false">2*Deadtime*Fsw*IF(VfdSky&gt;0,VfdSky,0)*H82</f>
        <v>0</v>
      </c>
      <c r="AE82" s="0" t="n">
        <f aca="false">IF(QrrSky&gt;0,QrrSky,QrrBot)*Fsw*(Vin-H82*RdsonTop)</f>
        <v>0.40303648</v>
      </c>
      <c r="AF82" s="0" t="n">
        <f aca="false">Iq*Vin</f>
        <v>0.054</v>
      </c>
      <c r="AG82" s="0" t="n">
        <f aca="false">Vin*(QgTop+QgBot)*Fsw</f>
        <v>0.35784</v>
      </c>
      <c r="AH82" s="357" t="n">
        <f aca="false">(Vin-Vdd)*Fsw*(QgTop+QgBot)+(RdsonDRT+RdsonDRT2)*Fsw*QgTop*Vdd/(RdsonDRT+2*RGateTop+RdsonDRT2)+(RdsonDRB+RdsonDRB2)*Fsw*QgBot*Vdd/(RdsonDRB+2*RGateBot+RdsonDRB2)</f>
        <v>0.31571422459893</v>
      </c>
      <c r="AI82" s="0" t="n">
        <f aca="false">SUM(AF82:AG82)</f>
        <v>0.41184</v>
      </c>
      <c r="AJ82" s="402" t="n">
        <f aca="false">SUM(N82,Q82,T82,Y82,AE82,AD82,AC82,AI82)</f>
        <v>0.978723789903212</v>
      </c>
      <c r="AK82" s="358" t="n">
        <f aca="false">Vout*H82</f>
        <v>8.76</v>
      </c>
      <c r="AL82" s="359" t="n">
        <f aca="false">AK82/(AK82+AJ82)</f>
        <v>0.899501843258157</v>
      </c>
      <c r="AM82" s="0" t="n">
        <f aca="false">ThetaJaTop*Y82</f>
        <v>3.50632914197063</v>
      </c>
      <c r="AN82" s="0" t="n">
        <f aca="false">AC82*ThetaJaBot</f>
        <v>2.11774452607215</v>
      </c>
      <c r="AO82" s="359"/>
      <c r="AP82" s="0" t="n">
        <f aca="false">AL82*100</f>
        <v>89.9501843258157</v>
      </c>
      <c r="AZ82" s="403"/>
      <c r="BA82" s="404"/>
    </row>
    <row r="83" customFormat="false" ht="12.75" hidden="false" customHeight="false" outlineLevel="0" collapsed="false">
      <c r="A83" s="329"/>
      <c r="B83" s="270"/>
      <c r="C83" s="270"/>
      <c r="G83" s="0" t="n">
        <v>74</v>
      </c>
      <c r="H83" s="0" t="n">
        <f aca="false">Iout*(G83/100)</f>
        <v>1.48</v>
      </c>
      <c r="I83" s="0" t="n">
        <f aca="false">(Vout+Rdcr*H83+RdsonBot*H83)/(Vin-RdsonTop*H83+RdsonBot*H83)</f>
        <v>0.335427913699258</v>
      </c>
      <c r="J83" s="0" t="n">
        <f aca="false">(Vin-Vout)*I83/(Fsw*Lout2)</f>
        <v>0.845616589157793</v>
      </c>
      <c r="K83" s="0" t="n">
        <f aca="false">SQRT(H83^2+(J83^2)/12)</f>
        <v>1.49999631710267</v>
      </c>
      <c r="L83" s="0" t="n">
        <f aca="false">(K83^2*Rdcr*(1+Ltc*Ta-Ltc*25))/(1-K83^2*Rdcr*Ltc*ThetaCa)</f>
        <v>0.0519648794247912</v>
      </c>
      <c r="N83" s="356" t="n">
        <f aca="false">L83</f>
        <v>0.0519648794247912</v>
      </c>
      <c r="O83" s="357" t="n">
        <f aca="false">J83/(2*SQRT(3))</f>
        <v>0.244108482690733</v>
      </c>
      <c r="P83" s="357" t="n">
        <f aca="false">RCoutEsr*O83^2</f>
        <v>2.97944756607858E-005</v>
      </c>
      <c r="Q83" s="357" t="n">
        <f aca="false">P83</f>
        <v>2.97944756607858E-005</v>
      </c>
      <c r="R83" s="0" t="n">
        <f aca="false">SQRT(I83)*SQRT(H83^2+(J83^2)/12)</f>
        <v>0.868739949460238</v>
      </c>
      <c r="S83" s="400" t="n">
        <f aca="false">RCinEsr*R83^2</f>
        <v>0.000754709099788176</v>
      </c>
      <c r="T83" s="401" t="n">
        <f aca="false">S83</f>
        <v>0.000754709099788176</v>
      </c>
      <c r="U83" s="0" t="n">
        <f aca="false">SQRT(I83)*SQRT(H83^2+(J83^2)/12)</f>
        <v>0.868739949460238</v>
      </c>
      <c r="V83" s="0" t="n">
        <f aca="false">RdsonTop*U83^2</f>
        <v>0.00377354549894088</v>
      </c>
      <c r="W83" s="0" t="n">
        <f aca="false">(Vin*H83/2)*(Fsw)*(Tr+Tf)</f>
        <v>0.0673100378633548</v>
      </c>
      <c r="X83" s="0" t="n">
        <f aca="false">IF(H83&gt;J83/2,0,ABS(H83-J83/2)*VsdTop*Deadtime*Fsw)</f>
        <v>0</v>
      </c>
      <c r="Y83" s="0" t="n">
        <f aca="false">(X83+W83+V83*(1+RdsonTopTc*Ta-RdsonTopTc*25))/(1-V83*RdsonTopTc*ThetaJaTop)</f>
        <v>0.0711372713082861</v>
      </c>
      <c r="Z83" s="0" t="n">
        <f aca="false">SQRT(1-I83)*SQRT(H83^2+(J83^2)/12)</f>
        <v>1.22281636051101</v>
      </c>
      <c r="AA83" s="0" t="n">
        <f aca="false">RdsonBot*Z83^2</f>
        <v>0.00179433582184007</v>
      </c>
      <c r="AB83" s="0" t="n">
        <f aca="false">2*Deadtime*Fsw*IF(VfdSky&gt;0,0,VsdBot)*(H83+J83/2)</f>
        <v>0.041024546831121</v>
      </c>
      <c r="AC83" s="0" t="n">
        <f aca="false">(AB83+AA83*(1+RdsonBotTc*Ta-RdsonBotTc*25))/(1-AA83*RdsonBotTc*ThetaJaBot)</f>
        <v>0.0428342544603971</v>
      </c>
      <c r="AD83" s="0" t="n">
        <f aca="false">2*Deadtime*Fsw*IF(VfdSky&gt;0,VfdSky,0)*H83</f>
        <v>0</v>
      </c>
      <c r="AE83" s="0" t="n">
        <f aca="false">IF(QrrSky&gt;0,QrrSky,QrrBot)*Fsw*(Vin-H83*RdsonTop)</f>
        <v>0.40303424</v>
      </c>
      <c r="AF83" s="0" t="n">
        <f aca="false">Iq*Vin</f>
        <v>0.054</v>
      </c>
      <c r="AG83" s="0" t="n">
        <f aca="false">Vin*(QgTop+QgBot)*Fsw</f>
        <v>0.35784</v>
      </c>
      <c r="AH83" s="357" t="n">
        <f aca="false">(Vin-Vdd)*Fsw*(QgTop+QgBot)+(RdsonDRT+RdsonDRT2)*Fsw*QgTop*Vdd/(RdsonDRT+2*RGateTop+RdsonDRT2)+(RdsonDRB+RdsonDRB2)*Fsw*QgBot*Vdd/(RdsonDRB+2*RGateBot+RdsonDRB2)</f>
        <v>0.31571422459893</v>
      </c>
      <c r="AI83" s="0" t="n">
        <f aca="false">SUM(AF83:AG83)</f>
        <v>0.41184</v>
      </c>
      <c r="AJ83" s="402" t="n">
        <f aca="false">SUM(N83,Q83,T83,Y83,AE83,AD83,AC83,AI83)</f>
        <v>0.981595148768924</v>
      </c>
      <c r="AK83" s="358" t="n">
        <f aca="false">Vout*H83</f>
        <v>8.88</v>
      </c>
      <c r="AL83" s="359" t="n">
        <f aca="false">AK83/(AK83+AJ83)</f>
        <v>0.900462842576593</v>
      </c>
      <c r="AM83" s="0" t="n">
        <f aca="false">ThetaJaTop*Y83</f>
        <v>3.55686356541431</v>
      </c>
      <c r="AN83" s="0" t="n">
        <f aca="false">AC83*ThetaJaBot</f>
        <v>2.14171272301986</v>
      </c>
      <c r="AO83" s="359"/>
      <c r="AP83" s="0" t="n">
        <f aca="false">AL83*100</f>
        <v>90.0462842576593</v>
      </c>
      <c r="AZ83" s="403"/>
      <c r="BA83" s="404"/>
    </row>
    <row r="84" customFormat="false" ht="12.75" hidden="false" customHeight="false" outlineLevel="0" collapsed="false">
      <c r="G84" s="0" t="n">
        <v>75</v>
      </c>
      <c r="H84" s="0" t="n">
        <f aca="false">Iout*(G84/100)</f>
        <v>1.5</v>
      </c>
      <c r="I84" s="0" t="n">
        <f aca="false">(Vout+Rdcr*H84+RdsonBot*H84)/(Vin-RdsonTop*H84+RdsonBot*H84)</f>
        <v>0.335456227805472</v>
      </c>
      <c r="J84" s="0" t="n">
        <f aca="false">(Vin-Vout)*I84/(Fsw*Lout2)</f>
        <v>0.845687969257492</v>
      </c>
      <c r="K84" s="0" t="n">
        <f aca="false">SQRT(H84^2+(J84^2)/12)</f>
        <v>1.51973649419197</v>
      </c>
      <c r="L84" s="0" t="n">
        <f aca="false">(K84^2*Rdcr*(1+Ltc*Ta-Ltc*25))/(1-K84^2*Rdcr*Ltc*ThetaCa)</f>
        <v>0.0533474860649323</v>
      </c>
      <c r="N84" s="356" t="n">
        <f aca="false">L84</f>
        <v>0.0533474860649323</v>
      </c>
      <c r="O84" s="357" t="n">
        <f aca="false">J84/(2*SQRT(3))</f>
        <v>0.24412908835062</v>
      </c>
      <c r="P84" s="357" t="n">
        <f aca="false">RCoutEsr*O84^2</f>
        <v>2.97995058894525E-005</v>
      </c>
      <c r="Q84" s="357" t="n">
        <f aca="false">P84</f>
        <v>2.97995058894525E-005</v>
      </c>
      <c r="R84" s="0" t="n">
        <f aca="false">SQRT(I84)*SQRT(H84^2+(J84^2)/12)</f>
        <v>0.880209845567861</v>
      </c>
      <c r="S84" s="400" t="n">
        <f aca="false">RCinEsr*R84^2</f>
        <v>0.000774769372234597</v>
      </c>
      <c r="T84" s="401" t="n">
        <f aca="false">S84</f>
        <v>0.000774769372234597</v>
      </c>
      <c r="U84" s="0" t="n">
        <f aca="false">SQRT(I84)*SQRT(H84^2+(J84^2)/12)</f>
        <v>0.880209845567861</v>
      </c>
      <c r="V84" s="0" t="n">
        <f aca="false">RdsonTop*U84^2</f>
        <v>0.00387384686117298</v>
      </c>
      <c r="W84" s="0" t="n">
        <f aca="false">(Vin*H84/2)*(Fsw)*(Tr+Tf)</f>
        <v>0.0682196329696164</v>
      </c>
      <c r="X84" s="0" t="n">
        <f aca="false">IF(H84&gt;J84/2,0,ABS(H84-J84/2)*VsdTop*Deadtime*Fsw)</f>
        <v>0</v>
      </c>
      <c r="Y84" s="0" t="n">
        <f aca="false">(X84+W84+V84*(1+RdsonTopTc*Ta-RdsonTopTc*25))/(1-V84*RdsonTopTc*ThetaJaTop)</f>
        <v>0.0721493789598332</v>
      </c>
      <c r="Z84" s="0" t="n">
        <f aca="false">SQRT(1-I84)*SQRT(H84^2+(J84^2)/12)</f>
        <v>1.23888241554407</v>
      </c>
      <c r="AA84" s="0" t="n">
        <f aca="false">RdsonBot*Z84^2</f>
        <v>0.00184179556745317</v>
      </c>
      <c r="AB84" s="0" t="n">
        <f aca="false">2*Deadtime*Fsw*IF(VfdSky&gt;0,0,VsdBot)*(H84+J84/2)</f>
        <v>0.0414565163085958</v>
      </c>
      <c r="AC84" s="0" t="n">
        <f aca="false">(AB84+AA84*(1+RdsonBotTc*Ta-RdsonBotTc*25))/(1-AA84*RdsonBotTc*ThetaJaBot)</f>
        <v>0.0433142670810724</v>
      </c>
      <c r="AD84" s="0" t="n">
        <f aca="false">2*Deadtime*Fsw*IF(VfdSky&gt;0,VfdSky,0)*H84</f>
        <v>0</v>
      </c>
      <c r="AE84" s="0" t="n">
        <f aca="false">IF(QrrSky&gt;0,QrrSky,QrrBot)*Fsw*(Vin-H84*RdsonTop)</f>
        <v>0.403032</v>
      </c>
      <c r="AF84" s="0" t="n">
        <f aca="false">Iq*Vin</f>
        <v>0.054</v>
      </c>
      <c r="AG84" s="0" t="n">
        <f aca="false">Vin*(QgTop+QgBot)*Fsw</f>
        <v>0.35784</v>
      </c>
      <c r="AH84" s="357" t="n">
        <f aca="false">(Vin-Vdd)*Fsw*(QgTop+QgBot)+(RdsonDRT+RdsonDRT2)*Fsw*QgTop*Vdd/(RdsonDRT+2*RGateTop+RdsonDRT2)+(RdsonDRB+RdsonDRB2)*Fsw*QgBot*Vdd/(RdsonDRB+2*RGateBot+RdsonDRB2)</f>
        <v>0.31571422459893</v>
      </c>
      <c r="AI84" s="0" t="n">
        <f aca="false">SUM(AF84:AG84)</f>
        <v>0.41184</v>
      </c>
      <c r="AJ84" s="402" t="n">
        <f aca="false">SUM(N84,Q84,T84,Y84,AE84,AD84,AC84,AI84)</f>
        <v>0.984487700983962</v>
      </c>
      <c r="AK84" s="358" t="n">
        <f aca="false">Vout*H84</f>
        <v>9</v>
      </c>
      <c r="AL84" s="359" t="n">
        <f aca="false">AK84/(AK84+AJ84)</f>
        <v>0.901398275958922</v>
      </c>
      <c r="AM84" s="0" t="n">
        <f aca="false">ThetaJaTop*Y84</f>
        <v>3.60746894799166</v>
      </c>
      <c r="AN84" s="0" t="n">
        <f aca="false">AC84*ThetaJaBot</f>
        <v>2.16571335405362</v>
      </c>
      <c r="AO84" s="359"/>
      <c r="AP84" s="0" t="n">
        <f aca="false">AL84*100</f>
        <v>90.1398275958922</v>
      </c>
      <c r="AZ84" s="403"/>
      <c r="BA84" s="404"/>
    </row>
    <row r="85" customFormat="false" ht="12.75" hidden="false" customHeight="false" outlineLevel="0" collapsed="false">
      <c r="G85" s="0" t="n">
        <v>76</v>
      </c>
      <c r="H85" s="0" t="n">
        <f aca="false">Iout*(G85/100)</f>
        <v>1.52</v>
      </c>
      <c r="I85" s="0" t="n">
        <f aca="false">(Vout+Rdcr*H85+RdsonBot*H85)/(Vin-RdsonTop*H85+RdsonBot*H85)</f>
        <v>0.335484542150859</v>
      </c>
      <c r="J85" s="0" t="n">
        <f aca="false">(Vin-Vout)*I85/(Fsw*Lout2)</f>
        <v>0.845759349960149</v>
      </c>
      <c r="K85" s="0" t="n">
        <f aca="false">SQRT(H85^2+(J85^2)/12)</f>
        <v>1.53948337866</v>
      </c>
      <c r="L85" s="0" t="n">
        <f aca="false">(K85^2*Rdcr*(1+Ltc*Ta-Ltc*25))/(1-K85^2*Rdcr*Ltc*ThetaCa)</f>
        <v>0.0547489588567158</v>
      </c>
      <c r="N85" s="356" t="n">
        <f aca="false">L85</f>
        <v>0.0547489588567158</v>
      </c>
      <c r="O85" s="357" t="n">
        <f aca="false">J85/(2*SQRT(3))</f>
        <v>0.244149694184567</v>
      </c>
      <c r="P85" s="357" t="n">
        <f aca="false">RCoutEsr*O85^2</f>
        <v>2.98045365852089E-005</v>
      </c>
      <c r="Q85" s="357" t="n">
        <f aca="false">P85</f>
        <v>2.98045365852089E-005</v>
      </c>
      <c r="R85" s="0" t="n">
        <f aca="false">SQRT(I85)*SQRT(H85^2+(J85^2)/12)</f>
        <v>0.891684590427557</v>
      </c>
      <c r="S85" s="400" t="n">
        <f aca="false">RCinEsr*R85^2</f>
        <v>0.000795101408805959</v>
      </c>
      <c r="T85" s="401" t="n">
        <f aca="false">S85</f>
        <v>0.000795101408805959</v>
      </c>
      <c r="U85" s="0" t="n">
        <f aca="false">SQRT(I85)*SQRT(H85^2+(J85^2)/12)</f>
        <v>0.891684590427557</v>
      </c>
      <c r="V85" s="0" t="n">
        <f aca="false">RdsonTop*U85^2</f>
        <v>0.0039755070440298</v>
      </c>
      <c r="W85" s="0" t="n">
        <f aca="false">(Vin*H85/2)*(Fsw)*(Tr+Tf)</f>
        <v>0.0691292280758779</v>
      </c>
      <c r="X85" s="0" t="n">
        <f aca="false">IF(H85&gt;J85/2,0,ABS(H85-J85/2)*VsdTop*Deadtime*Fsw)</f>
        <v>0</v>
      </c>
      <c r="Y85" s="0" t="n">
        <f aca="false">(X85+W85+V85*(1+RdsonTopTc*Ta-RdsonTopTc*25))/(1-V85*RdsonTopTc*ThetaJaTop)</f>
        <v>0.0731629070503758</v>
      </c>
      <c r="Z85" s="0" t="n">
        <f aca="false">SQRT(1-I85)*SQRT(H85^2+(J85^2)/12)</f>
        <v>1.25495325186417</v>
      </c>
      <c r="AA85" s="0" t="n">
        <f aca="false">RdsonBot*Z85^2</f>
        <v>0.00188988919723735</v>
      </c>
      <c r="AB85" s="0" t="n">
        <f aca="false">2*Deadtime*Fsw*IF(VfdSky&gt;0,0,VsdBot)*(H85+J85/2)</f>
        <v>0.0418884857925704</v>
      </c>
      <c r="AC85" s="0" t="n">
        <f aca="false">(AB85+AA85*(1+RdsonBotTc*Ta-RdsonBotTc*25))/(1-AA85*RdsonBotTc*ThetaJaBot)</f>
        <v>0.0437949285022618</v>
      </c>
      <c r="AD85" s="0" t="n">
        <f aca="false">2*Deadtime*Fsw*IF(VfdSky&gt;0,VfdSky,0)*H85</f>
        <v>0</v>
      </c>
      <c r="AE85" s="0" t="n">
        <f aca="false">IF(QrrSky&gt;0,QrrSky,QrrBot)*Fsw*(Vin-H85*RdsonTop)</f>
        <v>0.40302976</v>
      </c>
      <c r="AF85" s="0" t="n">
        <f aca="false">Iq*Vin</f>
        <v>0.054</v>
      </c>
      <c r="AG85" s="0" t="n">
        <f aca="false">Vin*(QgTop+QgBot)*Fsw</f>
        <v>0.35784</v>
      </c>
      <c r="AH85" s="357" t="n">
        <f aca="false">(Vin-Vdd)*Fsw*(QgTop+QgBot)+(RdsonDRT+RdsonDRT2)*Fsw*QgTop*Vdd/(RdsonDRT+2*RGateTop+RdsonDRT2)+(RdsonDRB+RdsonDRB2)*Fsw*QgBot*Vdd/(RdsonDRB+2*RGateBot+RdsonDRB2)</f>
        <v>0.31571422459893</v>
      </c>
      <c r="AI85" s="0" t="n">
        <f aca="false">SUM(AF85:AG85)</f>
        <v>0.41184</v>
      </c>
      <c r="AJ85" s="402" t="n">
        <f aca="false">SUM(N85,Q85,T85,Y85,AE85,AD85,AC85,AI85)</f>
        <v>0.987401460354745</v>
      </c>
      <c r="AK85" s="358" t="n">
        <f aca="false">Vout*H85</f>
        <v>9.12</v>
      </c>
      <c r="AL85" s="359" t="n">
        <f aca="false">AK85/(AK85+AJ85)</f>
        <v>0.902309068831615</v>
      </c>
      <c r="AM85" s="0" t="n">
        <f aca="false">ThetaJaTop*Y85</f>
        <v>3.65814535251879</v>
      </c>
      <c r="AN85" s="0" t="n">
        <f aca="false">AC85*ThetaJaBot</f>
        <v>2.18974642511309</v>
      </c>
      <c r="AO85" s="359"/>
      <c r="AP85" s="0" t="n">
        <f aca="false">AL85*100</f>
        <v>90.2309068831615</v>
      </c>
      <c r="AZ85" s="403"/>
      <c r="BA85" s="404"/>
    </row>
    <row r="86" customFormat="false" ht="12.75" hidden="false" customHeight="false" outlineLevel="0" collapsed="false">
      <c r="G86" s="0" t="n">
        <v>77</v>
      </c>
      <c r="H86" s="0" t="n">
        <f aca="false">Iout*(G86/100)</f>
        <v>1.54</v>
      </c>
      <c r="I86" s="0" t="n">
        <f aca="false">(Vout+Rdcr*H86+RdsonBot*H86)/(Vin-RdsonTop*H86+RdsonBot*H86)</f>
        <v>0.335512856735423</v>
      </c>
      <c r="J86" s="0" t="n">
        <f aca="false">(Vin-Vout)*I86/(Fsw*Lout2)</f>
        <v>0.845830731265773</v>
      </c>
      <c r="K86" s="0" t="n">
        <f aca="false">SQRT(H86^2+(J86^2)/12)</f>
        <v>1.55923671567089</v>
      </c>
      <c r="L86" s="0" t="n">
        <f aca="false">(K86^2*Rdcr*(1+Ltc*Ta-Ltc*25))/(1-K86^2*Rdcr*Ltc*ThetaCa)</f>
        <v>0.0561693103363068</v>
      </c>
      <c r="N86" s="356" t="n">
        <f aca="false">L86</f>
        <v>0.0561693103363068</v>
      </c>
      <c r="O86" s="357" t="n">
        <f aca="false">J86/(2*SQRT(3))</f>
        <v>0.244170300192576</v>
      </c>
      <c r="P86" s="357" t="n">
        <f aca="false">RCoutEsr*O86^2</f>
        <v>2.98095677480663E-005</v>
      </c>
      <c r="Q86" s="357" t="n">
        <f aca="false">P86</f>
        <v>2.98095677480663E-005</v>
      </c>
      <c r="R86" s="0" t="n">
        <f aca="false">SQRT(I86)*SQRT(H86^2+(J86^2)/12)</f>
        <v>0.903164036872668</v>
      </c>
      <c r="S86" s="400" t="n">
        <f aca="false">RCinEsr*R86^2</f>
        <v>0.000815705277500133</v>
      </c>
      <c r="T86" s="401" t="n">
        <f aca="false">S86</f>
        <v>0.000815705277500133</v>
      </c>
      <c r="U86" s="0" t="n">
        <f aca="false">SQRT(I86)*SQRT(H86^2+(J86^2)/12)</f>
        <v>0.903164036872668</v>
      </c>
      <c r="V86" s="0" t="n">
        <f aca="false">RdsonTop*U86^2</f>
        <v>0.00407852638750067</v>
      </c>
      <c r="W86" s="0" t="n">
        <f aca="false">(Vin*H86/2)*(Fsw)*(Tr+Tf)</f>
        <v>0.0700388231821395</v>
      </c>
      <c r="X86" s="0" t="n">
        <f aca="false">IF(H86&gt;J86/2,0,ABS(H86-J86/2)*VsdTop*Deadtime*Fsw)</f>
        <v>0</v>
      </c>
      <c r="Y86" s="0" t="n">
        <f aca="false">(X86+W86+V86*(1+RdsonTopTc*Ta-RdsonTopTc*25))/(1-V86*RdsonTopTc*ThetaJaTop)</f>
        <v>0.0741778568389373</v>
      </c>
      <c r="Z86" s="0" t="n">
        <f aca="false">SQRT(1-I86)*SQRT(H86^2+(J86^2)/12)</f>
        <v>1.27102866135898</v>
      </c>
      <c r="AA86" s="0" t="n">
        <f aca="false">RdsonBot*Z86^2</f>
        <v>0.0019386166295952</v>
      </c>
      <c r="AB86" s="0" t="n">
        <f aca="false">2*Deadtime*Fsw*IF(VfdSky&gt;0,0,VsdBot)*(H86+J86/2)</f>
        <v>0.042320455283045</v>
      </c>
      <c r="AC86" s="0" t="n">
        <f aca="false">(AB86+AA86*(1+RdsonBotTc*Ta-RdsonBotTc*25))/(1-AA86*RdsonBotTc*ThetaJaBot)</f>
        <v>0.0442762388432237</v>
      </c>
      <c r="AD86" s="0" t="n">
        <f aca="false">2*Deadtime*Fsw*IF(VfdSky&gt;0,VfdSky,0)*H86</f>
        <v>0</v>
      </c>
      <c r="AE86" s="0" t="n">
        <f aca="false">IF(QrrSky&gt;0,QrrSky,QrrBot)*Fsw*(Vin-H86*RdsonTop)</f>
        <v>0.40302752</v>
      </c>
      <c r="AF86" s="0" t="n">
        <f aca="false">Iq*Vin</f>
        <v>0.054</v>
      </c>
      <c r="AG86" s="0" t="n">
        <f aca="false">Vin*(QgTop+QgBot)*Fsw</f>
        <v>0.35784</v>
      </c>
      <c r="AH86" s="357" t="n">
        <f aca="false">(Vin-Vdd)*Fsw*(QgTop+QgBot)+(RdsonDRT+RdsonDRT2)*Fsw*QgTop*Vdd/(RdsonDRT+2*RGateTop+RdsonDRT2)+(RdsonDRB+RdsonDRB2)*Fsw*QgBot*Vdd/(RdsonDRB+2*RGateBot+RdsonDRB2)</f>
        <v>0.31571422459893</v>
      </c>
      <c r="AI86" s="0" t="n">
        <f aca="false">SUM(AF86:AG86)</f>
        <v>0.41184</v>
      </c>
      <c r="AJ86" s="402" t="n">
        <f aca="false">SUM(N86,Q86,T86,Y86,AE86,AD86,AC86,AI86)</f>
        <v>0.990336440863716</v>
      </c>
      <c r="AK86" s="358" t="n">
        <f aca="false">Vout*H86</f>
        <v>9.24</v>
      </c>
      <c r="AL86" s="359" t="n">
        <f aca="false">AK86/(AK86+AJ86)</f>
        <v>0.903196102436285</v>
      </c>
      <c r="AM86" s="0" t="n">
        <f aca="false">ThetaJaTop*Y86</f>
        <v>3.70889284194686</v>
      </c>
      <c r="AN86" s="0" t="n">
        <f aca="false">AC86*ThetaJaBot</f>
        <v>2.21381194216119</v>
      </c>
      <c r="AO86" s="359"/>
      <c r="AP86" s="0" t="n">
        <f aca="false">AL86*100</f>
        <v>90.3196102436285</v>
      </c>
      <c r="AZ86" s="403"/>
      <c r="BA86" s="404"/>
    </row>
    <row r="87" customFormat="false" ht="12.75" hidden="false" customHeight="false" outlineLevel="0" collapsed="false">
      <c r="G87" s="0" t="n">
        <v>78</v>
      </c>
      <c r="H87" s="0" t="n">
        <f aca="false">Iout*(G87/100)</f>
        <v>1.56</v>
      </c>
      <c r="I87" s="0" t="n">
        <f aca="false">(Vout+Rdcr*H87+RdsonBot*H87)/(Vin-RdsonTop*H87+RdsonBot*H87)</f>
        <v>0.335541171559167</v>
      </c>
      <c r="J87" s="0" t="n">
        <f aca="false">(Vin-Vout)*I87/(Fsw*Lout2)</f>
        <v>0.84590211317437</v>
      </c>
      <c r="K87" s="0" t="n">
        <f aca="false">SQRT(H87^2+(J87^2)/12)</f>
        <v>1.57899626305957</v>
      </c>
      <c r="L87" s="0" t="n">
        <f aca="false">(K87^2*Rdcr*(1+Ltc*Ta-Ltc*25))/(1-K87^2*Rdcr*Ltc*ThetaCa)</f>
        <v>0.0576085532130122</v>
      </c>
      <c r="N87" s="356" t="n">
        <f aca="false">L87</f>
        <v>0.0576085532130122</v>
      </c>
      <c r="O87" s="357" t="n">
        <f aca="false">J87/(2*SQRT(3))</f>
        <v>0.244190906374648</v>
      </c>
      <c r="P87" s="357" t="n">
        <f aca="false">RCoutEsr*O87^2</f>
        <v>2.9814599378036E-005</v>
      </c>
      <c r="Q87" s="357" t="n">
        <f aca="false">P87</f>
        <v>2.9814599378036E-005</v>
      </c>
      <c r="R87" s="0" t="n">
        <f aca="false">SQRT(I87)*SQRT(H87^2+(J87^2)/12)</f>
        <v>0.914648045051284</v>
      </c>
      <c r="S87" s="400" t="n">
        <f aca="false">RCinEsr*R87^2</f>
        <v>0.000836581046316135</v>
      </c>
      <c r="T87" s="401" t="n">
        <f aca="false">S87</f>
        <v>0.000836581046316135</v>
      </c>
      <c r="U87" s="0" t="n">
        <f aca="false">SQRT(I87)*SQRT(H87^2+(J87^2)/12)</f>
        <v>0.914648045051284</v>
      </c>
      <c r="V87" s="0" t="n">
        <f aca="false">RdsonTop*U87^2</f>
        <v>0.00418290523158068</v>
      </c>
      <c r="W87" s="0" t="n">
        <f aca="false">(Vin*H87/2)*(Fsw)*(Tr+Tf)</f>
        <v>0.070948418288401</v>
      </c>
      <c r="X87" s="0" t="n">
        <f aca="false">IF(H87&gt;J87/2,0,ABS(H87-J87/2)*VsdTop*Deadtime*Fsw)</f>
        <v>0</v>
      </c>
      <c r="Y87" s="0" t="n">
        <f aca="false">(X87+W87+V87*(1+RdsonTopTc*Ta-RdsonTopTc*25))/(1-V87*RdsonTopTc*ThetaJaTop)</f>
        <v>0.0751942295872467</v>
      </c>
      <c r="Z87" s="0" t="n">
        <f aca="false">SQRT(1-I87)*SQRT(H87^2+(J87^2)/12)</f>
        <v>1.28710844626237</v>
      </c>
      <c r="AA87" s="0" t="n">
        <f aca="false">RdsonBot*Z87^2</f>
        <v>0.00198797778292792</v>
      </c>
      <c r="AB87" s="0" t="n">
        <f aca="false">2*Deadtime*Fsw*IF(VfdSky&gt;0,0,VsdBot)*(H87+J87/2)</f>
        <v>0.0427524247800197</v>
      </c>
      <c r="AC87" s="0" t="n">
        <f aca="false">(AB87+AA87*(1+RdsonBotTc*Ta-RdsonBotTc*25))/(1-AA87*RdsonBotTc*ThetaJaBot)</f>
        <v>0.0447581982236821</v>
      </c>
      <c r="AD87" s="0" t="n">
        <f aca="false">2*Deadtime*Fsw*IF(VfdSky&gt;0,VfdSky,0)*H87</f>
        <v>0</v>
      </c>
      <c r="AE87" s="0" t="n">
        <f aca="false">IF(QrrSky&gt;0,QrrSky,QrrBot)*Fsw*(Vin-H87*RdsonTop)</f>
        <v>0.40302528</v>
      </c>
      <c r="AF87" s="0" t="n">
        <f aca="false">Iq*Vin</f>
        <v>0.054</v>
      </c>
      <c r="AG87" s="0" t="n">
        <f aca="false">Vin*(QgTop+QgBot)*Fsw</f>
        <v>0.35784</v>
      </c>
      <c r="AH87" s="357" t="n">
        <f aca="false">(Vin-Vdd)*Fsw*(QgTop+QgBot)+(RdsonDRT+RdsonDRT2)*Fsw*QgTop*Vdd/(RdsonDRT+2*RGateTop+RdsonDRT2)+(RdsonDRB+RdsonDRB2)*Fsw*QgBot*Vdd/(RdsonDRB+2*RGateBot+RdsonDRB2)</f>
        <v>0.31571422459893</v>
      </c>
      <c r="AI87" s="0" t="n">
        <f aca="false">SUM(AF87:AG87)</f>
        <v>0.41184</v>
      </c>
      <c r="AJ87" s="402" t="n">
        <f aca="false">SUM(N87,Q87,T87,Y87,AE87,AD87,AC87,AI87)</f>
        <v>0.993292656669635</v>
      </c>
      <c r="AK87" s="358" t="n">
        <f aca="false">Vout*H87</f>
        <v>9.36</v>
      </c>
      <c r="AL87" s="359" t="n">
        <f aca="false">AK87/(AK87+AJ87)</f>
        <v>0.904060216434648</v>
      </c>
      <c r="AM87" s="0" t="n">
        <f aca="false">ThetaJaTop*Y87</f>
        <v>3.75971147936234</v>
      </c>
      <c r="AN87" s="0" t="n">
        <f aca="false">AC87*ThetaJaBot</f>
        <v>2.23790991118411</v>
      </c>
      <c r="AO87" s="359"/>
      <c r="AP87" s="0" t="n">
        <f aca="false">AL87*100</f>
        <v>90.4060216434648</v>
      </c>
      <c r="AZ87" s="403"/>
      <c r="BA87" s="404"/>
    </row>
    <row r="88" customFormat="false" ht="12.75" hidden="false" customHeight="false" outlineLevel="0" collapsed="false">
      <c r="G88" s="0" t="n">
        <v>79</v>
      </c>
      <c r="H88" s="0" t="n">
        <f aca="false">Iout*(G88/100)</f>
        <v>1.58</v>
      </c>
      <c r="I88" s="0" t="n">
        <f aca="false">(Vout+Rdcr*H88+RdsonBot*H88)/(Vin-RdsonTop*H88+RdsonBot*H88)</f>
        <v>0.335569486622093</v>
      </c>
      <c r="J88" s="0" t="n">
        <f aca="false">(Vin-Vout)*I88/(Fsw*Lout2)</f>
        <v>0.845973495685949</v>
      </c>
      <c r="K88" s="0" t="n">
        <f aca="false">SQRT(H88^2+(J88^2)/12)</f>
        <v>1.59876179055864</v>
      </c>
      <c r="L88" s="0" t="n">
        <f aca="false">(K88^2*Rdcr*(1+Ltc*Ta-Ltc*25))/(1-K88^2*Rdcr*Ltc*ThetaCa)</f>
        <v>0.0590667003695666</v>
      </c>
      <c r="N88" s="356" t="n">
        <f aca="false">L88</f>
        <v>0.0590667003695666</v>
      </c>
      <c r="O88" s="357" t="n">
        <f aca="false">J88/(2*SQRT(3))</f>
        <v>0.244211512730786</v>
      </c>
      <c r="P88" s="357" t="n">
        <f aca="false">RCoutEsr*O88^2</f>
        <v>2.98196314751294E-005</v>
      </c>
      <c r="Q88" s="357" t="n">
        <f aca="false">P88</f>
        <v>2.98196314751294E-005</v>
      </c>
      <c r="R88" s="0" t="n">
        <f aca="false">SQRT(I88)*SQRT(H88^2+(J88^2)/12)</f>
        <v>0.926136481979914</v>
      </c>
      <c r="S88" s="400" t="n">
        <f aca="false">RCinEsr*R88^2</f>
        <v>0.000857728783254132</v>
      </c>
      <c r="T88" s="401" t="n">
        <f aca="false">S88</f>
        <v>0.000857728783254132</v>
      </c>
      <c r="U88" s="0" t="n">
        <f aca="false">SQRT(I88)*SQRT(H88^2+(J88^2)/12)</f>
        <v>0.926136481979914</v>
      </c>
      <c r="V88" s="0" t="n">
        <f aca="false">RdsonTop*U88^2</f>
        <v>0.00428864391627066</v>
      </c>
      <c r="W88" s="0" t="n">
        <f aca="false">(Vin*H88/2)*(Fsw)*(Tr+Tf)</f>
        <v>0.0718580133946626</v>
      </c>
      <c r="X88" s="0" t="n">
        <f aca="false">IF(H88&gt;J88/2,0,ABS(H88-J88/2)*VsdTop*Deadtime*Fsw)</f>
        <v>0</v>
      </c>
      <c r="Y88" s="0" t="n">
        <f aca="false">(X88+W88+V88*(1+RdsonTopTc*Ta-RdsonTopTc*25))/(1-V88*RdsonTopTc*ThetaJaTop)</f>
        <v>0.0762120265597436</v>
      </c>
      <c r="Z88" s="0" t="n">
        <f aca="false">SQRT(1-I88)*SQRT(H88^2+(J88^2)/12)</f>
        <v>1.30319241852312</v>
      </c>
      <c r="AA88" s="0" t="n">
        <f aca="false">RdsonBot*Z88^2</f>
        <v>0.00203797257563535</v>
      </c>
      <c r="AB88" s="0" t="n">
        <f aca="false">2*Deadtime*Fsw*IF(VfdSky&gt;0,0,VsdBot)*(H88+J88/2)</f>
        <v>0.0431843942834945</v>
      </c>
      <c r="AC88" s="0" t="n">
        <f aca="false">(AB88+AA88*(1+RdsonBotTc*Ta-RdsonBotTc*25))/(1-AA88*RdsonBotTc*ThetaJaBot)</f>
        <v>0.0452408067638268</v>
      </c>
      <c r="AD88" s="0" t="n">
        <f aca="false">2*Deadtime*Fsw*IF(VfdSky&gt;0,VfdSky,0)*H88</f>
        <v>0</v>
      </c>
      <c r="AE88" s="0" t="n">
        <f aca="false">IF(QrrSky&gt;0,QrrSky,QrrBot)*Fsw*(Vin-H88*RdsonTop)</f>
        <v>0.40302304</v>
      </c>
      <c r="AF88" s="0" t="n">
        <f aca="false">Iq*Vin</f>
        <v>0.054</v>
      </c>
      <c r="AG88" s="0" t="n">
        <f aca="false">Vin*(QgTop+QgBot)*Fsw</f>
        <v>0.35784</v>
      </c>
      <c r="AH88" s="357" t="n">
        <f aca="false">(Vin-Vdd)*Fsw*(QgTop+QgBot)+(RdsonDRT+RdsonDRT2)*Fsw*QgTop*Vdd/(RdsonDRT+2*RGateTop+RdsonDRT2)+(RdsonDRB+RdsonDRB2)*Fsw*QgBot*Vdd/(RdsonDRB+2*RGateBot+RdsonDRB2)</f>
        <v>0.31571422459893</v>
      </c>
      <c r="AI88" s="0" t="n">
        <f aca="false">SUM(AF88:AG88)</f>
        <v>0.41184</v>
      </c>
      <c r="AJ88" s="402" t="n">
        <f aca="false">SUM(N88,Q88,T88,Y88,AE88,AD88,AC88,AI88)</f>
        <v>0.996270122107866</v>
      </c>
      <c r="AK88" s="358" t="n">
        <f aca="false">Vout*H88</f>
        <v>9.48</v>
      </c>
      <c r="AL88" s="359" t="n">
        <f aca="false">AK88/(AK88+AJ88)</f>
        <v>0.904902211331354</v>
      </c>
      <c r="AM88" s="0" t="n">
        <f aca="false">ThetaJaTop*Y88</f>
        <v>3.81060132798718</v>
      </c>
      <c r="AN88" s="0" t="n">
        <f aca="false">AC88*ThetaJaBot</f>
        <v>2.26204033819134</v>
      </c>
      <c r="AO88" s="359"/>
      <c r="AP88" s="0" t="n">
        <f aca="false">AL88*100</f>
        <v>90.4902211331354</v>
      </c>
      <c r="AZ88" s="403"/>
      <c r="BA88" s="404"/>
    </row>
    <row r="89" customFormat="false" ht="12.75" hidden="false" customHeight="false" outlineLevel="0" collapsed="false">
      <c r="G89" s="0" t="n">
        <v>80</v>
      </c>
      <c r="H89" s="0" t="n">
        <f aca="false">Iout*(G89/100)</f>
        <v>1.6</v>
      </c>
      <c r="I89" s="0" t="n">
        <f aca="false">(Vout+Rdcr*H89+RdsonBot*H89)/(Vin-RdsonTop*H89+RdsonBot*H89)</f>
        <v>0.335597801924206</v>
      </c>
      <c r="J89" s="0" t="n">
        <f aca="false">(Vin-Vout)*I89/(Fsw*Lout2)</f>
        <v>0.846044878800518</v>
      </c>
      <c r="K89" s="0" t="n">
        <f aca="false">SQRT(H89^2+(J89^2)/12)</f>
        <v>1.61853307908078</v>
      </c>
      <c r="L89" s="0" t="n">
        <f aca="false">(K89^2*Rdcr*(1+Ltc*Ta-Ltc*25))/(1-K89^2*Rdcr*Ltc*ThetaCa)</f>
        <v>0.0605437648624223</v>
      </c>
      <c r="N89" s="356" t="n">
        <f aca="false">L89</f>
        <v>0.0605437648624223</v>
      </c>
      <c r="O89" s="357" t="n">
        <f aca="false">J89/(2*SQRT(3))</f>
        <v>0.244232119260992</v>
      </c>
      <c r="P89" s="357" t="n">
        <f aca="false">RCoutEsr*O89^2</f>
        <v>2.98246640393577E-005</v>
      </c>
      <c r="Q89" s="357" t="n">
        <f aca="false">P89</f>
        <v>2.98246640393577E-005</v>
      </c>
      <c r="R89" s="0" t="n">
        <f aca="false">SQRT(I89)*SQRT(H89^2+(J89^2)/12)</f>
        <v>0.937629221129247</v>
      </c>
      <c r="S89" s="400" t="n">
        <f aca="false">RCinEsr*R89^2</f>
        <v>0.000879148556315439</v>
      </c>
      <c r="T89" s="401" t="n">
        <f aca="false">S89</f>
        <v>0.000879148556315439</v>
      </c>
      <c r="U89" s="0" t="n">
        <f aca="false">SQRT(I89)*SQRT(H89^2+(J89^2)/12)</f>
        <v>0.937629221129247</v>
      </c>
      <c r="V89" s="0" t="n">
        <f aca="false">RdsonTop*U89^2</f>
        <v>0.0043957427815772</v>
      </c>
      <c r="W89" s="0" t="n">
        <f aca="false">(Vin*H89/2)*(Fsw)*(Tr+Tf)</f>
        <v>0.0727676085009241</v>
      </c>
      <c r="X89" s="0" t="n">
        <f aca="false">IF(H89&gt;J89/2,0,ABS(H89-J89/2)*VsdTop*Deadtime*Fsw)</f>
        <v>0</v>
      </c>
      <c r="Y89" s="0" t="n">
        <f aca="false">(X89+W89+V89*(1+RdsonTopTc*Ta-RdsonTopTc*25))/(1-V89*RdsonTopTc*ThetaJaTop)</f>
        <v>0.0772312490235828</v>
      </c>
      <c r="Z89" s="0" t="n">
        <f aca="false">SQRT(1-I89)*SQRT(H89^2+(J89^2)/12)</f>
        <v>1.31928039921894</v>
      </c>
      <c r="AA89" s="0" t="n">
        <f aca="false">RdsonBot*Z89^2</f>
        <v>0.00208860092611593</v>
      </c>
      <c r="AB89" s="0" t="n">
        <f aca="false">2*Deadtime*Fsw*IF(VfdSky&gt;0,0,VsdBot)*(H89+J89/2)</f>
        <v>0.0436163637934696</v>
      </c>
      <c r="AC89" s="0" t="n">
        <f aca="false">(AB89+AA89*(1+RdsonBotTc*Ta-RdsonBotTc*25))/(1-AA89*RdsonBotTc*ThetaJaBot)</f>
        <v>0.0457240645843128</v>
      </c>
      <c r="AD89" s="0" t="n">
        <f aca="false">2*Deadtime*Fsw*IF(VfdSky&gt;0,VfdSky,0)*H89</f>
        <v>0</v>
      </c>
      <c r="AE89" s="0" t="n">
        <f aca="false">IF(QrrSky&gt;0,QrrSky,QrrBot)*Fsw*(Vin-H89*RdsonTop)</f>
        <v>0.4030208</v>
      </c>
      <c r="AF89" s="0" t="n">
        <f aca="false">Iq*Vin</f>
        <v>0.054</v>
      </c>
      <c r="AG89" s="0" t="n">
        <f aca="false">Vin*(QgTop+QgBot)*Fsw</f>
        <v>0.35784</v>
      </c>
      <c r="AH89" s="357" t="n">
        <f aca="false">(Vin-Vdd)*Fsw*(QgTop+QgBot)+(RdsonDRT+RdsonDRT2)*Fsw*QgTop*Vdd/(RdsonDRT+2*RGateTop+RdsonDRT2)+(RdsonDRB+RdsonDRB2)*Fsw*QgBot*Vdd/(RdsonDRB+2*RGateBot+RdsonDRB2)</f>
        <v>0.31571422459893</v>
      </c>
      <c r="AI89" s="0" t="n">
        <f aca="false">SUM(AF89:AG89)</f>
        <v>0.41184</v>
      </c>
      <c r="AJ89" s="402" t="n">
        <f aca="false">SUM(N89,Q89,T89,Y89,AE89,AD89,AC89,AI89)</f>
        <v>0.999268851690673</v>
      </c>
      <c r="AK89" s="358" t="n">
        <f aca="false">Vout*H89</f>
        <v>9.6</v>
      </c>
      <c r="AL89" s="359" t="n">
        <f aca="false">AK89/(AK89+AJ89)</f>
        <v>0.905722850729342</v>
      </c>
      <c r="AM89" s="0" t="n">
        <f aca="false">ThetaJaTop*Y89</f>
        <v>3.86156245117914</v>
      </c>
      <c r="AN89" s="0" t="n">
        <f aca="false">AC89*ThetaJaBot</f>
        <v>2.28620322921564</v>
      </c>
      <c r="AO89" s="359"/>
      <c r="AP89" s="0" t="n">
        <f aca="false">AL89*100</f>
        <v>90.5722850729343</v>
      </c>
      <c r="AZ89" s="403"/>
      <c r="BA89" s="404"/>
    </row>
    <row r="90" customFormat="false" ht="12.75" hidden="false" customHeight="false" outlineLevel="0" collapsed="false">
      <c r="G90" s="0" t="n">
        <v>81</v>
      </c>
      <c r="H90" s="0" t="n">
        <f aca="false">Iout*(G90/100)</f>
        <v>1.62</v>
      </c>
      <c r="I90" s="0" t="n">
        <f aca="false">(Vout+Rdcr*H90+RdsonBot*H90)/(Vin-RdsonTop*H90+RdsonBot*H90)</f>
        <v>0.335626117465506</v>
      </c>
      <c r="J90" s="0" t="n">
        <f aca="false">(Vin-Vout)*I90/(Fsw*Lout2)</f>
        <v>0.846116262518084</v>
      </c>
      <c r="K90" s="0" t="n">
        <f aca="false">SQRT(H90^2+(J90^2)/12)</f>
        <v>1.63830992005221</v>
      </c>
      <c r="L90" s="0" t="n">
        <f aca="false">(K90^2*Rdcr*(1+Ltc*Ta-Ltc*25))/(1-K90^2*Rdcr*Ltc*ThetaCa)</f>
        <v>0.0620397599220431</v>
      </c>
      <c r="N90" s="356" t="n">
        <f aca="false">L90</f>
        <v>0.0620397599220431</v>
      </c>
      <c r="O90" s="357" t="n">
        <f aca="false">J90/(2*SQRT(3))</f>
        <v>0.244252725965268</v>
      </c>
      <c r="P90" s="357" t="n">
        <f aca="false">RCoutEsr*O90^2</f>
        <v>2.98296970707321E-005</v>
      </c>
      <c r="Q90" s="357" t="n">
        <f aca="false">P90</f>
        <v>2.98296970707321E-005</v>
      </c>
      <c r="R90" s="0" t="n">
        <f aca="false">SQRT(I90)*SQRT(H90^2+(J90^2)/12)</f>
        <v>0.94912614203936</v>
      </c>
      <c r="S90" s="400" t="n">
        <f aca="false">RCinEsr*R90^2</f>
        <v>0.00090084043350252</v>
      </c>
      <c r="T90" s="401" t="n">
        <f aca="false">S90</f>
        <v>0.00090084043350252</v>
      </c>
      <c r="U90" s="0" t="n">
        <f aca="false">SQRT(I90)*SQRT(H90^2+(J90^2)/12)</f>
        <v>0.94912614203936</v>
      </c>
      <c r="V90" s="0" t="n">
        <f aca="false">RdsonTop*U90^2</f>
        <v>0.0045042021675126</v>
      </c>
      <c r="W90" s="0" t="n">
        <f aca="false">(Vin*H90/2)*(Fsw)*(Tr+Tf)</f>
        <v>0.0736772036071857</v>
      </c>
      <c r="X90" s="0" t="n">
        <f aca="false">IF(H90&gt;J90/2,0,ABS(H90-J90/2)*VsdTop*Deadtime*Fsw)</f>
        <v>0</v>
      </c>
      <c r="Y90" s="0" t="n">
        <f aca="false">(X90+W90+V90*(1+RdsonTopTc*Ta-RdsonTopTc*25))/(1-V90*RdsonTopTc*ThetaJaTop)</f>
        <v>0.078251898248639</v>
      </c>
      <c r="Z90" s="0" t="n">
        <f aca="false">SQRT(1-I90)*SQRT(H90^2+(J90^2)/12)</f>
        <v>1.33537221801225</v>
      </c>
      <c r="AA90" s="0" t="n">
        <f aca="false">RdsonBot*Z90^2</f>
        <v>0.00213986275276673</v>
      </c>
      <c r="AB90" s="0" t="n">
        <f aca="false">2*Deadtime*Fsw*IF(VfdSky&gt;0,0,VsdBot)*(H90+J90/2)</f>
        <v>0.044048333309945</v>
      </c>
      <c r="AC90" s="0" t="n">
        <f aca="false">(AB90+AA90*(1+RdsonBotTc*Ta-RdsonBotTc*25))/(1-AA90*RdsonBotTc*ThetaJaBot)</f>
        <v>0.0462079718062615</v>
      </c>
      <c r="AD90" s="0" t="n">
        <f aca="false">2*Deadtime*Fsw*IF(VfdSky&gt;0,VfdSky,0)*H90</f>
        <v>0</v>
      </c>
      <c r="AE90" s="0" t="n">
        <f aca="false">IF(QrrSky&gt;0,QrrSky,QrrBot)*Fsw*(Vin-H90*RdsonTop)</f>
        <v>0.40301856</v>
      </c>
      <c r="AF90" s="0" t="n">
        <f aca="false">Iq*Vin</f>
        <v>0.054</v>
      </c>
      <c r="AG90" s="0" t="n">
        <f aca="false">Vin*(QgTop+QgBot)*Fsw</f>
        <v>0.35784</v>
      </c>
      <c r="AH90" s="357" t="n">
        <f aca="false">(Vin-Vdd)*Fsw*(QgTop+QgBot)+(RdsonDRT+RdsonDRT2)*Fsw*QgTop*Vdd/(RdsonDRT+2*RGateTop+RdsonDRT2)+(RdsonDRB+RdsonDRB2)*Fsw*QgBot*Vdd/(RdsonDRB+2*RGateBot+RdsonDRB2)</f>
        <v>0.31571422459893</v>
      </c>
      <c r="AI90" s="0" t="n">
        <f aca="false">SUM(AF90:AG90)</f>
        <v>0.41184</v>
      </c>
      <c r="AJ90" s="448" t="n">
        <f aca="false">SUM(N90,Q90,T90,Y90,AE90,AD90,AC90,AI90)</f>
        <v>1.00228886010752</v>
      </c>
      <c r="AK90" s="358" t="n">
        <f aca="false">Vout*H90</f>
        <v>9.72</v>
      </c>
      <c r="AL90" s="359" t="n">
        <f aca="false">AK90/(AK90+AJ90)</f>
        <v>0.906522863431095</v>
      </c>
      <c r="AM90" s="0" t="n">
        <f aca="false">ThetaJaTop*Y90</f>
        <v>3.91259491243195</v>
      </c>
      <c r="AN90" s="0" t="n">
        <f aca="false">AC90*ThetaJaBot</f>
        <v>2.31039859031308</v>
      </c>
      <c r="AO90" s="359"/>
      <c r="AP90" s="0" t="n">
        <f aca="false">AL90*100</f>
        <v>90.6522863431095</v>
      </c>
      <c r="AZ90" s="403"/>
      <c r="BA90" s="404"/>
    </row>
    <row r="91" customFormat="false" ht="12.75" hidden="false" customHeight="false" outlineLevel="0" collapsed="false">
      <c r="G91" s="0" t="n">
        <v>82</v>
      </c>
      <c r="H91" s="0" t="n">
        <f aca="false">Iout*(G91/100)</f>
        <v>1.64</v>
      </c>
      <c r="I91" s="0" t="n">
        <f aca="false">(Vout+Rdcr*H91+RdsonBot*H91)/(Vin-RdsonTop*H91+RdsonBot*H91)</f>
        <v>0.335654433245999</v>
      </c>
      <c r="J91" s="0" t="n">
        <f aca="false">(Vin-Vout)*I91/(Fsw*Lout2)</f>
        <v>0.846187646838654</v>
      </c>
      <c r="K91" s="0" t="n">
        <f aca="false">SQRT(H91^2+(J91^2)/12)</f>
        <v>1.65809211479294</v>
      </c>
      <c r="L91" s="0" t="n">
        <f aca="false">(K91^2*Rdcr*(1+Ltc*Ta-Ltc*25))/(1-K91^2*Rdcr*Ltc*ThetaCa)</f>
        <v>0.0635546989532029</v>
      </c>
      <c r="N91" s="356" t="n">
        <f aca="false">L91</f>
        <v>0.0635546989532029</v>
      </c>
      <c r="O91" s="357" t="n">
        <f aca="false">J91/(2*SQRT(3))</f>
        <v>0.244273332843616</v>
      </c>
      <c r="P91" s="357" t="n">
        <f aca="false">RCoutEsr*O91^2</f>
        <v>2.98347305692641E-005</v>
      </c>
      <c r="Q91" s="357" t="n">
        <f aca="false">P91</f>
        <v>2.98347305692641E-005</v>
      </c>
      <c r="R91" s="0" t="n">
        <f aca="false">SQRT(I91)*SQRT(H91^2+(J91^2)/12)</f>
        <v>0.960627129961978</v>
      </c>
      <c r="S91" s="400" t="n">
        <f aca="false">RCinEsr*R91^2</f>
        <v>0.000922804482818987</v>
      </c>
      <c r="T91" s="401" t="n">
        <f aca="false">S91</f>
        <v>0.000922804482818987</v>
      </c>
      <c r="U91" s="0" t="n">
        <f aca="false">SQRT(I91)*SQRT(H91^2+(J91^2)/12)</f>
        <v>0.960627129961978</v>
      </c>
      <c r="V91" s="0" t="n">
        <f aca="false">RdsonTop*U91^2</f>
        <v>0.00461402241409493</v>
      </c>
      <c r="W91" s="0" t="n">
        <f aca="false">(Vin*H91/2)*(Fsw)*(Tr+Tf)</f>
        <v>0.0745867987134472</v>
      </c>
      <c r="X91" s="0" t="n">
        <f aca="false">IF(H91&gt;J91/2,0,ABS(H91-J91/2)*VsdTop*Deadtime*Fsw)</f>
        <v>0</v>
      </c>
      <c r="Y91" s="0" t="n">
        <f aca="false">(X91+W91+V91*(1+RdsonTopTc*Ta-RdsonTopTc*25))/(1-V91*RdsonTopTc*ThetaJaTop)</f>
        <v>0.0792739755075114</v>
      </c>
      <c r="Z91" s="0" t="n">
        <f aca="false">SQRT(1-I91)*SQRT(H91^2+(J91^2)/12)</f>
        <v>1.35146771264412</v>
      </c>
      <c r="AA91" s="0" t="n">
        <f aca="false">RdsonBot*Z91^2</f>
        <v>0.00219175797398345</v>
      </c>
      <c r="AB91" s="0" t="n">
        <f aca="false">2*Deadtime*Fsw*IF(VfdSky&gt;0,0,VsdBot)*(H91+J91/2)</f>
        <v>0.0444803028329207</v>
      </c>
      <c r="AC91" s="0" t="n">
        <f aca="false">(AB91+AA91*(1+RdsonBotTc*Ta-RdsonBotTc*25))/(1-AA91*RdsonBotTc*ThetaJaBot)</f>
        <v>0.0466925285512597</v>
      </c>
      <c r="AD91" s="0" t="n">
        <f aca="false">2*Deadtime*Fsw*IF(VfdSky&gt;0,VfdSky,0)*H91</f>
        <v>0</v>
      </c>
      <c r="AE91" s="0" t="n">
        <f aca="false">IF(QrrSky&gt;0,QrrSky,QrrBot)*Fsw*(Vin-H91*RdsonTop)</f>
        <v>0.40301632</v>
      </c>
      <c r="AF91" s="0" t="n">
        <f aca="false">Iq*Vin</f>
        <v>0.054</v>
      </c>
      <c r="AG91" s="0" t="n">
        <f aca="false">Vin*(QgTop+QgBot)*Fsw</f>
        <v>0.35784</v>
      </c>
      <c r="AH91" s="357" t="n">
        <f aca="false">(Vin-Vdd)*Fsw*(QgTop+QgBot)+(RdsonDRT+RdsonDRT2)*Fsw*QgTop*Vdd/(RdsonDRT+2*RGateTop+RdsonDRT2)+(RdsonDRB+RdsonDRB2)*Fsw*QgBot*Vdd/(RdsonDRB+2*RGateBot+RdsonDRB2)</f>
        <v>0.31571422459893</v>
      </c>
      <c r="AI91" s="0" t="n">
        <f aca="false">SUM(AF91:AG91)</f>
        <v>0.41184</v>
      </c>
      <c r="AJ91" s="402" t="n">
        <f aca="false">SUM(N91,Q91,T91,Y91,AE91,AD91,AC91,AI91)</f>
        <v>1.00533016222536</v>
      </c>
      <c r="AK91" s="358" t="n">
        <f aca="false">Vout*H91</f>
        <v>9.84</v>
      </c>
      <c r="AL91" s="359" t="n">
        <f aca="false">AK91/(AK91+AJ91)</f>
        <v>0.907302945397922</v>
      </c>
      <c r="AM91" s="0" t="n">
        <f aca="false">ThetaJaTop*Y91</f>
        <v>3.96369877537557</v>
      </c>
      <c r="AN91" s="0" t="n">
        <f aca="false">AC91*ThetaJaBot</f>
        <v>2.33462642756298</v>
      </c>
      <c r="AO91" s="359"/>
      <c r="AP91" s="0" t="n">
        <f aca="false">AL91*100</f>
        <v>90.7302945397922</v>
      </c>
      <c r="AZ91" s="403"/>
      <c r="BA91" s="404"/>
    </row>
    <row r="92" customFormat="false" ht="12.75" hidden="false" customHeight="false" outlineLevel="0" collapsed="false">
      <c r="G92" s="0" t="n">
        <v>83</v>
      </c>
      <c r="H92" s="0" t="n">
        <f aca="false">Iout*(G92/100)</f>
        <v>1.66</v>
      </c>
      <c r="I92" s="0" t="n">
        <f aca="false">(Vout+Rdcr*H92+RdsonBot*H92)/(Vin-RdsonTop*H92+RdsonBot*H92)</f>
        <v>0.335682749265687</v>
      </c>
      <c r="J92" s="0" t="n">
        <f aca="false">(Vin-Vout)*I92/(Fsw*Lout2)</f>
        <v>0.846259031762236</v>
      </c>
      <c r="K92" s="0" t="n">
        <f aca="false">SQRT(H92^2+(J92^2)/12)</f>
        <v>1.67787947394023</v>
      </c>
      <c r="L92" s="0" t="n">
        <f aca="false">(K92^2*Rdcr*(1+Ltc*Ta-Ltc*25))/(1-K92^2*Rdcr*Ltc*ThetaCa)</f>
        <v>0.0650885955352874</v>
      </c>
      <c r="N92" s="356" t="n">
        <f aca="false">L92</f>
        <v>0.0650885955352874</v>
      </c>
      <c r="O92" s="357" t="n">
        <f aca="false">J92/(2*SQRT(3))</f>
        <v>0.24429393989604</v>
      </c>
      <c r="P92" s="357" t="n">
        <f aca="false">RCoutEsr*O92^2</f>
        <v>2.98397645349649E-005</v>
      </c>
      <c r="Q92" s="357" t="n">
        <f aca="false">P92</f>
        <v>2.98397645349649E-005</v>
      </c>
      <c r="R92" s="0" t="n">
        <f aca="false">SQRT(I92)*SQRT(H92^2+(J92^2)/12)</f>
        <v>0.972132075527602</v>
      </c>
      <c r="S92" s="400" t="n">
        <f aca="false">RCinEsr*R92^2</f>
        <v>0.000945040772269603</v>
      </c>
      <c r="T92" s="401" t="n">
        <f aca="false">S92</f>
        <v>0.000945040772269603</v>
      </c>
      <c r="U92" s="0" t="n">
        <f aca="false">SQRT(I92)*SQRT(H92^2+(J92^2)/12)</f>
        <v>0.972132075527602</v>
      </c>
      <c r="V92" s="0" t="n">
        <f aca="false">RdsonTop*U92^2</f>
        <v>0.00472520386134802</v>
      </c>
      <c r="W92" s="0" t="n">
        <f aca="false">(Vin*H92/2)*(Fsw)*(Tr+Tf)</f>
        <v>0.0754963938197088</v>
      </c>
      <c r="X92" s="0" t="n">
        <f aca="false">IF(H92&gt;J92/2,0,ABS(H92-J92/2)*VsdTop*Deadtime*Fsw)</f>
        <v>0</v>
      </c>
      <c r="Y92" s="0" t="n">
        <f aca="false">(X92+W92+V92*(1+RdsonTopTc*Ta-RdsonTopTc*25))/(1-V92*RdsonTopTc*ThetaJaTop)</f>
        <v>0.0802974820755288</v>
      </c>
      <c r="Z92" s="0" t="n">
        <f aca="false">SQRT(1-I92)*SQRT(H92^2+(J92^2)/12)</f>
        <v>1.36756672846349</v>
      </c>
      <c r="AA92" s="0" t="n">
        <f aca="false">RdsonBot*Z92^2</f>
        <v>0.00224428650816039</v>
      </c>
      <c r="AB92" s="0" t="n">
        <f aca="false">2*Deadtime*Fsw*IF(VfdSky&gt;0,0,VsdBot)*(H92+J92/2)</f>
        <v>0.0449122723623969</v>
      </c>
      <c r="AC92" s="0" t="n">
        <f aca="false">(AB92+AA92*(1+RdsonBotTc*Ta-RdsonBotTc*25))/(1-AA92*RdsonBotTc*ThetaJaBot)</f>
        <v>0.0471777349413602</v>
      </c>
      <c r="AD92" s="0" t="n">
        <f aca="false">2*Deadtime*Fsw*IF(VfdSky&gt;0,VfdSky,0)*H92</f>
        <v>0</v>
      </c>
      <c r="AE92" s="0" t="n">
        <f aca="false">IF(QrrSky&gt;0,QrrSky,QrrBot)*Fsw*(Vin-H92*RdsonTop)</f>
        <v>0.40301408</v>
      </c>
      <c r="AF92" s="0" t="n">
        <f aca="false">Iq*Vin</f>
        <v>0.054</v>
      </c>
      <c r="AG92" s="0" t="n">
        <f aca="false">Vin*(QgTop+QgBot)*Fsw</f>
        <v>0.35784</v>
      </c>
      <c r="AH92" s="357" t="n">
        <f aca="false">(Vin-Vdd)*Fsw*(QgTop+QgBot)+(RdsonDRT+RdsonDRT2)*Fsw*QgTop*Vdd/(RdsonDRT+2*RGateTop+RdsonDRT2)+(RdsonDRB+RdsonDRB2)*Fsw*QgBot*Vdd/(RdsonDRB+2*RGateBot+RdsonDRB2)</f>
        <v>0.31571422459893</v>
      </c>
      <c r="AI92" s="0" t="n">
        <f aca="false">SUM(AF92:AG92)</f>
        <v>0.41184</v>
      </c>
      <c r="AJ92" s="402" t="n">
        <f aca="false">SUM(N92,Q92,T92,Y92,AE92,AD92,AC92,AI92)</f>
        <v>1.00839277308898</v>
      </c>
      <c r="AK92" s="358" t="n">
        <f aca="false">Vout*H92</f>
        <v>9.96</v>
      </c>
      <c r="AL92" s="359" t="n">
        <f aca="false">AK92/(AK92+AJ92)</f>
        <v>0.908063761578353</v>
      </c>
      <c r="AM92" s="0" t="n">
        <f aca="false">ThetaJaTop*Y92</f>
        <v>4.01487410377644</v>
      </c>
      <c r="AN92" s="0" t="n">
        <f aca="false">AC92*ThetaJaBot</f>
        <v>2.35888674706801</v>
      </c>
      <c r="AO92" s="359"/>
      <c r="AP92" s="0" t="n">
        <f aca="false">AL92*100</f>
        <v>90.8063761578353</v>
      </c>
      <c r="AZ92" s="403"/>
      <c r="BA92" s="404"/>
    </row>
    <row r="93" customFormat="false" ht="12.75" hidden="false" customHeight="false" outlineLevel="0" collapsed="false">
      <c r="G93" s="0" t="n">
        <v>84</v>
      </c>
      <c r="H93" s="0" t="n">
        <f aca="false">Iout*(G93/100)</f>
        <v>1.68</v>
      </c>
      <c r="I93" s="0" t="n">
        <f aca="false">(Vout+Rdcr*H93+RdsonBot*H93)/(Vin-RdsonTop*H93+RdsonBot*H93)</f>
        <v>0.335711065524573</v>
      </c>
      <c r="J93" s="0" t="n">
        <f aca="false">(Vin-Vout)*I93/(Fsw*Lout2)</f>
        <v>0.846330417288839</v>
      </c>
      <c r="K93" s="0" t="n">
        <f aca="false">SQRT(H93^2+(J93^2)/12)</f>
        <v>1.69767181691153</v>
      </c>
      <c r="L93" s="0" t="n">
        <f aca="false">(K93^2*Rdcr*(1+Ltc*Ta-Ltc*25))/(1-K93^2*Rdcr*Ltc*ThetaCa)</f>
        <v>0.0666414634226004</v>
      </c>
      <c r="N93" s="356" t="n">
        <f aca="false">L93</f>
        <v>0.0666414634226004</v>
      </c>
      <c r="O93" s="357" t="n">
        <f aca="false">J93/(2*SQRT(3))</f>
        <v>0.24431454712254</v>
      </c>
      <c r="P93" s="357" t="n">
        <f aca="false">RCoutEsr*O93^2</f>
        <v>2.98447989678458E-005</v>
      </c>
      <c r="Q93" s="357" t="n">
        <f aca="false">P93</f>
        <v>2.98447989678458E-005</v>
      </c>
      <c r="R93" s="0" t="n">
        <f aca="false">SQRT(I93)*SQRT(H93^2+(J93^2)/12)</f>
        <v>0.983640874435522</v>
      </c>
      <c r="S93" s="400" t="n">
        <f aca="false">RCinEsr*R93^2</f>
        <v>0.000967549369860278</v>
      </c>
      <c r="T93" s="401" t="n">
        <f aca="false">S93</f>
        <v>0.000967549369860278</v>
      </c>
      <c r="U93" s="0" t="n">
        <f aca="false">SQRT(I93)*SQRT(H93^2+(J93^2)/12)</f>
        <v>0.983640874435522</v>
      </c>
      <c r="V93" s="0" t="n">
        <f aca="false">RdsonTop*U93^2</f>
        <v>0.00483774684930139</v>
      </c>
      <c r="W93" s="0" t="n">
        <f aca="false">(Vin*H93/2)*(Fsw)*(Tr+Tf)</f>
        <v>0.0764059889259703</v>
      </c>
      <c r="X93" s="0" t="n">
        <f aca="false">IF(H93&gt;J93/2,0,ABS(H93-J93/2)*VsdTop*Deadtime*Fsw)</f>
        <v>0</v>
      </c>
      <c r="Y93" s="0" t="n">
        <f aca="false">(X93+W93+V93*(1+RdsonTopTc*Ta-RdsonTopTc*25))/(1-V93*RdsonTopTc*ThetaJaTop)</f>
        <v>0.0813224192307539</v>
      </c>
      <c r="Z93" s="0" t="n">
        <f aca="false">SQRT(1-I93)*SQRT(H93^2+(J93^2)/12)</f>
        <v>1.38366911798862</v>
      </c>
      <c r="AA93" s="0" t="n">
        <f aca="false">RdsonBot*Z93^2</f>
        <v>0.0022974482736905</v>
      </c>
      <c r="AB93" s="0" t="n">
        <f aca="false">2*Deadtime*Fsw*IF(VfdSky&gt;0,0,VsdBot)*(H93+J93/2)</f>
        <v>0.0453442418983737</v>
      </c>
      <c r="AC93" s="0" t="n">
        <f aca="false">(AB93+AA93*(1+RdsonBotTc*Ta-RdsonBotTc*25))/(1-AA93*RdsonBotTc*ThetaJaBot)</f>
        <v>0.0476635910990819</v>
      </c>
      <c r="AD93" s="0" t="n">
        <f aca="false">2*Deadtime*Fsw*IF(VfdSky&gt;0,VfdSky,0)*H93</f>
        <v>0</v>
      </c>
      <c r="AE93" s="0" t="n">
        <f aca="false">IF(QrrSky&gt;0,QrrSky,QrrBot)*Fsw*(Vin-H93*RdsonTop)</f>
        <v>0.40301184</v>
      </c>
      <c r="AF93" s="0" t="n">
        <f aca="false">Iq*Vin</f>
        <v>0.054</v>
      </c>
      <c r="AG93" s="0" t="n">
        <f aca="false">Vin*(QgTop+QgBot)*Fsw</f>
        <v>0.35784</v>
      </c>
      <c r="AH93" s="357" t="n">
        <f aca="false">(Vin-Vdd)*Fsw*(QgTop+QgBot)+(RdsonDRT+RdsonDRT2)*Fsw*QgTop*Vdd/(RdsonDRT+2*RGateTop+RdsonDRT2)+(RdsonDRB+RdsonDRB2)*Fsw*QgBot*Vdd/(RdsonDRB+2*RGateBot+RdsonDRB2)</f>
        <v>0.31571422459893</v>
      </c>
      <c r="AI93" s="0" t="n">
        <f aca="false">SUM(AF93:AG93)</f>
        <v>0.41184</v>
      </c>
      <c r="AJ93" s="402" t="n">
        <f aca="false">SUM(N93,Q93,T93,Y93,AE93,AD93,AC93,AI93)</f>
        <v>1.01147670792126</v>
      </c>
      <c r="AK93" s="358" t="n">
        <f aca="false">Vout*H93</f>
        <v>10.08</v>
      </c>
      <c r="AL93" s="359" t="n">
        <f aca="false">AK93/(AK93+AJ93)</f>
        <v>0.908805947615713</v>
      </c>
      <c r="AM93" s="0" t="n">
        <f aca="false">ThetaJaTop*Y93</f>
        <v>4.0661209615377</v>
      </c>
      <c r="AN93" s="0" t="n">
        <f aca="false">AC93*ThetaJaBot</f>
        <v>2.38317955495409</v>
      </c>
      <c r="AO93" s="359"/>
      <c r="AP93" s="0" t="n">
        <f aca="false">AL93*100</f>
        <v>90.8805947615714</v>
      </c>
      <c r="AZ93" s="403"/>
      <c r="BA93" s="404"/>
    </row>
    <row r="94" customFormat="false" ht="12.75" hidden="false" customHeight="false" outlineLevel="0" collapsed="false">
      <c r="G94" s="0" t="n">
        <v>85</v>
      </c>
      <c r="H94" s="0" t="n">
        <f aca="false">Iout*(G94/100)</f>
        <v>1.7</v>
      </c>
      <c r="I94" s="0" t="n">
        <f aca="false">(Vout+Rdcr*H94+RdsonBot*H94)/(Vin-RdsonTop*H94+RdsonBot*H94)</f>
        <v>0.335739382022659</v>
      </c>
      <c r="J94" s="0" t="n">
        <f aca="false">(Vin-Vout)*I94/(Fsw*Lout2)</f>
        <v>0.846401803418469</v>
      </c>
      <c r="K94" s="0" t="n">
        <f aca="false">SQRT(H94^2+(J94^2)/12)</f>
        <v>1.71746897140409</v>
      </c>
      <c r="L94" s="0" t="n">
        <f aca="false">(K94^2*Rdcr*(1+Ltc*Ta-Ltc*25))/(1-K94^2*Rdcr*Ltc*ThetaCa)</f>
        <v>0.0682133165446747</v>
      </c>
      <c r="N94" s="356" t="n">
        <f aca="false">L94</f>
        <v>0.0682133165446747</v>
      </c>
      <c r="O94" s="357" t="n">
        <f aca="false">J94/(2*SQRT(3))</f>
        <v>0.244335154523119</v>
      </c>
      <c r="P94" s="357" t="n">
        <f aca="false">RCoutEsr*O94^2</f>
        <v>2.98498338679182E-005</v>
      </c>
      <c r="Q94" s="357" t="n">
        <f aca="false">P94</f>
        <v>2.98498338679182E-005</v>
      </c>
      <c r="R94" s="0" t="n">
        <f aca="false">SQRT(I94)*SQRT(H94^2+(J94^2)/12)</f>
        <v>0.995153427164914</v>
      </c>
      <c r="S94" s="400" t="n">
        <f aca="false">RCinEsr*R94^2</f>
        <v>0.000990330343598073</v>
      </c>
      <c r="T94" s="401" t="n">
        <f aca="false">S94</f>
        <v>0.000990330343598073</v>
      </c>
      <c r="U94" s="0" t="n">
        <f aca="false">SQRT(I94)*SQRT(H94^2+(J94^2)/12)</f>
        <v>0.995153427164914</v>
      </c>
      <c r="V94" s="0" t="n">
        <f aca="false">RdsonTop*U94^2</f>
        <v>0.00495165171799037</v>
      </c>
      <c r="W94" s="0" t="n">
        <f aca="false">(Vin*H94/2)*(Fsw)*(Tr+Tf)</f>
        <v>0.0773155840322319</v>
      </c>
      <c r="X94" s="0" t="n">
        <f aca="false">IF(H94&gt;J94/2,0,ABS(H94-J94/2)*VsdTop*Deadtime*Fsw)</f>
        <v>0</v>
      </c>
      <c r="Y94" s="0" t="n">
        <f aca="false">(X94+W94+V94*(1+RdsonTopTc*Ta-RdsonTopTc*25))/(1-V94*RdsonTopTc*ThetaJaTop)</f>
        <v>0.0823487882539887</v>
      </c>
      <c r="Z94" s="0" t="n">
        <f aca="false">SQRT(1-I94)*SQRT(H94^2+(J94^2)/12)</f>
        <v>1.39977474049854</v>
      </c>
      <c r="AA94" s="0" t="n">
        <f aca="false">RdsonBot*Z94^2</f>
        <v>0.00235124318896532</v>
      </c>
      <c r="AB94" s="0" t="n">
        <f aca="false">2*Deadtime*Fsw*IF(VfdSky&gt;0,0,VsdBot)*(H94+J94/2)</f>
        <v>0.0457762114408511</v>
      </c>
      <c r="AC94" s="0" t="n">
        <f aca="false">(AB94+AA94*(1+RdsonBotTc*Ta-RdsonBotTc*25))/(1-AA94*RdsonBotTc*ThetaJaBot)</f>
        <v>0.0481500971474096</v>
      </c>
      <c r="AD94" s="0" t="n">
        <f aca="false">2*Deadtime*Fsw*IF(VfdSky&gt;0,VfdSky,0)*H94</f>
        <v>0</v>
      </c>
      <c r="AE94" s="0" t="n">
        <f aca="false">IF(QrrSky&gt;0,QrrSky,QrrBot)*Fsw*(Vin-H94*RdsonTop)</f>
        <v>0.4030096</v>
      </c>
      <c r="AF94" s="0" t="n">
        <f aca="false">Iq*Vin</f>
        <v>0.054</v>
      </c>
      <c r="AG94" s="0" t="n">
        <f aca="false">Vin*(QgTop+QgBot)*Fsw</f>
        <v>0.35784</v>
      </c>
      <c r="AH94" s="357" t="n">
        <f aca="false">(Vin-Vdd)*Fsw*(QgTop+QgBot)+(RdsonDRT+RdsonDRT2)*Fsw*QgTop*Vdd/(RdsonDRT+2*RGateTop+RdsonDRT2)+(RdsonDRB+RdsonDRB2)*Fsw*QgBot*Vdd/(RdsonDRB+2*RGateBot+RdsonDRB2)</f>
        <v>0.31571422459893</v>
      </c>
      <c r="AI94" s="0" t="n">
        <f aca="false">SUM(AF94:AG94)</f>
        <v>0.41184</v>
      </c>
      <c r="AJ94" s="402" t="n">
        <f aca="false">SUM(N94,Q94,T94,Y94,AE94,AD94,AC94,AI94)</f>
        <v>1.01458198212354</v>
      </c>
      <c r="AK94" s="358" t="n">
        <f aca="false">Vout*H94</f>
        <v>10.2</v>
      </c>
      <c r="AL94" s="359" t="n">
        <f aca="false">AK94/(AK94+AJ94)</f>
        <v>0.909530111444116</v>
      </c>
      <c r="AM94" s="0" t="n">
        <f aca="false">ThetaJaTop*Y94</f>
        <v>4.11743941269943</v>
      </c>
      <c r="AN94" s="0" t="n">
        <f aca="false">AC94*ThetaJaBot</f>
        <v>2.40750485737048</v>
      </c>
      <c r="AO94" s="359"/>
      <c r="AP94" s="0" t="n">
        <f aca="false">AL94*100</f>
        <v>90.9530111444116</v>
      </c>
      <c r="AZ94" s="403"/>
      <c r="BA94" s="404"/>
    </row>
    <row r="95" customFormat="false" ht="12.75" hidden="false" customHeight="false" outlineLevel="0" collapsed="false">
      <c r="G95" s="0" t="n">
        <v>86</v>
      </c>
      <c r="H95" s="0" t="n">
        <f aca="false">Iout*(G95/100)</f>
        <v>1.72</v>
      </c>
      <c r="I95" s="0" t="n">
        <f aca="false">(Vout+Rdcr*H95+RdsonBot*H95)/(Vin-RdsonTop*H95+RdsonBot*H95)</f>
        <v>0.33576769875995</v>
      </c>
      <c r="J95" s="0" t="n">
        <f aca="false">(Vin-Vout)*I95/(Fsw*Lout2)</f>
        <v>0.846473190151134</v>
      </c>
      <c r="K95" s="0" t="n">
        <f aca="false">SQRT(H95^2+(J95^2)/12)</f>
        <v>1.73727077292815</v>
      </c>
      <c r="L95" s="0" t="n">
        <f aca="false">(K95^2*Rdcr*(1+Ltc*Ta-Ltc*25))/(1-K95^2*Rdcr*Ltc*ThetaCa)</f>
        <v>0.0698041690065858</v>
      </c>
      <c r="N95" s="356" t="n">
        <f aca="false">L95</f>
        <v>0.0698041690065858</v>
      </c>
      <c r="O95" s="357" t="n">
        <f aca="false">J95/(2*SQRT(3))</f>
        <v>0.244355762097779</v>
      </c>
      <c r="P95" s="357" t="n">
        <f aca="false">RCoutEsr*O95^2</f>
        <v>2.98548692351932E-005</v>
      </c>
      <c r="Q95" s="357" t="n">
        <f aca="false">P95</f>
        <v>2.98548692351932E-005</v>
      </c>
      <c r="R95" s="0" t="n">
        <f aca="false">SQRT(I95)*SQRT(H95^2+(J95^2)/12)</f>
        <v>1.00666963870537</v>
      </c>
      <c r="S95" s="400" t="n">
        <f aca="false">RCinEsr*R95^2</f>
        <v>0.0010133837614912</v>
      </c>
      <c r="T95" s="401" t="n">
        <f aca="false">S95</f>
        <v>0.0010133837614912</v>
      </c>
      <c r="U95" s="0" t="n">
        <f aca="false">SQRT(I95)*SQRT(H95^2+(J95^2)/12)</f>
        <v>1.00666963870537</v>
      </c>
      <c r="V95" s="0" t="n">
        <f aca="false">RdsonTop*U95^2</f>
        <v>0.00506691880745598</v>
      </c>
      <c r="W95" s="0" t="n">
        <f aca="false">(Vin*H95/2)*(Fsw)*(Tr+Tf)</f>
        <v>0.0782251791384934</v>
      </c>
      <c r="X95" s="0" t="n">
        <f aca="false">IF(H95&gt;J95/2,0,ABS(H95-J95/2)*VsdTop*Deadtime*Fsw)</f>
        <v>0</v>
      </c>
      <c r="Y95" s="0" t="n">
        <f aca="false">(X95+W95+V95*(1+RdsonTopTc*Ta-RdsonTopTc*25))/(1-V95*RdsonTopTc*ThetaJaTop)</f>
        <v>0.0833765904287784</v>
      </c>
      <c r="Z95" s="0" t="n">
        <f aca="false">SQRT(1-I95)*SQRT(H95^2+(J95^2)/12)</f>
        <v>1.41588346165184</v>
      </c>
      <c r="AA95" s="0" t="n">
        <f aca="false">RdsonBot*Z95^2</f>
        <v>0.00240567117237503</v>
      </c>
      <c r="AB95" s="0" t="n">
        <f aca="false">2*Deadtime*Fsw*IF(VfdSky&gt;0,0,VsdBot)*(H95+J95/2)</f>
        <v>0.0462081809898292</v>
      </c>
      <c r="AC95" s="0" t="n">
        <f aca="false">(AB95+AA95*(1+RdsonBotTc*Ta-RdsonBotTc*25))/(1-AA95*RdsonBotTc*ThetaJaBot)</f>
        <v>0.0486372532097943</v>
      </c>
      <c r="AD95" s="0" t="n">
        <f aca="false">2*Deadtime*Fsw*IF(VfdSky&gt;0,VfdSky,0)*H95</f>
        <v>0</v>
      </c>
      <c r="AE95" s="0" t="n">
        <f aca="false">IF(QrrSky&gt;0,QrrSky,QrrBot)*Fsw*(Vin-H95*RdsonTop)</f>
        <v>0.40300736</v>
      </c>
      <c r="AF95" s="0" t="n">
        <f aca="false">Iq*Vin</f>
        <v>0.054</v>
      </c>
      <c r="AG95" s="0" t="n">
        <f aca="false">Vin*(QgTop+QgBot)*Fsw</f>
        <v>0.35784</v>
      </c>
      <c r="AH95" s="357" t="n">
        <f aca="false">(Vin-Vdd)*Fsw*(QgTop+QgBot)+(RdsonDRT+RdsonDRT2)*Fsw*QgTop*Vdd/(RdsonDRT+2*RGateTop+RdsonDRT2)+(RdsonDRB+RdsonDRB2)*Fsw*QgBot*Vdd/(RdsonDRB+2*RGateBot+RdsonDRB2)</f>
        <v>0.31571422459893</v>
      </c>
      <c r="AI95" s="0" t="n">
        <f aca="false">SUM(AF95:AG95)</f>
        <v>0.41184</v>
      </c>
      <c r="AJ95" s="402" t="n">
        <f aca="false">SUM(N95,Q95,T95,Y95,AE95,AD95,AC95,AI95)</f>
        <v>1.01770861127589</v>
      </c>
      <c r="AK95" s="358" t="n">
        <f aca="false">Vout*H95</f>
        <v>10.32</v>
      </c>
      <c r="AL95" s="359" t="n">
        <f aca="false">AK95/(AK95+AJ95)</f>
        <v>0.91023683478126</v>
      </c>
      <c r="AM95" s="0" t="n">
        <f aca="false">ThetaJaTop*Y95</f>
        <v>4.16882952143892</v>
      </c>
      <c r="AN95" s="0" t="n">
        <f aca="false">AC95*ThetaJaBot</f>
        <v>2.43186266048972</v>
      </c>
      <c r="AO95" s="359"/>
      <c r="AP95" s="0" t="n">
        <f aca="false">AL95*100</f>
        <v>91.023683478126</v>
      </c>
      <c r="AZ95" s="403"/>
      <c r="BA95" s="404"/>
    </row>
    <row r="96" customFormat="false" ht="12.75" hidden="false" customHeight="false" outlineLevel="0" collapsed="false">
      <c r="G96" s="0" t="n">
        <v>87</v>
      </c>
      <c r="H96" s="0" t="n">
        <f aca="false">Iout*(G96/100)</f>
        <v>1.74</v>
      </c>
      <c r="I96" s="0" t="n">
        <f aca="false">(Vout+Rdcr*H96+RdsonBot*H96)/(Vin-RdsonTop*H96+RdsonBot*H96)</f>
        <v>0.335796015736447</v>
      </c>
      <c r="J96" s="0" t="n">
        <f aca="false">(Vin-Vout)*I96/(Fsw*Lout2)</f>
        <v>0.846544577486842</v>
      </c>
      <c r="K96" s="0" t="n">
        <f aca="false">SQRT(H96^2+(J96^2)/12)</f>
        <v>1.75707706437121</v>
      </c>
      <c r="L96" s="0" t="n">
        <f aca="false">(K96^2*Rdcr*(1+Ltc*Ta-Ltc*25))/(1-K96^2*Rdcr*Ltc*ThetaCa)</f>
        <v>0.0714140350892711</v>
      </c>
      <c r="N96" s="356" t="n">
        <f aca="false">L96</f>
        <v>0.0714140350892711</v>
      </c>
      <c r="O96" s="357" t="n">
        <f aca="false">J96/(2*SQRT(3))</f>
        <v>0.244376369846523</v>
      </c>
      <c r="P96" s="357" t="n">
        <f aca="false">RCoutEsr*O96^2</f>
        <v>2.98599050696823E-005</v>
      </c>
      <c r="Q96" s="357" t="n">
        <f aca="false">P96</f>
        <v>2.98599050696823E-005</v>
      </c>
      <c r="R96" s="0" t="n">
        <f aca="false">SQRT(I96)*SQRT(H96^2+(J96^2)/12)</f>
        <v>1.01818941830536</v>
      </c>
      <c r="S96" s="400" t="n">
        <f aca="false">RCinEsr*R96^2</f>
        <v>0.001036709691549</v>
      </c>
      <c r="T96" s="401" t="n">
        <f aca="false">S96</f>
        <v>0.001036709691549</v>
      </c>
      <c r="U96" s="0" t="n">
        <f aca="false">SQRT(I96)*SQRT(H96^2+(J96^2)/12)</f>
        <v>1.01818941830536</v>
      </c>
      <c r="V96" s="0" t="n">
        <f aca="false">RdsonTop*U96^2</f>
        <v>0.00518354845774502</v>
      </c>
      <c r="W96" s="0" t="n">
        <f aca="false">(Vin*H96/2)*(Fsw)*(Tr+Tf)</f>
        <v>0.079134774244755</v>
      </c>
      <c r="X96" s="0" t="n">
        <f aca="false">IF(H96&gt;J96/2,0,ABS(H96-J96/2)*VsdTop*Deadtime*Fsw)</f>
        <v>0</v>
      </c>
      <c r="Y96" s="0" t="n">
        <f aca="false">(X96+W96+V96*(1+RdsonTopTc*Ta-RdsonTopTc*25))/(1-V96*RdsonTopTc*ThetaJaTop)</f>
        <v>0.084405827041417</v>
      </c>
      <c r="Z96" s="0" t="n">
        <f aca="false">SQRT(1-I96)*SQRT(H96^2+(J96^2)/12)</f>
        <v>1.43199515313089</v>
      </c>
      <c r="AA96" s="0" t="n">
        <f aca="false">RdsonBot*Z96^2</f>
        <v>0.00246073214230843</v>
      </c>
      <c r="AB96" s="0" t="n">
        <f aca="false">2*Deadtime*Fsw*IF(VfdSky&gt;0,0,VsdBot)*(H96+J96/2)</f>
        <v>0.0466401505453082</v>
      </c>
      <c r="AC96" s="0" t="n">
        <f aca="false">(AB96+AA96*(1+RdsonBotTc*Ta-RdsonBotTc*25))/(1-AA96*RdsonBotTc*ThetaJaBot)</f>
        <v>0.0491250594101533</v>
      </c>
      <c r="AD96" s="0" t="n">
        <f aca="false">2*Deadtime*Fsw*IF(VfdSky&gt;0,VfdSky,0)*H96</f>
        <v>0</v>
      </c>
      <c r="AE96" s="0" t="n">
        <f aca="false">IF(QrrSky&gt;0,QrrSky,QrrBot)*Fsw*(Vin-H96*RdsonTop)</f>
        <v>0.40300512</v>
      </c>
      <c r="AF96" s="0" t="n">
        <f aca="false">Iq*Vin</f>
        <v>0.054</v>
      </c>
      <c r="AG96" s="0" t="n">
        <f aca="false">Vin*(QgTop+QgBot)*Fsw</f>
        <v>0.35784</v>
      </c>
      <c r="AH96" s="357" t="n">
        <f aca="false">(Vin-Vdd)*Fsw*(QgTop+QgBot)+(RdsonDRT+RdsonDRT2)*Fsw*QgTop*Vdd/(RdsonDRT+2*RGateTop+RdsonDRT2)+(RdsonDRB+RdsonDRB2)*Fsw*QgBot*Vdd/(RdsonDRB+2*RGateBot+RdsonDRB2)</f>
        <v>0.31571422459893</v>
      </c>
      <c r="AI96" s="0" t="n">
        <f aca="false">SUM(AF96:AG96)</f>
        <v>0.41184</v>
      </c>
      <c r="AJ96" s="402" t="n">
        <f aca="false">SUM(N96,Q96,T96,Y96,AE96,AD96,AC96,AI96)</f>
        <v>1.02085661113746</v>
      </c>
      <c r="AK96" s="358" t="n">
        <f aca="false">Vout*H96</f>
        <v>10.44</v>
      </c>
      <c r="AL96" s="359" t="n">
        <f aca="false">AK96/(AK96+AJ96)</f>
        <v>0.910926674525758</v>
      </c>
      <c r="AM96" s="0" t="n">
        <f aca="false">ThetaJaTop*Y96</f>
        <v>4.22029135207085</v>
      </c>
      <c r="AN96" s="0" t="n">
        <f aca="false">AC96*ThetaJaBot</f>
        <v>2.45625297050766</v>
      </c>
      <c r="AO96" s="359"/>
      <c r="AP96" s="0" t="n">
        <f aca="false">AL96*100</f>
        <v>91.0926674525758</v>
      </c>
      <c r="AZ96" s="403"/>
      <c r="BA96" s="404"/>
    </row>
    <row r="97" customFormat="false" ht="12.75" hidden="false" customHeight="false" outlineLevel="0" collapsed="false">
      <c r="G97" s="0" t="n">
        <v>88</v>
      </c>
      <c r="H97" s="0" t="n">
        <f aca="false">Iout*(G97/100)</f>
        <v>1.76</v>
      </c>
      <c r="I97" s="0" t="n">
        <f aca="false">(Vout+Rdcr*H97+RdsonBot*H97)/(Vin-RdsonTop*H97+RdsonBot*H97)</f>
        <v>0.335824332952155</v>
      </c>
      <c r="J97" s="0" t="n">
        <f aca="false">(Vin-Vout)*I97/(Fsw*Lout2)</f>
        <v>0.8466159654256</v>
      </c>
      <c r="K97" s="0" t="n">
        <f aca="false">SQRT(H97^2+(J97^2)/12)</f>
        <v>1.77688769559103</v>
      </c>
      <c r="L97" s="0" t="n">
        <f aca="false">(K97^2*Rdcr*(1+Ltc*Ta-Ltc*25))/(1-K97^2*Rdcr*Ltc*ThetaCa)</f>
        <v>0.0730429292498525</v>
      </c>
      <c r="N97" s="356" t="n">
        <f aca="false">L97</f>
        <v>0.0730429292498525</v>
      </c>
      <c r="O97" s="357" t="n">
        <f aca="false">J97/(2*SQRT(3))</f>
        <v>0.244396977769353</v>
      </c>
      <c r="P97" s="357" t="n">
        <f aca="false">RCoutEsr*O97^2</f>
        <v>2.98649413713967E-005</v>
      </c>
      <c r="Q97" s="357" t="n">
        <f aca="false">P97</f>
        <v>2.98649413713967E-005</v>
      </c>
      <c r="R97" s="0" t="n">
        <f aca="false">SQRT(I97)*SQRT(H97^2+(J97^2)/12)</f>
        <v>1.02971267923727</v>
      </c>
      <c r="S97" s="400" t="n">
        <f aca="false">RCinEsr*R97^2</f>
        <v>0.001060308201782</v>
      </c>
      <c r="T97" s="401" t="n">
        <f aca="false">S97</f>
        <v>0.001060308201782</v>
      </c>
      <c r="U97" s="0" t="n">
        <f aca="false">SQRT(I97)*SQRT(H97^2+(J97^2)/12)</f>
        <v>1.02971267923727</v>
      </c>
      <c r="V97" s="0" t="n">
        <f aca="false">RdsonTop*U97^2</f>
        <v>0.00530154100891002</v>
      </c>
      <c r="W97" s="0" t="n">
        <f aca="false">(Vin*H97/2)*(Fsw)*(Tr+Tf)</f>
        <v>0.0800443693510165</v>
      </c>
      <c r="X97" s="0" t="n">
        <f aca="false">IF(H97&gt;J97/2,0,ABS(H97-J97/2)*VsdTop*Deadtime*Fsw)</f>
        <v>0</v>
      </c>
      <c r="Y97" s="0" t="n">
        <f aca="false">(X97+W97+V97*(1+RdsonTopTc*Ta-RdsonTopTc*25))/(1-V97*RdsonTopTc*ThetaJaTop)</f>
        <v>0.0854364993809517</v>
      </c>
      <c r="Z97" s="0" t="n">
        <f aca="false">SQRT(1-I97)*SQRT(H97^2+(J97^2)/12)</f>
        <v>1.44810969230953</v>
      </c>
      <c r="AA97" s="0" t="n">
        <f aca="false">RdsonBot*Z97^2</f>
        <v>0.00251642601715295</v>
      </c>
      <c r="AB97" s="0" t="n">
        <f aca="false">2*Deadtime*Fsw*IF(VfdSky&gt;0,0,VsdBot)*(H97+J97/2)</f>
        <v>0.047072120107288</v>
      </c>
      <c r="AC97" s="0" t="n">
        <f aca="false">(AB97+AA97*(1+RdsonBotTc*Ta-RdsonBotTc*25))/(1-AA97*RdsonBotTc*ThetaJaBot)</f>
        <v>0.0496135158728699</v>
      </c>
      <c r="AD97" s="0" t="n">
        <f aca="false">2*Deadtime*Fsw*IF(VfdSky&gt;0,VfdSky,0)*H97</f>
        <v>0</v>
      </c>
      <c r="AE97" s="0" t="n">
        <f aca="false">IF(QrrSky&gt;0,QrrSky,QrrBot)*Fsw*(Vin-H97*RdsonTop)</f>
        <v>0.40300288</v>
      </c>
      <c r="AF97" s="0" t="n">
        <f aca="false">Iq*Vin</f>
        <v>0.054</v>
      </c>
      <c r="AG97" s="0" t="n">
        <f aca="false">Vin*(QgTop+QgBot)*Fsw</f>
        <v>0.35784</v>
      </c>
      <c r="AH97" s="357" t="n">
        <f aca="false">(Vin-Vdd)*Fsw*(QgTop+QgBot)+(RdsonDRT+RdsonDRT2)*Fsw*QgTop*Vdd/(RdsonDRT+2*RGateTop+RdsonDRT2)+(RdsonDRB+RdsonDRB2)*Fsw*QgBot*Vdd/(RdsonDRB+2*RGateBot+RdsonDRB2)</f>
        <v>0.31571422459893</v>
      </c>
      <c r="AI97" s="0" t="n">
        <f aca="false">SUM(AF97:AG97)</f>
        <v>0.41184</v>
      </c>
      <c r="AJ97" s="402" t="n">
        <f aca="false">SUM(N97,Q97,T97,Y97,AE97,AD97,AC97,AI97)</f>
        <v>1.02402599764683</v>
      </c>
      <c r="AK97" s="358" t="n">
        <f aca="false">Vout*H97</f>
        <v>10.56</v>
      </c>
      <c r="AL97" s="359" t="n">
        <f aca="false">AK97/(AK97+AJ97)</f>
        <v>0.91160016406603</v>
      </c>
      <c r="AM97" s="0" t="n">
        <f aca="false">ThetaJaTop*Y97</f>
        <v>4.27182496904759</v>
      </c>
      <c r="AN97" s="0" t="n">
        <f aca="false">AC97*ThetaJaBot</f>
        <v>2.48067579364349</v>
      </c>
      <c r="AO97" s="359"/>
      <c r="AP97" s="0" t="n">
        <f aca="false">AL97*100</f>
        <v>91.160016406603</v>
      </c>
      <c r="AZ97" s="403"/>
      <c r="BA97" s="404"/>
    </row>
    <row r="98" customFormat="false" ht="12.75" hidden="false" customHeight="false" outlineLevel="0" collapsed="false">
      <c r="G98" s="0" t="n">
        <v>89</v>
      </c>
      <c r="H98" s="0" t="n">
        <f aca="false">Iout*(G98/100)</f>
        <v>1.78</v>
      </c>
      <c r="I98" s="0" t="n">
        <f aca="false">(Vout+Rdcr*H98+RdsonBot*H98)/(Vin-RdsonTop*H98+RdsonBot*H98)</f>
        <v>0.335852650407075</v>
      </c>
      <c r="J98" s="0" t="n">
        <f aca="false">(Vin-Vout)*I98/(Fsw*Lout2)</f>
        <v>0.846687353967416</v>
      </c>
      <c r="K98" s="0" t="n">
        <f aca="false">SQRT(H98^2+(J98^2)/12)</f>
        <v>1.7967025230351</v>
      </c>
      <c r="L98" s="0" t="n">
        <f aca="false">(K98^2*Rdcr*(1+Ltc*Ta-Ltc*25))/(1-K98^2*Rdcr*Ltc*ThetaCa)</f>
        <v>0.0746908661219634</v>
      </c>
      <c r="N98" s="356" t="n">
        <f aca="false">L98</f>
        <v>0.0746908661219634</v>
      </c>
      <c r="O98" s="357" t="n">
        <f aca="false">J98/(2*SQRT(3))</f>
        <v>0.24441758586627</v>
      </c>
      <c r="P98" s="357" t="n">
        <f aca="false">RCoutEsr*O98^2</f>
        <v>2.98699781403477E-005</v>
      </c>
      <c r="Q98" s="357" t="n">
        <f aca="false">P98</f>
        <v>2.98699781403477E-005</v>
      </c>
      <c r="R98" s="0" t="n">
        <f aca="false">SQRT(I98)*SQRT(H98^2+(J98^2)/12)</f>
        <v>1.04123933857776</v>
      </c>
      <c r="S98" s="400" t="n">
        <f aca="false">RCinEsr*R98^2</f>
        <v>0.00108417936020185</v>
      </c>
      <c r="T98" s="401" t="n">
        <f aca="false">S98</f>
        <v>0.00108417936020185</v>
      </c>
      <c r="U98" s="0" t="n">
        <f aca="false">SQRT(I98)*SQRT(H98^2+(J98^2)/12)</f>
        <v>1.04123933857776</v>
      </c>
      <c r="V98" s="0" t="n">
        <f aca="false">RdsonTop*U98^2</f>
        <v>0.00542089680100926</v>
      </c>
      <c r="W98" s="0" t="n">
        <f aca="false">(Vin*H98/2)*(Fsw)*(Tr+Tf)</f>
        <v>0.0809539644572781</v>
      </c>
      <c r="X98" s="0" t="n">
        <f aca="false">IF(H98&gt;J98/2,0,ABS(H98-J98/2)*VsdTop*Deadtime*Fsw)</f>
        <v>0</v>
      </c>
      <c r="Y98" s="0" t="n">
        <f aca="false">(X98+W98+V98*(1+RdsonTopTc*Ta-RdsonTopTc*25))/(1-V98*RdsonTopTc*ThetaJaTop)</f>
        <v>0.0864686087391877</v>
      </c>
      <c r="Z98" s="0" t="n">
        <f aca="false">SQRT(1-I98)*SQRT(H98^2+(J98^2)/12)</f>
        <v>1.46422696194232</v>
      </c>
      <c r="AA98" s="0" t="n">
        <f aca="false">RdsonBot*Z98^2</f>
        <v>0.00257275271529461</v>
      </c>
      <c r="AB98" s="0" t="n">
        <f aca="false">2*Deadtime*Fsw*IF(VfdSky&gt;0,0,VsdBot)*(H98+J98/2)</f>
        <v>0.0475040896757688</v>
      </c>
      <c r="AC98" s="0" t="n">
        <f aca="false">(AB98+AA98*(1+RdsonBotTc*Ta-RdsonBotTc*25))/(1-AA98*RdsonBotTc*ThetaJaBot)</f>
        <v>0.0501026227227941</v>
      </c>
      <c r="AD98" s="0" t="n">
        <f aca="false">2*Deadtime*Fsw*IF(VfdSky&gt;0,VfdSky,0)*H98</f>
        <v>0</v>
      </c>
      <c r="AE98" s="0" t="n">
        <f aca="false">IF(QrrSky&gt;0,QrrSky,QrrBot)*Fsw*(Vin-H98*RdsonTop)</f>
        <v>0.40300064</v>
      </c>
      <c r="AF98" s="0" t="n">
        <f aca="false">Iq*Vin</f>
        <v>0.054</v>
      </c>
      <c r="AG98" s="0" t="n">
        <f aca="false">Vin*(QgTop+QgBot)*Fsw</f>
        <v>0.35784</v>
      </c>
      <c r="AH98" s="357" t="n">
        <f aca="false">(Vin-Vdd)*Fsw*(QgTop+QgBot)+(RdsonDRT+RdsonDRT2)*Fsw*QgTop*Vdd/(RdsonDRT+2*RGateTop+RdsonDRT2)+(RdsonDRB+RdsonDRB2)*Fsw*QgBot*Vdd/(RdsonDRB+2*RGateBot+RdsonDRB2)</f>
        <v>0.31571422459893</v>
      </c>
      <c r="AI98" s="0" t="n">
        <f aca="false">SUM(AF98:AG98)</f>
        <v>0.41184</v>
      </c>
      <c r="AJ98" s="402" t="n">
        <f aca="false">SUM(N98,Q98,T98,Y98,AE98,AD98,AC98,AI98)</f>
        <v>1.02721678692229</v>
      </c>
      <c r="AK98" s="358" t="n">
        <f aca="false">Vout*H98</f>
        <v>10.68</v>
      </c>
      <c r="AL98" s="359" t="n">
        <f aca="false">AK98/(AK98+AJ98)</f>
        <v>0.912257814507223</v>
      </c>
      <c r="AM98" s="0" t="n">
        <f aca="false">ThetaJaTop*Y98</f>
        <v>4.32343043695939</v>
      </c>
      <c r="AN98" s="0" t="n">
        <f aca="false">AC98*ThetaJaBot</f>
        <v>2.5051311361397</v>
      </c>
      <c r="AO98" s="359"/>
      <c r="AP98" s="0" t="n">
        <f aca="false">AL98*100</f>
        <v>91.2257814507223</v>
      </c>
      <c r="AZ98" s="403"/>
      <c r="BA98" s="404"/>
    </row>
    <row r="99" customFormat="false" ht="12.75" hidden="false" customHeight="false" outlineLevel="0" collapsed="false">
      <c r="G99" s="0" t="n">
        <v>90</v>
      </c>
      <c r="H99" s="0" t="n">
        <f aca="false">Iout*(G99/100)</f>
        <v>1.8</v>
      </c>
      <c r="I99" s="0" t="n">
        <f aca="false">(Vout+Rdcr*H99+RdsonBot*H99)/(Vin-RdsonTop*H99+RdsonBot*H99)</f>
        <v>0.335880968101212</v>
      </c>
      <c r="J99" s="0" t="n">
        <f aca="false">(Vin-Vout)*I99/(Fsw*Lout2)</f>
        <v>0.846758743112299</v>
      </c>
      <c r="K99" s="0" t="n">
        <f aca="false">SQRT(H99^2+(J99^2)/12)</f>
        <v>1.81652140938473</v>
      </c>
      <c r="L99" s="0" t="n">
        <f aca="false">(K99^2*Rdcr*(1+Ltc*Ta-Ltc*25))/(1-K99^2*Rdcr*Ltc*ThetaCa)</f>
        <v>0.0763578605160797</v>
      </c>
      <c r="N99" s="356" t="n">
        <f aca="false">L99</f>
        <v>0.0763578605160797</v>
      </c>
      <c r="O99" s="357" t="n">
        <f aca="false">J99/(2*SQRT(3))</f>
        <v>0.244438194137277</v>
      </c>
      <c r="P99" s="357" t="n">
        <f aca="false">RCoutEsr*O99^2</f>
        <v>2.98750153765467E-005</v>
      </c>
      <c r="Q99" s="357" t="n">
        <f aca="false">P99</f>
        <v>2.98750153765467E-005</v>
      </c>
      <c r="R99" s="0" t="n">
        <f aca="false">SQRT(I99)*SQRT(H99^2+(J99^2)/12)</f>
        <v>1.05276931700224</v>
      </c>
      <c r="S99" s="400" t="n">
        <f aca="false">RCinEsr*R99^2</f>
        <v>0.00110832323482135</v>
      </c>
      <c r="T99" s="401" t="n">
        <f aca="false">S99</f>
        <v>0.00110832323482135</v>
      </c>
      <c r="U99" s="0" t="n">
        <f aca="false">SQRT(I99)*SQRT(H99^2+(J99^2)/12)</f>
        <v>1.05276931700224</v>
      </c>
      <c r="V99" s="0" t="n">
        <f aca="false">RdsonTop*U99^2</f>
        <v>0.00554161617410676</v>
      </c>
      <c r="W99" s="0" t="n">
        <f aca="false">(Vin*H99/2)*(Fsw)*(Tr+Tf)</f>
        <v>0.0818635595635396</v>
      </c>
      <c r="X99" s="0" t="n">
        <f aca="false">IF(H99&gt;J99/2,0,ABS(H99-J99/2)*VsdTop*Deadtime*Fsw)</f>
        <v>0</v>
      </c>
      <c r="Y99" s="0" t="n">
        <f aca="false">(X99+W99+V99*(1+RdsonTopTc*Ta-RdsonTopTc*25))/(1-V99*RdsonTopTc*ThetaJaTop)</f>
        <v>0.0875021564106933</v>
      </c>
      <c r="Z99" s="0" t="n">
        <f aca="false">SQRT(1-I99)*SQRT(H99^2+(J99^2)/12)</f>
        <v>1.48034684987395</v>
      </c>
      <c r="AA99" s="0" t="n">
        <f aca="false">RdsonBot*Z99^2</f>
        <v>0.00262971215511809</v>
      </c>
      <c r="AB99" s="0" t="n">
        <f aca="false">2*Deadtime*Fsw*IF(VfdSky&gt;0,0,VsdBot)*(H99+J99/2)</f>
        <v>0.0479360592507506</v>
      </c>
      <c r="AC99" s="0" t="n">
        <f aca="false">(AB99+AA99*(1+RdsonBotTc*Ta-RdsonBotTc*25))/(1-AA99*RdsonBotTc*ThetaJaBot)</f>
        <v>0.050592380085242</v>
      </c>
      <c r="AD99" s="0" t="n">
        <f aca="false">2*Deadtime*Fsw*IF(VfdSky&gt;0,VfdSky,0)*H99</f>
        <v>0</v>
      </c>
      <c r="AE99" s="0" t="n">
        <f aca="false">IF(QrrSky&gt;0,QrrSky,QrrBot)*Fsw*(Vin-H99*RdsonTop)</f>
        <v>0.4029984</v>
      </c>
      <c r="AF99" s="0" t="n">
        <f aca="false">Iq*Vin</f>
        <v>0.054</v>
      </c>
      <c r="AG99" s="0" t="n">
        <f aca="false">Vin*(QgTop+QgBot)*Fsw</f>
        <v>0.35784</v>
      </c>
      <c r="AH99" s="357" t="n">
        <f aca="false">(Vin-Vdd)*Fsw*(QgTop+QgBot)+(RdsonDRT+RdsonDRT2)*Fsw*QgTop*Vdd/(RdsonDRT+2*RGateTop+RdsonDRT2)+(RdsonDRB+RdsonDRB2)*Fsw*QgBot*Vdd/(RdsonDRB+2*RGateBot+RdsonDRB2)</f>
        <v>0.31571422459893</v>
      </c>
      <c r="AI99" s="0" t="n">
        <f aca="false">SUM(AF99:AG99)</f>
        <v>0.41184</v>
      </c>
      <c r="AJ99" s="402" t="n">
        <f aca="false">SUM(N99,Q99,T99,Y99,AE99,AD99,AC99,AI99)</f>
        <v>1.03042899526221</v>
      </c>
      <c r="AK99" s="358" t="n">
        <f aca="false">Vout*H99</f>
        <v>10.8</v>
      </c>
      <c r="AL99" s="359" t="n">
        <f aca="false">AK99/(AK99+AJ99)</f>
        <v>0.9129001158221</v>
      </c>
      <c r="AM99" s="0" t="n">
        <f aca="false">ThetaJaTop*Y99</f>
        <v>4.37510782053467</v>
      </c>
      <c r="AN99" s="0" t="n">
        <f aca="false">AC99*ThetaJaBot</f>
        <v>2.5296190042621</v>
      </c>
      <c r="AO99" s="359"/>
      <c r="AP99" s="0" t="n">
        <f aca="false">AL99*100</f>
        <v>91.29001158221</v>
      </c>
      <c r="AZ99" s="403"/>
      <c r="BA99" s="404"/>
    </row>
    <row r="100" customFormat="false" ht="12.75" hidden="false" customHeight="false" outlineLevel="0" collapsed="false">
      <c r="G100" s="0" t="n">
        <v>91</v>
      </c>
      <c r="H100" s="0" t="n">
        <f aca="false">Iout*(G100/100)</f>
        <v>1.82</v>
      </c>
      <c r="I100" s="0" t="n">
        <f aca="false">(Vout+Rdcr*H100+RdsonBot*H100)/(Vin-RdsonTop*H100+RdsonBot*H100)</f>
        <v>0.335909286034567</v>
      </c>
      <c r="J100" s="0" t="n">
        <f aca="false">(Vin-Vout)*I100/(Fsw*Lout2)</f>
        <v>0.846830132860254</v>
      </c>
      <c r="K100" s="0" t="n">
        <f aca="false">SQRT(H100^2+(J100^2)/12)</f>
        <v>1.83634422322178</v>
      </c>
      <c r="L100" s="0" t="n">
        <f aca="false">(K100^2*Rdcr*(1+Ltc*Ta-Ltc*25))/(1-K100^2*Rdcr*Ltc*ThetaCa)</f>
        <v>0.0780439274198551</v>
      </c>
      <c r="N100" s="356" t="n">
        <f aca="false">L100</f>
        <v>0.0780439274198551</v>
      </c>
      <c r="O100" s="357" t="n">
        <f aca="false">J100/(2*SQRT(3))</f>
        <v>0.244458802582377</v>
      </c>
      <c r="P100" s="357" t="n">
        <f aca="false">RCoutEsr*O100^2</f>
        <v>2.98800530800048E-005</v>
      </c>
      <c r="Q100" s="357" t="n">
        <f aca="false">P100</f>
        <v>2.98800530800048E-005</v>
      </c>
      <c r="R100" s="0" t="n">
        <f aca="false">SQRT(I100)*SQRT(H100^2+(J100^2)/12)</f>
        <v>1.06430253859251</v>
      </c>
      <c r="S100" s="400" t="n">
        <f aca="false">RCinEsr*R100^2</f>
        <v>0.00113273989365446</v>
      </c>
      <c r="T100" s="401" t="n">
        <f aca="false">S100</f>
        <v>0.00113273989365446</v>
      </c>
      <c r="U100" s="0" t="n">
        <f aca="false">SQRT(I100)*SQRT(H100^2+(J100^2)/12)</f>
        <v>1.06430253859251</v>
      </c>
      <c r="V100" s="0" t="n">
        <f aca="false">RdsonTop*U100^2</f>
        <v>0.0056636994682723</v>
      </c>
      <c r="W100" s="0" t="n">
        <f aca="false">(Vin*H100/2)*(Fsw)*(Tr+Tf)</f>
        <v>0.0827731546698012</v>
      </c>
      <c r="X100" s="0" t="n">
        <f aca="false">IF(H100&gt;J100/2,0,ABS(H100-J100/2)*VsdTop*Deadtime*Fsw)</f>
        <v>0</v>
      </c>
      <c r="Y100" s="0" t="n">
        <f aca="false">(X100+W100+V100*(1+RdsonTopTc*Ta-RdsonTopTc*25))/(1-V100*RdsonTopTc*ThetaJaTop)</f>
        <v>0.0885371436928045</v>
      </c>
      <c r="Z100" s="0" t="n">
        <f aca="false">SQRT(1-I100)*SQRT(H100^2+(J100^2)/12)</f>
        <v>1.49646924876709</v>
      </c>
      <c r="AA100" s="0" t="n">
        <f aca="false">RdsonBot*Z100^2</f>
        <v>0.00268730425500666</v>
      </c>
      <c r="AB100" s="0" t="n">
        <f aca="false">2*Deadtime*Fsw*IF(VfdSky&gt;0,0,VsdBot)*(H100+J100/2)</f>
        <v>0.0483680288322335</v>
      </c>
      <c r="AC100" s="0" t="n">
        <f aca="false">(AB100+AA100*(1+RdsonBotTc*Ta-RdsonBotTc*25))/(1-AA100*RdsonBotTc*ThetaJaBot)</f>
        <v>0.0510827880859964</v>
      </c>
      <c r="AD100" s="0" t="n">
        <f aca="false">2*Deadtime*Fsw*IF(VfdSky&gt;0,VfdSky,0)*H100</f>
        <v>0</v>
      </c>
      <c r="AE100" s="0" t="n">
        <f aca="false">IF(QrrSky&gt;0,QrrSky,QrrBot)*Fsw*(Vin-H100*RdsonTop)</f>
        <v>0.40299616</v>
      </c>
      <c r="AF100" s="0" t="n">
        <f aca="false">Iq*Vin</f>
        <v>0.054</v>
      </c>
      <c r="AG100" s="0" t="n">
        <f aca="false">Vin*(QgTop+QgBot)*Fsw</f>
        <v>0.35784</v>
      </c>
      <c r="AH100" s="357" t="n">
        <f aca="false">(Vin-Vdd)*Fsw*(QgTop+QgBot)+(RdsonDRT+RdsonDRT2)*Fsw*QgTop*Vdd/(RdsonDRT+2*RGateTop+RdsonDRT2)+(RdsonDRB+RdsonDRB2)*Fsw*QgBot*Vdd/(RdsonDRB+2*RGateBot+RdsonDRB2)</f>
        <v>0.31571422459893</v>
      </c>
      <c r="AI100" s="0" t="n">
        <f aca="false">SUM(AF100:AG100)</f>
        <v>0.41184</v>
      </c>
      <c r="AJ100" s="402" t="n">
        <f aca="false">SUM(N100,Q100,T100,Y100,AE100,AD100,AC100,AI100)</f>
        <v>1.03366263914539</v>
      </c>
      <c r="AK100" s="358" t="n">
        <f aca="false">Vout*H100</f>
        <v>10.92</v>
      </c>
      <c r="AL100" s="359" t="n">
        <f aca="false">AK100/(AK100+AJ100)</f>
        <v>0.913527537931312</v>
      </c>
      <c r="AM100" s="0" t="n">
        <f aca="false">ThetaJaTop*Y100</f>
        <v>4.42685718464023</v>
      </c>
      <c r="AN100" s="0" t="n">
        <f aca="false">AC100*ThetaJaBot</f>
        <v>2.55413940429982</v>
      </c>
      <c r="AO100" s="359"/>
      <c r="AP100" s="0" t="n">
        <f aca="false">AL100*100</f>
        <v>91.3527537931312</v>
      </c>
      <c r="AZ100" s="403"/>
      <c r="BA100" s="404"/>
    </row>
    <row r="101" customFormat="false" ht="12.75" hidden="false" customHeight="false" outlineLevel="0" collapsed="false">
      <c r="G101" s="0" t="n">
        <v>92</v>
      </c>
      <c r="H101" s="0" t="n">
        <f aca="false">Iout*(G101/100)</f>
        <v>1.84</v>
      </c>
      <c r="I101" s="0" t="n">
        <f aca="false">(Vout+Rdcr*H101+RdsonBot*H101)/(Vin-RdsonTop*H101+RdsonBot*H101)</f>
        <v>0.335937604207145</v>
      </c>
      <c r="J101" s="0" t="n">
        <f aca="false">(Vin-Vout)*I101/(Fsw*Lout2)</f>
        <v>0.846901523211291</v>
      </c>
      <c r="K101" s="0" t="n">
        <f aca="false">SQRT(H101^2+(J101^2)/12)</f>
        <v>1.85617083871649</v>
      </c>
      <c r="L101" s="0" t="n">
        <f aca="false">(K101^2*Rdcr*(1+Ltc*Ta-Ltc*25))/(1-K101^2*Rdcr*Ltc*ThetaCa)</f>
        <v>0.0797490819984606</v>
      </c>
      <c r="N101" s="356" t="n">
        <f aca="false">L101</f>
        <v>0.0797490819984606</v>
      </c>
      <c r="O101" s="357" t="n">
        <f aca="false">J101/(2*SQRT(3))</f>
        <v>0.244479411201571</v>
      </c>
      <c r="P101" s="357" t="n">
        <f aca="false">RCoutEsr*O101^2</f>
        <v>2.98850912507335E-005</v>
      </c>
      <c r="Q101" s="357" t="n">
        <f aca="false">P101</f>
        <v>2.98850912507335E-005</v>
      </c>
      <c r="R101" s="0" t="n">
        <f aca="false">SQRT(I101)*SQRT(H101^2+(J101^2)/12)</f>
        <v>1.07583893065657</v>
      </c>
      <c r="S101" s="400" t="n">
        <f aca="false">RCinEsr*R101^2</f>
        <v>0.00115742940471628</v>
      </c>
      <c r="T101" s="401" t="n">
        <f aca="false">S101</f>
        <v>0.00115742940471628</v>
      </c>
      <c r="U101" s="0" t="n">
        <f aca="false">SQRT(I101)*SQRT(H101^2+(J101^2)/12)</f>
        <v>1.07583893065657</v>
      </c>
      <c r="V101" s="0" t="n">
        <f aca="false">RdsonTop*U101^2</f>
        <v>0.00578714702358139</v>
      </c>
      <c r="W101" s="0" t="n">
        <f aca="false">(Vin*H101/2)*(Fsw)*(Tr+Tf)</f>
        <v>0.0836827497760627</v>
      </c>
      <c r="X101" s="0" t="n">
        <f aca="false">IF(H101&gt;J101/2,0,ABS(H101-J101/2)*VsdTop*Deadtime*Fsw)</f>
        <v>0</v>
      </c>
      <c r="Y101" s="0" t="n">
        <f aca="false">(X101+W101+V101*(1+RdsonTopTc*Ta-RdsonTopTc*25))/(1-V101*RdsonTopTc*ThetaJaTop)</f>
        <v>0.08957357188563</v>
      </c>
      <c r="Z101" s="0" t="n">
        <f aca="false">SQRT(1-I101)*SQRT(H101^2+(J101^2)/12)</f>
        <v>1.5125940558475</v>
      </c>
      <c r="AA101" s="0" t="n">
        <f aca="false">RdsonBot*Z101^2</f>
        <v>0.00274552893334223</v>
      </c>
      <c r="AB101" s="0" t="n">
        <f aca="false">2*Deadtime*Fsw*IF(VfdSky&gt;0,0,VsdBot)*(H101+J101/2)</f>
        <v>0.0487999984202177</v>
      </c>
      <c r="AC101" s="0" t="n">
        <f aca="false">(AB101+AA101*(1+RdsonBotTc*Ta-RdsonBotTc*25))/(1-AA101*RdsonBotTc*ThetaJaBot)</f>
        <v>0.0515738468513068</v>
      </c>
      <c r="AD101" s="0" t="n">
        <f aca="false">2*Deadtime*Fsw*IF(VfdSky&gt;0,VfdSky,0)*H101</f>
        <v>0</v>
      </c>
      <c r="AE101" s="0" t="n">
        <f aca="false">IF(QrrSky&gt;0,QrrSky,QrrBot)*Fsw*(Vin-H101*RdsonTop)</f>
        <v>0.40299392</v>
      </c>
      <c r="AF101" s="0" t="n">
        <f aca="false">Iq*Vin</f>
        <v>0.054</v>
      </c>
      <c r="AG101" s="0" t="n">
        <f aca="false">Vin*(QgTop+QgBot)*Fsw</f>
        <v>0.35784</v>
      </c>
      <c r="AH101" s="357" t="n">
        <f aca="false">(Vin-Vdd)*Fsw*(QgTop+QgBot)+(RdsonDRT+RdsonDRT2)*Fsw*QgTop*Vdd/(RdsonDRT+2*RGateTop+RdsonDRT2)+(RdsonDRB+RdsonDRB2)*Fsw*QgBot*Vdd/(RdsonDRB+2*RGateBot+RdsonDRB2)</f>
        <v>0.31571422459893</v>
      </c>
      <c r="AI101" s="0" t="n">
        <f aca="false">SUM(AF101:AG101)</f>
        <v>0.41184</v>
      </c>
      <c r="AJ101" s="402" t="n">
        <f aca="false">SUM(N101,Q101,T101,Y101,AE101,AD101,AC101,AI101)</f>
        <v>1.03691773523136</v>
      </c>
      <c r="AK101" s="358" t="n">
        <f aca="false">Vout*H101</f>
        <v>11.04</v>
      </c>
      <c r="AL101" s="359" t="n">
        <f aca="false">AK101/(AK101+AJ101)</f>
        <v>0.914140531718087</v>
      </c>
      <c r="AM101" s="0" t="n">
        <f aca="false">ThetaJaTop*Y101</f>
        <v>4.4786785942815</v>
      </c>
      <c r="AN101" s="0" t="n">
        <f aca="false">AC101*ThetaJaBot</f>
        <v>2.57869234256534</v>
      </c>
      <c r="AO101" s="359"/>
      <c r="AP101" s="0" t="n">
        <f aca="false">AL101*100</f>
        <v>91.4140531718087</v>
      </c>
      <c r="AZ101" s="403"/>
      <c r="BA101" s="404"/>
    </row>
    <row r="102" customFormat="false" ht="12.75" hidden="false" customHeight="false" outlineLevel="0" collapsed="false">
      <c r="G102" s="0" t="n">
        <v>93</v>
      </c>
      <c r="H102" s="0" t="n">
        <f aca="false">Iout*(G102/100)</f>
        <v>1.86</v>
      </c>
      <c r="I102" s="0" t="n">
        <f aca="false">(Vout+Rdcr*H102+RdsonBot*H102)/(Vin-RdsonTop*H102+RdsonBot*H102)</f>
        <v>0.335965922618948</v>
      </c>
      <c r="J102" s="0" t="n">
        <f aca="false">(Vin-Vout)*I102/(Fsw*Lout2)</f>
        <v>0.846972914165416</v>
      </c>
      <c r="K102" s="0" t="n">
        <f aca="false">SQRT(H102^2+(J102^2)/12)</f>
        <v>1.87600113533481</v>
      </c>
      <c r="L102" s="0" t="n">
        <f aca="false">(K102^2*Rdcr*(1+Ltc*Ta-Ltc*25))/(1-K102^2*Rdcr*Ltc*ThetaCa)</f>
        <v>0.0814733395949283</v>
      </c>
      <c r="N102" s="356" t="n">
        <f aca="false">L102</f>
        <v>0.0814733395949283</v>
      </c>
      <c r="O102" s="357" t="n">
        <f aca="false">J102/(2*SQRT(3))</f>
        <v>0.244500019994862</v>
      </c>
      <c r="P102" s="357" t="n">
        <f aca="false">RCoutEsr*O102^2</f>
        <v>2.98901298887441E-005</v>
      </c>
      <c r="Q102" s="357" t="n">
        <f aca="false">P102</f>
        <v>2.98901298887441E-005</v>
      </c>
      <c r="R102" s="0" t="n">
        <f aca="false">SQRT(I102)*SQRT(H102^2+(J102^2)/12)</f>
        <v>1.08737842355964</v>
      </c>
      <c r="S102" s="400" t="n">
        <f aca="false">RCinEsr*R102^2</f>
        <v>0.00118239183602306</v>
      </c>
      <c r="T102" s="401" t="n">
        <f aca="false">S102</f>
        <v>0.00118239183602306</v>
      </c>
      <c r="U102" s="0" t="n">
        <f aca="false">SQRT(I102)*SQRT(H102^2+(J102^2)/12)</f>
        <v>1.08737842355964</v>
      </c>
      <c r="V102" s="0" t="n">
        <f aca="false">RdsonTop*U102^2</f>
        <v>0.00591195918011529</v>
      </c>
      <c r="W102" s="0" t="n">
        <f aca="false">(Vin*H102/2)*(Fsw)*(Tr+Tf)</f>
        <v>0.0845923448823243</v>
      </c>
      <c r="X102" s="0" t="n">
        <f aca="false">IF(H102&gt;J102/2,0,ABS(H102-J102/2)*VsdTop*Deadtime*Fsw)</f>
        <v>0</v>
      </c>
      <c r="Y102" s="0" t="n">
        <f aca="false">(X102+W102+V102*(1+RdsonTopTc*Ta-RdsonTopTc*25))/(1-V102*RdsonTopTc*ThetaJaTop)</f>
        <v>0.090611442292056</v>
      </c>
      <c r="Z102" s="0" t="n">
        <f aca="false">SQRT(1-I102)*SQRT(H102^2+(J102^2)/12)</f>
        <v>1.52872117266506</v>
      </c>
      <c r="AA102" s="0" t="n">
        <f aca="false">RdsonBot*Z102^2</f>
        <v>0.00280438610850532</v>
      </c>
      <c r="AB102" s="0" t="n">
        <f aca="false">2*Deadtime*Fsw*IF(VfdSky&gt;0,0,VsdBot)*(H102+J102/2)</f>
        <v>0.0492319680147032</v>
      </c>
      <c r="AC102" s="0" t="n">
        <f aca="false">(AB102+AA102*(1+RdsonBotTc*Ta-RdsonBotTc*25))/(1-AA102*RdsonBotTc*ThetaJaBot)</f>
        <v>0.052065556507889</v>
      </c>
      <c r="AD102" s="0" t="n">
        <f aca="false">2*Deadtime*Fsw*IF(VfdSky&gt;0,VfdSky,0)*H102</f>
        <v>0</v>
      </c>
      <c r="AE102" s="0" t="n">
        <f aca="false">IF(QrrSky&gt;0,QrrSky,QrrBot)*Fsw*(Vin-H102*RdsonTop)</f>
        <v>0.40299168</v>
      </c>
      <c r="AF102" s="0" t="n">
        <f aca="false">Iq*Vin</f>
        <v>0.054</v>
      </c>
      <c r="AG102" s="0" t="n">
        <f aca="false">Vin*(QgTop+QgBot)*Fsw</f>
        <v>0.35784</v>
      </c>
      <c r="AH102" s="357" t="n">
        <f aca="false">(Vin-Vdd)*Fsw*(QgTop+QgBot)+(RdsonDRT+RdsonDRT2)*Fsw*QgTop*Vdd/(RdsonDRT+2*RGateTop+RdsonDRT2)+(RdsonDRB+RdsonDRB2)*Fsw*QgBot*Vdd/(RdsonDRB+2*RGateBot+RdsonDRB2)</f>
        <v>0.31571422459893</v>
      </c>
      <c r="AI102" s="0" t="n">
        <f aca="false">SUM(AF102:AG102)</f>
        <v>0.41184</v>
      </c>
      <c r="AJ102" s="402" t="n">
        <f aca="false">SUM(N102,Q102,T102,Y102,AE102,AD102,AC102,AI102)</f>
        <v>1.04019430036079</v>
      </c>
      <c r="AK102" s="358" t="n">
        <f aca="false">Vout*H102</f>
        <v>11.16</v>
      </c>
      <c r="AL102" s="359" t="n">
        <f aca="false">AK102/(AK102+AJ102)</f>
        <v>0.91473952998191</v>
      </c>
      <c r="AM102" s="0" t="n">
        <f aca="false">ThetaJaTop*Y102</f>
        <v>4.5305721146028</v>
      </c>
      <c r="AN102" s="0" t="n">
        <f aca="false">AC102*ThetaJaBot</f>
        <v>2.60327782539445</v>
      </c>
      <c r="AO102" s="359"/>
      <c r="AP102" s="0" t="n">
        <f aca="false">AL102*100</f>
        <v>91.473952998191</v>
      </c>
      <c r="AZ102" s="403"/>
      <c r="BA102" s="404"/>
    </row>
    <row r="103" customFormat="false" ht="12.75" hidden="false" customHeight="false" outlineLevel="0" collapsed="false">
      <c r="G103" s="0" t="n">
        <v>94</v>
      </c>
      <c r="H103" s="0" t="n">
        <f aca="false">Iout*(G103/100)</f>
        <v>1.88</v>
      </c>
      <c r="I103" s="0" t="n">
        <f aca="false">(Vout+Rdcr*H103+RdsonBot*H103)/(Vin-RdsonTop*H103+RdsonBot*H103)</f>
        <v>0.33599424126998</v>
      </c>
      <c r="J103" s="0" t="n">
        <f aca="false">(Vin-Vout)*I103/(Fsw*Lout2)</f>
        <v>0.847044305722638</v>
      </c>
      <c r="K103" s="0" t="n">
        <f aca="false">SQRT(H103^2+(J103^2)/12)</f>
        <v>1.8958349975639</v>
      </c>
      <c r="L103" s="0" t="n">
        <f aca="false">(K103^2*Rdcr*(1+Ltc*Ta-Ltc*25))/(1-K103^2*Rdcr*Ltc*ThetaCa)</f>
        <v>0.0832167157304995</v>
      </c>
      <c r="N103" s="356" t="n">
        <f aca="false">L103</f>
        <v>0.0832167157304995</v>
      </c>
      <c r="O103" s="357" t="n">
        <f aca="false">J103/(2*SQRT(3))</f>
        <v>0.244520628962252</v>
      </c>
      <c r="P103" s="357" t="n">
        <f aca="false">RCoutEsr*O103^2</f>
        <v>2.98951689940477E-005</v>
      </c>
      <c r="Q103" s="357" t="n">
        <f aca="false">P103</f>
        <v>2.98951689940477E-005</v>
      </c>
      <c r="R103" s="0" t="n">
        <f aca="false">SQRT(I103)*SQRT(H103^2+(J103^2)/12)</f>
        <v>1.09892095056569</v>
      </c>
      <c r="S103" s="400" t="n">
        <f aca="false">RCinEsr*R103^2</f>
        <v>0.0012076272555922</v>
      </c>
      <c r="T103" s="401" t="n">
        <f aca="false">S103</f>
        <v>0.0012076272555922</v>
      </c>
      <c r="U103" s="0" t="n">
        <f aca="false">SQRT(I103)*SQRT(H103^2+(J103^2)/12)</f>
        <v>1.09892095056569</v>
      </c>
      <c r="V103" s="0" t="n">
        <f aca="false">RdsonTop*U103^2</f>
        <v>0.00603813627796101</v>
      </c>
      <c r="W103" s="0" t="n">
        <f aca="false">(Vin*H103/2)*(Fsw)*(Tr+Tf)</f>
        <v>0.0855019399885858</v>
      </c>
      <c r="X103" s="0" t="n">
        <f aca="false">IF(H103&gt;J103/2,0,ABS(H103-J103/2)*VsdTop*Deadtime*Fsw)</f>
        <v>0</v>
      </c>
      <c r="Y103" s="0" t="n">
        <f aca="false">(X103+W103+V103*(1+RdsonTopTc*Ta-RdsonTopTc*25))/(1-V103*RdsonTopTc*ThetaJaTop)</f>
        <v>0.091650756217751</v>
      </c>
      <c r="Z103" s="0" t="n">
        <f aca="false">SQRT(1-I103)*SQRT(H103^2+(J103^2)/12)</f>
        <v>1.54485050486961</v>
      </c>
      <c r="AA103" s="0" t="n">
        <f aca="false">RdsonBot*Z103^2</f>
        <v>0.00286387569887507</v>
      </c>
      <c r="AB103" s="0" t="n">
        <f aca="false">2*Deadtime*Fsw*IF(VfdSky&gt;0,0,VsdBot)*(H103+J103/2)</f>
        <v>0.04966393761569</v>
      </c>
      <c r="AC103" s="0" t="n">
        <f aca="false">(AB103+AA103*(1+RdsonBotTc*Ta-RdsonBotTc*25))/(1-AA103*RdsonBotTc*ThetaJaBot)</f>
        <v>0.0525579171829258</v>
      </c>
      <c r="AD103" s="0" t="n">
        <f aca="false">2*Deadtime*Fsw*IF(VfdSky&gt;0,VfdSky,0)*H103</f>
        <v>0</v>
      </c>
      <c r="AE103" s="0" t="n">
        <f aca="false">IF(QrrSky&gt;0,QrrSky,QrrBot)*Fsw*(Vin-H103*RdsonTop)</f>
        <v>0.40298944</v>
      </c>
      <c r="AF103" s="0" t="n">
        <f aca="false">Iq*Vin</f>
        <v>0.054</v>
      </c>
      <c r="AG103" s="0" t="n">
        <f aca="false">Vin*(QgTop+QgBot)*Fsw</f>
        <v>0.35784</v>
      </c>
      <c r="AH103" s="357" t="n">
        <f aca="false">(Vin-Vdd)*Fsw*(QgTop+QgBot)+(RdsonDRT+RdsonDRT2)*Fsw*QgTop*Vdd/(RdsonDRT+2*RGateTop+RdsonDRT2)+(RdsonDRB+RdsonDRB2)*Fsw*QgBot*Vdd/(RdsonDRB+2*RGateBot+RdsonDRB2)</f>
        <v>0.31571422459893</v>
      </c>
      <c r="AI103" s="0" t="n">
        <f aca="false">SUM(AF103:AG103)</f>
        <v>0.41184</v>
      </c>
      <c r="AJ103" s="402" t="n">
        <f aca="false">SUM(N103,Q103,T103,Y103,AE103,AD103,AC103,AI103)</f>
        <v>1.04349235155576</v>
      </c>
      <c r="AK103" s="358" t="n">
        <f aca="false">Vout*H103</f>
        <v>11.28</v>
      </c>
      <c r="AL103" s="359" t="n">
        <f aca="false">AK103/(AK103+AJ103)</f>
        <v>0.915324948335443</v>
      </c>
      <c r="AM103" s="0" t="n">
        <f aca="false">ThetaJaTop*Y103</f>
        <v>4.58253781088755</v>
      </c>
      <c r="AN103" s="0" t="n">
        <f aca="false">AC103*ThetaJaBot</f>
        <v>2.62789585914629</v>
      </c>
      <c r="AO103" s="359"/>
      <c r="AP103" s="0" t="n">
        <f aca="false">AL103*100</f>
        <v>91.5324948335443</v>
      </c>
      <c r="AZ103" s="403"/>
      <c r="BA103" s="404"/>
    </row>
    <row r="104" customFormat="false" ht="12.75" hidden="false" customHeight="false" outlineLevel="0" collapsed="false">
      <c r="G104" s="0" t="n">
        <v>95</v>
      </c>
      <c r="H104" s="0" t="n">
        <f aca="false">Iout*(G104/100)</f>
        <v>1.9</v>
      </c>
      <c r="I104" s="0" t="n">
        <f aca="false">(Vout+Rdcr*H104+RdsonBot*H104)/(Vin-RdsonTop*H104+RdsonBot*H104)</f>
        <v>0.336022560160242</v>
      </c>
      <c r="J104" s="0" t="n">
        <f aca="false">(Vin-Vout)*I104/(Fsw*Lout2)</f>
        <v>0.847115697882963</v>
      </c>
      <c r="K104" s="0" t="n">
        <f aca="false">SQRT(H104^2+(J104^2)/12)</f>
        <v>1.91567231465439</v>
      </c>
      <c r="L104" s="0" t="n">
        <f aca="false">(K104^2*Rdcr*(1+Ltc*Ta-Ltc*25))/(1-K104^2*Rdcr*Ltc*ThetaCa)</f>
        <v>0.0849792261049763</v>
      </c>
      <c r="N104" s="356" t="n">
        <f aca="false">L104</f>
        <v>0.0849792261049763</v>
      </c>
      <c r="O104" s="357" t="n">
        <f aca="false">J104/(2*SQRT(3))</f>
        <v>0.244541238103743</v>
      </c>
      <c r="P104" s="357" t="n">
        <f aca="false">RCoutEsr*O104^2</f>
        <v>2.99002085666558E-005</v>
      </c>
      <c r="Q104" s="357" t="n">
        <f aca="false">P104</f>
        <v>2.99002085666558E-005</v>
      </c>
      <c r="R104" s="0" t="n">
        <f aca="false">SQRT(I104)*SQRT(H104^2+(J104^2)/12)</f>
        <v>1.11046644768865</v>
      </c>
      <c r="S104" s="400" t="n">
        <f aca="false">RCinEsr*R104^2</f>
        <v>0.00123313573144226</v>
      </c>
      <c r="T104" s="401" t="n">
        <f aca="false">S104</f>
        <v>0.00123313573144226</v>
      </c>
      <c r="U104" s="0" t="n">
        <f aca="false">SQRT(I104)*SQRT(H104^2+(J104^2)/12)</f>
        <v>1.11046644768865</v>
      </c>
      <c r="V104" s="0" t="n">
        <f aca="false">RdsonTop*U104^2</f>
        <v>0.0061656786572113</v>
      </c>
      <c r="W104" s="0" t="n">
        <f aca="false">(Vin*H104/2)*(Fsw)*(Tr+Tf)</f>
        <v>0.0864115350948474</v>
      </c>
      <c r="X104" s="0" t="n">
        <f aca="false">IF(H104&gt;J104/2,0,ABS(H104-J104/2)*VsdTop*Deadtime*Fsw)</f>
        <v>0</v>
      </c>
      <c r="Y104" s="0" t="n">
        <f aca="false">(X104+W104+V104*(1+RdsonTopTc*Ta-RdsonTopTc*25))/(1-V104*RdsonTopTc*ThetaJaTop)</f>
        <v>0.0926915149711711</v>
      </c>
      <c r="Z104" s="0" t="n">
        <f aca="false">SQRT(1-I104)*SQRT(H104^2+(J104^2)/12)</f>
        <v>1.56098196200054</v>
      </c>
      <c r="AA104" s="0" t="n">
        <f aca="false">RdsonBot*Z104^2</f>
        <v>0.00292399762282926</v>
      </c>
      <c r="AB104" s="0" t="n">
        <f aca="false">2*Deadtime*Fsw*IF(VfdSky&gt;0,0,VsdBot)*(H104+J104/2)</f>
        <v>0.0500959072231783</v>
      </c>
      <c r="AC104" s="0" t="n">
        <f aca="false">(AB104+AA104*(1+RdsonBotTc*Ta-RdsonBotTc*25))/(1-AA104*RdsonBotTc*ThetaJaBot)</f>
        <v>0.053050929004067</v>
      </c>
      <c r="AD104" s="0" t="n">
        <f aca="false">2*Deadtime*Fsw*IF(VfdSky&gt;0,VfdSky,0)*H104</f>
        <v>0</v>
      </c>
      <c r="AE104" s="0" t="n">
        <f aca="false">IF(QrrSky&gt;0,QrrSky,QrrBot)*Fsw*(Vin-H104*RdsonTop)</f>
        <v>0.4029872</v>
      </c>
      <c r="AF104" s="0" t="n">
        <f aca="false">Iq*Vin</f>
        <v>0.054</v>
      </c>
      <c r="AG104" s="0" t="n">
        <f aca="false">Vin*(QgTop+QgBot)*Fsw</f>
        <v>0.35784</v>
      </c>
      <c r="AH104" s="357" t="n">
        <f aca="false">(Vin-Vdd)*Fsw*(QgTop+QgBot)+(RdsonDRT+RdsonDRT2)*Fsw*QgTop*Vdd/(RdsonDRT+2*RGateTop+RdsonDRT2)+(RdsonDRB+RdsonDRB2)*Fsw*QgBot*Vdd/(RdsonDRB+2*RGateBot+RdsonDRB2)</f>
        <v>0.31571422459893</v>
      </c>
      <c r="AI104" s="0" t="n">
        <f aca="false">SUM(AF104:AG104)</f>
        <v>0.41184</v>
      </c>
      <c r="AJ104" s="402" t="n">
        <f aca="false">SUM(N104,Q104,T104,Y104,AE104,AD104,AC104,AI104)</f>
        <v>1.04681190602022</v>
      </c>
      <c r="AK104" s="358" t="n">
        <f aca="false">Vout*H104</f>
        <v>11.4</v>
      </c>
      <c r="AL104" s="359" t="n">
        <f aca="false">AK104/(AK104+AJ104)</f>
        <v>0.915897186048589</v>
      </c>
      <c r="AM104" s="0" t="n">
        <f aca="false">ThetaJaTop*Y104</f>
        <v>4.63457574855856</v>
      </c>
      <c r="AN104" s="0" t="n">
        <f aca="false">AC104*ThetaJaBot</f>
        <v>2.65254645020335</v>
      </c>
      <c r="AO104" s="359"/>
      <c r="AP104" s="0" t="n">
        <f aca="false">AL104*100</f>
        <v>91.5897186048589</v>
      </c>
      <c r="AZ104" s="403"/>
      <c r="BA104" s="404"/>
    </row>
    <row r="105" customFormat="false" ht="12.75" hidden="false" customHeight="false" outlineLevel="0" collapsed="false">
      <c r="G105" s="0" t="n">
        <v>96</v>
      </c>
      <c r="H105" s="0" t="n">
        <f aca="false">Iout*(G105/100)</f>
        <v>1.92</v>
      </c>
      <c r="I105" s="0" t="n">
        <f aca="false">(Vout+Rdcr*H105+RdsonBot*H105)/(Vin-RdsonTop*H105+RdsonBot*H105)</f>
        <v>0.336050879289739</v>
      </c>
      <c r="J105" s="0" t="n">
        <f aca="false">(Vin-Vout)*I105/(Fsw*Lout2)</f>
        <v>0.8471870906464</v>
      </c>
      <c r="K105" s="0" t="n">
        <f aca="false">SQRT(H105^2+(J105^2)/12)</f>
        <v>1.93551298037837</v>
      </c>
      <c r="L105" s="0" t="n">
        <f aca="false">(K105^2*Rdcr*(1+Ltc*Ta-Ltc*25))/(1-K105^2*Rdcr*Ltc*ThetaCa)</f>
        <v>0.0867608865970789</v>
      </c>
      <c r="N105" s="356" t="n">
        <f aca="false">L105</f>
        <v>0.0867608865970789</v>
      </c>
      <c r="O105" s="357" t="n">
        <f aca="false">J105/(2*SQRT(3))</f>
        <v>0.244561847419338</v>
      </c>
      <c r="P105" s="357" t="n">
        <f aca="false">RCoutEsr*O105^2</f>
        <v>2.99052486065797E-005</v>
      </c>
      <c r="Q105" s="357" t="n">
        <f aca="false">P105</f>
        <v>2.99052486065797E-005</v>
      </c>
      <c r="R105" s="0" t="n">
        <f aca="false">SQRT(I105)*SQRT(H105^2+(J105^2)/12)</f>
        <v>1.12201485355272</v>
      </c>
      <c r="S105" s="400" t="n">
        <f aca="false">RCinEsr*R105^2</f>
        <v>0.00125891733159293</v>
      </c>
      <c r="T105" s="401" t="n">
        <f aca="false">S105</f>
        <v>0.00125891733159293</v>
      </c>
      <c r="U105" s="0" t="n">
        <f aca="false">SQRT(I105)*SQRT(H105^2+(J105^2)/12)</f>
        <v>1.12201485355272</v>
      </c>
      <c r="V105" s="0" t="n">
        <f aca="false">RdsonTop*U105^2</f>
        <v>0.00629458665796466</v>
      </c>
      <c r="W105" s="0" t="n">
        <f aca="false">(Vin*H105/2)*(Fsw)*(Tr+Tf)</f>
        <v>0.0873211302011089</v>
      </c>
      <c r="X105" s="0" t="n">
        <f aca="false">IF(H105&gt;J105/2,0,ABS(H105-J105/2)*VsdTop*Deadtime*Fsw)</f>
        <v>0</v>
      </c>
      <c r="Y105" s="0" t="n">
        <f aca="false">(X105+W105+V105*(1+RdsonTopTc*Ta-RdsonTopTc*25))/(1-V105*RdsonTopTc*ThetaJaTop)</f>
        <v>0.0937337198635645</v>
      </c>
      <c r="Z105" s="0" t="n">
        <f aca="false">SQRT(1-I105)*SQRT(H105^2+(J105^2)/12)</f>
        <v>1.57711545728911</v>
      </c>
      <c r="AA105" s="0" t="n">
        <f aca="false">RdsonBot*Z105^2</f>
        <v>0.00298475179874427</v>
      </c>
      <c r="AB105" s="0" t="n">
        <f aca="false">2*Deadtime*Fsw*IF(VfdSky&gt;0,0,VsdBot)*(H105+J105/2)</f>
        <v>0.0505278768371682</v>
      </c>
      <c r="AC105" s="0" t="n">
        <f aca="false">(AB105+AA105*(1+RdsonBotTc*Ta-RdsonBotTc*25))/(1-AA105*RdsonBotTc*ThetaJaBot)</f>
        <v>0.0535445920994288</v>
      </c>
      <c r="AD105" s="0" t="n">
        <f aca="false">2*Deadtime*Fsw*IF(VfdSky&gt;0,VfdSky,0)*H105</f>
        <v>0</v>
      </c>
      <c r="AE105" s="0" t="n">
        <f aca="false">IF(QrrSky&gt;0,QrrSky,QrrBot)*Fsw*(Vin-H105*RdsonTop)</f>
        <v>0.40298496</v>
      </c>
      <c r="AF105" s="0" t="n">
        <f aca="false">Iq*Vin</f>
        <v>0.054</v>
      </c>
      <c r="AG105" s="0" t="n">
        <f aca="false">Vin*(QgTop+QgBot)*Fsw</f>
        <v>0.35784</v>
      </c>
      <c r="AH105" s="357" t="n">
        <f aca="false">(Vin-Vdd)*Fsw*(QgTop+QgBot)+(RdsonDRT+RdsonDRT2)*Fsw*QgTop*Vdd/(RdsonDRT+2*RGateTop+RdsonDRT2)+(RdsonDRB+RdsonDRB2)*Fsw*QgBot*Vdd/(RdsonDRB+2*RGateBot+RdsonDRB2)</f>
        <v>0.31571422459893</v>
      </c>
      <c r="AI105" s="0" t="n">
        <f aca="false">SUM(AF105:AG105)</f>
        <v>0.41184</v>
      </c>
      <c r="AJ105" s="402" t="n">
        <f aca="false">SUM(N105,Q105,T105,Y105,AE105,AD105,AC105,AI105)</f>
        <v>1.05015298114027</v>
      </c>
      <c r="AK105" s="358" t="n">
        <f aca="false">Vout*H105</f>
        <v>11.52</v>
      </c>
      <c r="AL105" s="359" t="n">
        <f aca="false">AK105/(AK105+AJ105)</f>
        <v>0.916456626843295</v>
      </c>
      <c r="AM105" s="0" t="n">
        <f aca="false">ThetaJaTop*Y105</f>
        <v>4.68668599317823</v>
      </c>
      <c r="AN105" s="0" t="n">
        <f aca="false">AC105*ThetaJaBot</f>
        <v>2.67722960497144</v>
      </c>
      <c r="AO105" s="359"/>
      <c r="AP105" s="0" t="n">
        <f aca="false">AL105*100</f>
        <v>91.6456626843295</v>
      </c>
      <c r="AZ105" s="403"/>
      <c r="BA105" s="404"/>
    </row>
    <row r="106" customFormat="false" ht="12.75" hidden="false" customHeight="false" outlineLevel="0" collapsed="false">
      <c r="G106" s="0" t="n">
        <v>97</v>
      </c>
      <c r="H106" s="0" t="n">
        <f aca="false">Iout*(G106/100)</f>
        <v>1.94</v>
      </c>
      <c r="I106" s="0" t="n">
        <f aca="false">(Vout+Rdcr*H106+RdsonBot*H106)/(Vin-RdsonTop*H106+RdsonBot*H106)</f>
        <v>0.336079198658473</v>
      </c>
      <c r="J106" s="0" t="n">
        <f aca="false">(Vin-Vout)*I106/(Fsw*Lout2)</f>
        <v>0.847258484012957</v>
      </c>
      <c r="K106" s="0" t="n">
        <f aca="false">SQRT(H106^2+(J106^2)/12)</f>
        <v>1.95535689280184</v>
      </c>
      <c r="L106" s="0" t="n">
        <f aca="false">(K106^2*Rdcr*(1+Ltc*Ta-Ltc*25))/(1-K106^2*Rdcr*Ltc*ThetaCa)</f>
        <v>0.0885617132648054</v>
      </c>
      <c r="N106" s="356" t="n">
        <f aca="false">L106</f>
        <v>0.0885617132648054</v>
      </c>
      <c r="O106" s="357" t="n">
        <f aca="false">J106/(2*SQRT(3))</f>
        <v>0.244582456909037</v>
      </c>
      <c r="P106" s="357" t="n">
        <f aca="false">RCoutEsr*O106^2</f>
        <v>2.99102891138306E-005</v>
      </c>
      <c r="Q106" s="357" t="n">
        <f aca="false">P106</f>
        <v>2.99102891138306E-005</v>
      </c>
      <c r="R106" s="0" t="n">
        <f aca="false">SQRT(I106)*SQRT(H106^2+(J106^2)/12)</f>
        <v>1.13356610926098</v>
      </c>
      <c r="S106" s="400" t="n">
        <f aca="false">RCinEsr*R106^2</f>
        <v>0.00128497212406507</v>
      </c>
      <c r="T106" s="401" t="n">
        <f aca="false">S106</f>
        <v>0.00128497212406507</v>
      </c>
      <c r="U106" s="0" t="n">
        <f aca="false">SQRT(I106)*SQRT(H106^2+(J106^2)/12)</f>
        <v>1.13356610926098</v>
      </c>
      <c r="V106" s="0" t="n">
        <f aca="false">RdsonTop*U106^2</f>
        <v>0.00642486062032533</v>
      </c>
      <c r="W106" s="0" t="n">
        <f aca="false">(Vin*H106/2)*(Fsw)*(Tr+Tf)</f>
        <v>0.0882307253073705</v>
      </c>
      <c r="X106" s="0" t="n">
        <f aca="false">IF(H106&gt;J106/2,0,ABS(H106-J106/2)*VsdTop*Deadtime*Fsw)</f>
        <v>0</v>
      </c>
      <c r="Y106" s="0" t="n">
        <f aca="false">(X106+W106+V106*(1+RdsonTopTc*Ta-RdsonTopTc*25))/(1-V106*RdsonTopTc*ThetaJaTop)</f>
        <v>0.0947773722089765</v>
      </c>
      <c r="Z106" s="0" t="n">
        <f aca="false">SQRT(1-I106)*SQRT(H106^2+(J106^2)/12)</f>
        <v>1.5932509074727</v>
      </c>
      <c r="AA106" s="0" t="n">
        <f aca="false">RdsonBot*Z106^2</f>
        <v>0.00304613814499511</v>
      </c>
      <c r="AB106" s="0" t="n">
        <f aca="false">2*Deadtime*Fsw*IF(VfdSky&gt;0,0,VsdBot)*(H106+J106/2)</f>
        <v>0.0509598464576597</v>
      </c>
      <c r="AC106" s="0" t="n">
        <f aca="false">(AB106+AA106*(1+RdsonBotTc*Ta-RdsonBotTc*25))/(1-AA106*RdsonBotTc*ThetaJaBot)</f>
        <v>0.0540389065975949</v>
      </c>
      <c r="AD106" s="0" t="n">
        <f aca="false">2*Deadtime*Fsw*IF(VfdSky&gt;0,VfdSky,0)*H106</f>
        <v>0</v>
      </c>
      <c r="AE106" s="0" t="n">
        <f aca="false">IF(QrrSky&gt;0,QrrSky,QrrBot)*Fsw*(Vin-H106*RdsonTop)</f>
        <v>0.40298272</v>
      </c>
      <c r="AF106" s="0" t="n">
        <f aca="false">Iq*Vin</f>
        <v>0.054</v>
      </c>
      <c r="AG106" s="0" t="n">
        <f aca="false">Vin*(QgTop+QgBot)*Fsw</f>
        <v>0.35784</v>
      </c>
      <c r="AH106" s="357" t="n">
        <f aca="false">(Vin-Vdd)*Fsw*(QgTop+QgBot)+(RdsonDRT+RdsonDRT2)*Fsw*QgTop*Vdd/(RdsonDRT+2*RGateTop+RdsonDRT2)+(RdsonDRB+RdsonDRB2)*Fsw*QgBot*Vdd/(RdsonDRB+2*RGateBot+RdsonDRB2)</f>
        <v>0.31571422459893</v>
      </c>
      <c r="AI106" s="0" t="n">
        <f aca="false">SUM(AF106:AG106)</f>
        <v>0.41184</v>
      </c>
      <c r="AJ106" s="402" t="n">
        <f aca="false">SUM(N106,Q106,T106,Y106,AE106,AD106,AC106,AI106)</f>
        <v>1.05351559448456</v>
      </c>
      <c r="AK106" s="358" t="n">
        <f aca="false">Vout*H106</f>
        <v>11.64</v>
      </c>
      <c r="AL106" s="359" t="n">
        <f aca="false">AK106/(AK106+AJ106)</f>
        <v>0.917003639642408</v>
      </c>
      <c r="AM106" s="0" t="n">
        <f aca="false">ThetaJaTop*Y106</f>
        <v>4.73886861044883</v>
      </c>
      <c r="AN106" s="0" t="n">
        <f aca="false">AC106*ThetaJaBot</f>
        <v>2.70194532987975</v>
      </c>
      <c r="AO106" s="359"/>
      <c r="AP106" s="0" t="n">
        <f aca="false">AL106*100</f>
        <v>91.7003639642408</v>
      </c>
      <c r="AZ106" s="403"/>
      <c r="BA106" s="404"/>
    </row>
    <row r="107" customFormat="false" ht="12.75" hidden="false" customHeight="false" outlineLevel="0" collapsed="false">
      <c r="G107" s="0" t="n">
        <v>98</v>
      </c>
      <c r="H107" s="0" t="n">
        <f aca="false">Iout*(G107/100)</f>
        <v>1.96</v>
      </c>
      <c r="I107" s="0" t="n">
        <f aca="false">(Vout+Rdcr*H107+RdsonBot*H107)/(Vin-RdsonTop*H107+RdsonBot*H107)</f>
        <v>0.336107518266447</v>
      </c>
      <c r="J107" s="0" t="n">
        <f aca="false">(Vin-Vout)*I107/(Fsw*Lout2)</f>
        <v>0.84732987798264</v>
      </c>
      <c r="K107" s="0" t="n">
        <f aca="false">SQRT(H107^2+(J107^2)/12)</f>
        <v>1.97520395407078</v>
      </c>
      <c r="L107" s="0" t="n">
        <f aca="false">(K107^2*Rdcr*(1+Ltc*Ta-Ltc*25))/(1-K107^2*Rdcr*Ltc*ThetaCa)</f>
        <v>0.0903817223457976</v>
      </c>
      <c r="N107" s="356" t="n">
        <f aca="false">L107</f>
        <v>0.0903817223457976</v>
      </c>
      <c r="O107" s="357" t="n">
        <f aca="false">J107/(2*SQRT(3))</f>
        <v>0.244603066572845</v>
      </c>
      <c r="P107" s="357" t="n">
        <f aca="false">RCoutEsr*O107^2</f>
        <v>2.99153300884198E-005</v>
      </c>
      <c r="Q107" s="357" t="n">
        <f aca="false">P107</f>
        <v>2.99153300884198E-005</v>
      </c>
      <c r="R107" s="0" t="n">
        <f aca="false">SQRT(I107)*SQRT(H107^2+(J107^2)/12)</f>
        <v>1.1451201582719</v>
      </c>
      <c r="S107" s="400" t="n">
        <f aca="false">RCinEsr*R107^2</f>
        <v>0.00131130017688066</v>
      </c>
      <c r="T107" s="401" t="n">
        <f aca="false">S107</f>
        <v>0.00131130017688066</v>
      </c>
      <c r="U107" s="0" t="n">
        <f aca="false">SQRT(I107)*SQRT(H107^2+(J107^2)/12)</f>
        <v>1.1451201582719</v>
      </c>
      <c r="V107" s="0" t="n">
        <f aca="false">RdsonTop*U107^2</f>
        <v>0.00655650088440332</v>
      </c>
      <c r="W107" s="0" t="n">
        <f aca="false">(Vin*H107/2)*(Fsw)*(Tr+Tf)</f>
        <v>0.089140320413632</v>
      </c>
      <c r="X107" s="0" t="n">
        <f aca="false">IF(H107&gt;J107/2,0,ABS(H107-J107/2)*VsdTop*Deadtime*Fsw)</f>
        <v>0</v>
      </c>
      <c r="Y107" s="0" t="n">
        <f aca="false">(X107+W107+V107*(1+RdsonTopTc*Ta-RdsonTopTc*25))/(1-V107*RdsonTopTc*ThetaJaTop)</f>
        <v>0.0958224733242546</v>
      </c>
      <c r="Z107" s="0" t="n">
        <f aca="false">SQRT(1-I107)*SQRT(H107^2+(J107^2)/12)</f>
        <v>1.60938823262014</v>
      </c>
      <c r="AA107" s="0" t="n">
        <f aca="false">RdsonBot*Z107^2</f>
        <v>0.00310815657995541</v>
      </c>
      <c r="AB107" s="0" t="n">
        <f aca="false">2*Deadtime*Fsw*IF(VfdSky&gt;0,0,VsdBot)*(H107+J107/2)</f>
        <v>0.0513918160846529</v>
      </c>
      <c r="AC107" s="0" t="n">
        <f aca="false">(AB107+AA107*(1+RdsonBotTc*Ta-RdsonBotTc*25))/(1-AA107*RdsonBotTc*ThetaJaBot)</f>
        <v>0.0545338726276159</v>
      </c>
      <c r="AD107" s="0" t="n">
        <f aca="false">2*Deadtime*Fsw*IF(VfdSky&gt;0,VfdSky,0)*H107</f>
        <v>0</v>
      </c>
      <c r="AE107" s="0" t="n">
        <f aca="false">IF(QrrSky&gt;0,QrrSky,QrrBot)*Fsw*(Vin-H107*RdsonTop)</f>
        <v>0.40298048</v>
      </c>
      <c r="AF107" s="0" t="n">
        <f aca="false">Iq*Vin</f>
        <v>0.054</v>
      </c>
      <c r="AG107" s="0" t="n">
        <f aca="false">Vin*(QgTop+QgBot)*Fsw</f>
        <v>0.35784</v>
      </c>
      <c r="AH107" s="357" t="n">
        <f aca="false">(Vin-Vdd)*Fsw*(QgTop+QgBot)+(RdsonDRT+RdsonDRT2)*Fsw*QgTop*Vdd/(RdsonDRT+2*RGateTop+RdsonDRT2)+(RdsonDRB+RdsonDRB2)*Fsw*QgBot*Vdd/(RdsonDRB+2*RGateBot+RdsonDRB2)</f>
        <v>0.31571422459893</v>
      </c>
      <c r="AI107" s="0" t="n">
        <f aca="false">SUM(AF107:AG107)</f>
        <v>0.41184</v>
      </c>
      <c r="AJ107" s="402" t="n">
        <f aca="false">SUM(N107,Q107,T107,Y107,AE107,AD107,AC107,AI107)</f>
        <v>1.05689976380464</v>
      </c>
      <c r="AK107" s="358" t="n">
        <f aca="false">Vout*H107</f>
        <v>11.76</v>
      </c>
      <c r="AL107" s="359" t="n">
        <f aca="false">AK107/(AK107+AJ107)</f>
        <v>0.917538579275672</v>
      </c>
      <c r="AM107" s="0" t="n">
        <f aca="false">ThetaJaTop*Y107</f>
        <v>4.79112366621273</v>
      </c>
      <c r="AN107" s="0" t="n">
        <f aca="false">AC107*ThetaJaBot</f>
        <v>2.72669363138079</v>
      </c>
      <c r="AO107" s="359"/>
      <c r="AP107" s="0" t="n">
        <f aca="false">AL107*100</f>
        <v>91.7538579275672</v>
      </c>
      <c r="AZ107" s="403"/>
      <c r="BA107" s="404"/>
    </row>
    <row r="108" customFormat="false" ht="12.75" hidden="false" customHeight="false" outlineLevel="0" collapsed="false">
      <c r="G108" s="0" t="n">
        <v>99</v>
      </c>
      <c r="H108" s="0" t="n">
        <f aca="false">Iout*(G108/100)</f>
        <v>1.98</v>
      </c>
      <c r="I108" s="0" t="n">
        <f aca="false">(Vout+Rdcr*H108+RdsonBot*H108)/(Vin-RdsonTop*H108+RdsonBot*H108)</f>
        <v>0.336135838113665</v>
      </c>
      <c r="J108" s="0" t="n">
        <f aca="false">(Vin-Vout)*I108/(Fsw*Lout2)</f>
        <v>0.847401272555457</v>
      </c>
      <c r="K108" s="0" t="n">
        <f aca="false">SQRT(H108^2+(J108^2)/12)</f>
        <v>1.99505407020981</v>
      </c>
      <c r="L108" s="0" t="n">
        <f aca="false">(K108^2*Rdcr*(1+Ltc*Ta-Ltc*25))/(1-K108^2*Rdcr*Ltc*ThetaCa)</f>
        <v>0.0922209302577099</v>
      </c>
      <c r="N108" s="356" t="n">
        <f aca="false">L108</f>
        <v>0.0922209302577099</v>
      </c>
      <c r="O108" s="357" t="n">
        <f aca="false">J108/(2*SQRT(3))</f>
        <v>0.244623676410762</v>
      </c>
      <c r="P108" s="357" t="n">
        <f aca="false">RCoutEsr*O108^2</f>
        <v>2.99203715303587E-005</v>
      </c>
      <c r="Q108" s="357" t="n">
        <f aca="false">P108</f>
        <v>2.99203715303587E-005</v>
      </c>
      <c r="R108" s="0" t="n">
        <f aca="false">SQRT(I108)*SQRT(H108^2+(J108^2)/12)</f>
        <v>1.15667694628313</v>
      </c>
      <c r="S108" s="400" t="n">
        <f aca="false">RCinEsr*R108^2</f>
        <v>0.00133790155806287</v>
      </c>
      <c r="T108" s="401" t="n">
        <f aca="false">S108</f>
        <v>0.00133790155806287</v>
      </c>
      <c r="U108" s="0" t="n">
        <f aca="false">SQRT(I108)*SQRT(H108^2+(J108^2)/12)</f>
        <v>1.15667694628313</v>
      </c>
      <c r="V108" s="0" t="n">
        <f aca="false">RdsonTop*U108^2</f>
        <v>0.00668950779031435</v>
      </c>
      <c r="W108" s="0" t="n">
        <f aca="false">(Vin*H108/2)*(Fsw)*(Tr+Tf)</f>
        <v>0.0900499155198936</v>
      </c>
      <c r="X108" s="0" t="n">
        <f aca="false">IF(H108&gt;J108/2,0,ABS(H108-J108/2)*VsdTop*Deadtime*Fsw)</f>
        <v>0</v>
      </c>
      <c r="Y108" s="0" t="n">
        <f aca="false">(X108+W108+V108*(1+RdsonTopTc*Ta-RdsonTopTc*25))/(1-V108*RdsonTopTc*ThetaJaTop)</f>
        <v>0.0968690245290534</v>
      </c>
      <c r="Z108" s="0" t="n">
        <f aca="false">SQRT(1-I108)*SQRT(H108^2+(J108^2)/12)</f>
        <v>1.62552735596724</v>
      </c>
      <c r="AA108" s="0" t="n">
        <f aca="false">RdsonBot*Z108^2</f>
        <v>0.00317080702199742</v>
      </c>
      <c r="AB108" s="0" t="n">
        <f aca="false">2*Deadtime*Fsw*IF(VfdSky&gt;0,0,VsdBot)*(H108+J108/2)</f>
        <v>0.0518237857181478</v>
      </c>
      <c r="AC108" s="0" t="n">
        <f aca="false">(AB108+AA108*(1+RdsonBotTc*Ta-RdsonBotTc*25))/(1-AA108*RdsonBotTc*ThetaJaBot)</f>
        <v>0.0550294903190093</v>
      </c>
      <c r="AD108" s="0" t="n">
        <f aca="false">2*Deadtime*Fsw*IF(VfdSky&gt;0,VfdSky,0)*H108</f>
        <v>0</v>
      </c>
      <c r="AE108" s="0" t="n">
        <f aca="false">IF(QrrSky&gt;0,QrrSky,QrrBot)*Fsw*(Vin-H108*RdsonTop)</f>
        <v>0.40297824</v>
      </c>
      <c r="AF108" s="0" t="n">
        <f aca="false">Iq*Vin</f>
        <v>0.054</v>
      </c>
      <c r="AG108" s="0" t="n">
        <f aca="false">Vin*(QgTop+QgBot)*Fsw</f>
        <v>0.35784</v>
      </c>
      <c r="AH108" s="357" t="n">
        <f aca="false">(Vin-Vdd)*Fsw*(QgTop+QgBot)+(RdsonDRT+RdsonDRT2)*Fsw*QgTop*Vdd/(RdsonDRT+2*RGateTop+RdsonDRT2)+(RdsonDRB+RdsonDRB2)*Fsw*QgBot*Vdd/(RdsonDRB+2*RGateBot+RdsonDRB2)</f>
        <v>0.31571422459893</v>
      </c>
      <c r="AI108" s="0" t="n">
        <f aca="false">SUM(AF108:AG108)</f>
        <v>0.41184</v>
      </c>
      <c r="AJ108" s="402" t="n">
        <f aca="false">SUM(N108,Q108,T108,Y108,AE108,AD108,AC108,AI108)</f>
        <v>1.06030550703537</v>
      </c>
      <c r="AK108" s="358" t="n">
        <f aca="false">Vout*H108</f>
        <v>11.88</v>
      </c>
      <c r="AL108" s="359" t="n">
        <f aca="false">AK108/(AK108+AJ108)</f>
        <v>0.918061787145682</v>
      </c>
      <c r="AM108" s="0" t="n">
        <f aca="false">ThetaJaTop*Y108</f>
        <v>4.84345122645267</v>
      </c>
      <c r="AN108" s="0" t="n">
        <f aca="false">AC108*ThetaJaBot</f>
        <v>2.75147451595047</v>
      </c>
      <c r="AO108" s="359"/>
      <c r="AP108" s="0" t="n">
        <f aca="false">AL108*100</f>
        <v>91.8061787145682</v>
      </c>
      <c r="AZ108" s="403"/>
      <c r="BA108" s="404"/>
    </row>
    <row r="109" customFormat="false" ht="12.75" hidden="false" customHeight="false" outlineLevel="0" collapsed="false">
      <c r="G109" s="0" t="n">
        <v>100</v>
      </c>
      <c r="H109" s="0" t="n">
        <f aca="false">Iout*(G109/100)</f>
        <v>2</v>
      </c>
      <c r="I109" s="0" t="n">
        <f aca="false">(Vout+Rdcr*H109+RdsonBot*H109)/(Vin-RdsonTop*H109+RdsonBot*H109)</f>
        <v>0.336164158200129</v>
      </c>
      <c r="J109" s="0" t="n">
        <f aca="false">(Vin-Vout)*I109/(Fsw*Lout2)</f>
        <v>0.847472667731418</v>
      </c>
      <c r="K109" s="0" t="n">
        <f aca="false">SQRT(H109^2+(J109^2)/12)</f>
        <v>2.0149071509326</v>
      </c>
      <c r="L109" s="0" t="n">
        <f aca="false">(K109^2*Rdcr*(1+Ltc*Ta-Ltc*25))/(1-K109^2*Rdcr*Ltc*ThetaCa)</f>
        <v>0.0940793535985833</v>
      </c>
      <c r="N109" s="356" t="n">
        <f aca="false">L109</f>
        <v>0.0940793535985833</v>
      </c>
      <c r="O109" s="357" t="n">
        <f aca="false">J109/(2*SQRT(3))</f>
        <v>0.244644286422792</v>
      </c>
      <c r="P109" s="357" t="n">
        <f aca="false">RCoutEsr*O109^2</f>
        <v>2.99254134396586E-005</v>
      </c>
      <c r="Q109" s="357" t="n">
        <f aca="false">P109</f>
        <v>2.99254134396586E-005</v>
      </c>
      <c r="R109" s="0" t="n">
        <f aca="false">SQRT(I109)*SQRT(H109^2+(J109^2)/12)</f>
        <v>1.16823642112202</v>
      </c>
      <c r="S109" s="400" t="n">
        <f aca="false">RCinEsr*R109^2</f>
        <v>0.00136477633563598</v>
      </c>
      <c r="T109" s="401" t="n">
        <f aca="false">S109</f>
        <v>0.00136477633563598</v>
      </c>
      <c r="U109" s="0" t="n">
        <f aca="false">SQRT(I109)*SQRT(H109^2+(J109^2)/12)</f>
        <v>1.16823642112202</v>
      </c>
      <c r="V109" s="0" t="n">
        <f aca="false">RdsonTop*U109^2</f>
        <v>0.00682388167817992</v>
      </c>
      <c r="W109" s="0" t="n">
        <f aca="false">(Vin*H109/2)*(Fsw)*(Tr+Tf)</f>
        <v>0.0909595106261551</v>
      </c>
      <c r="X109" s="0" t="n">
        <f aca="false">IF(H109&gt;J109/2,0,ABS(H109-J109/2)*VsdTop*Deadtime*Fsw)</f>
        <v>0</v>
      </c>
      <c r="Y109" s="0" t="n">
        <f aca="false">(X109+W109+V109*(1+RdsonTopTc*Ta-RdsonTopTc*25))/(1-V109*RdsonTopTc*ThetaJaTop)</f>
        <v>0.0979170271458395</v>
      </c>
      <c r="Z109" s="0" t="n">
        <f aca="false">SQRT(1-I109)*SQRT(H109^2+(J109^2)/12)</f>
        <v>1.64166820376206</v>
      </c>
      <c r="AA109" s="0" t="n">
        <f aca="false">RdsonBot*Z109^2</f>
        <v>0.003234089389492</v>
      </c>
      <c r="AB109" s="0" t="n">
        <f aca="false">2*Deadtime*Fsw*IF(VfdSky&gt;0,0,VsdBot)*(H109+J109/2)</f>
        <v>0.0522557553581447</v>
      </c>
      <c r="AC109" s="0" t="n">
        <f aca="false">(AB109+AA109*(1+RdsonBotTc*Ta-RdsonBotTc*25))/(1-AA109*RdsonBotTc*ThetaJaBot)</f>
        <v>0.0555257598017604</v>
      </c>
      <c r="AD109" s="0" t="n">
        <f aca="false">2*Deadtime*Fsw*IF(VfdSky&gt;0,VfdSky,0)*H109</f>
        <v>0</v>
      </c>
      <c r="AE109" s="0" t="n">
        <f aca="false">IF(QrrSky&gt;0,QrrSky,QrrBot)*Fsw*(Vin-H109*RdsonTop)</f>
        <v>0.402976</v>
      </c>
      <c r="AF109" s="0" t="n">
        <f aca="false">Iq*Vin</f>
        <v>0.054</v>
      </c>
      <c r="AG109" s="0" t="n">
        <f aca="false">Vin*(QgTop+QgBot)*Fsw</f>
        <v>0.35784</v>
      </c>
      <c r="AH109" s="357" t="n">
        <f aca="false">(Vin-Vdd)*Fsw*(QgTop+QgBot)+(RdsonDRT+RdsonDRT2)*Fsw*QgTop*Vdd/(RdsonDRT+2*RGateTop+RdsonDRT2)+(RdsonDRB+RdsonDRB2)*Fsw*QgBot*Vdd/(RdsonDRB+2*RGateBot+RdsonDRB2)</f>
        <v>0.31571422459893</v>
      </c>
      <c r="AI109" s="0" t="n">
        <f aca="false">SUM(AF109:AG109)</f>
        <v>0.41184</v>
      </c>
      <c r="AJ109" s="402" t="n">
        <f aca="false">SUM(N109,Q109,T109,Y109,AE109,AD109,AC109,AI109)</f>
        <v>1.06373284229526</v>
      </c>
      <c r="AK109" s="358" t="n">
        <f aca="false">Vout*H109</f>
        <v>12</v>
      </c>
      <c r="AL109" s="359" t="n">
        <f aca="false">AK109/(AK109+AJ109)</f>
        <v>0.918573591856433</v>
      </c>
      <c r="AM109" s="0" t="n">
        <f aca="false">ThetaJaTop*Y109</f>
        <v>4.89585135729198</v>
      </c>
      <c r="AN109" s="0" t="n">
        <f aca="false">AC109*ThetaJaBot</f>
        <v>2.77628799008802</v>
      </c>
      <c r="AO109" s="359"/>
      <c r="AP109" s="0" t="n">
        <f aca="false">AL109*100</f>
        <v>91.8573591856433</v>
      </c>
      <c r="AZ109" s="403"/>
      <c r="BA109" s="404"/>
    </row>
  </sheetData>
  <mergeCells count="2">
    <mergeCell ref="A1:D4"/>
    <mergeCell ref="A6:D7"/>
  </mergeCells>
  <printOptions headings="false" gridLines="false" gridLinesSet="true" horizontalCentered="false" verticalCentered="false"/>
  <pageMargins left="0.75" right="0.75" top="1" bottom="1"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tabColor rgb="00FFFFFF"/>
    <pageSetUpPr fitToPage="false"/>
  </sheetPr>
  <dimension ref="A1:E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M42" activeCellId="0" sqref="M42"/>
    </sheetView>
  </sheetViews>
  <sheetFormatPr defaultRowHeight="12.75"/>
  <cols>
    <col collapsed="false" hidden="false" max="1" min="1" style="0" width="18.5765306122449"/>
    <col collapsed="false" hidden="false" max="2" min="2" style="0" width="9.28571428571429"/>
    <col collapsed="false" hidden="false" max="3" min="3" style="0" width="8.6734693877551"/>
    <col collapsed="false" hidden="false" max="4" min="4" style="0" width="11.1428571428571"/>
    <col collapsed="false" hidden="false" max="1025" min="5" style="0" width="8.6734693877551"/>
  </cols>
  <sheetData>
    <row r="1" customFormat="false" ht="12.75" hidden="false" customHeight="false" outlineLevel="0" collapsed="false">
      <c r="C1" s="0" t="s">
        <v>643</v>
      </c>
      <c r="D1" s="0" t="s">
        <v>644</v>
      </c>
    </row>
    <row r="2" customFormat="false" ht="12.75" hidden="false" customHeight="false" outlineLevel="0" collapsed="false">
      <c r="A2" s="0" t="s">
        <v>645</v>
      </c>
      <c r="B2" s="449" t="n">
        <v>85</v>
      </c>
      <c r="C2" s="0" t="s">
        <v>646</v>
      </c>
      <c r="D2" s="0" t="n">
        <f aca="false">B2*1000000</f>
        <v>85000000</v>
      </c>
      <c r="E2" s="0" t="s">
        <v>199</v>
      </c>
    </row>
    <row r="3" customFormat="false" ht="12.75" hidden="false" customHeight="false" outlineLevel="0" collapsed="false">
      <c r="A3" s="0" t="s">
        <v>647</v>
      </c>
      <c r="B3" s="449" t="n">
        <v>3000</v>
      </c>
      <c r="C3" s="0" t="s">
        <v>88</v>
      </c>
      <c r="D3" s="0" t="n">
        <f aca="false">B3*0.000000000001</f>
        <v>3E-009</v>
      </c>
      <c r="E3" s="0" t="s">
        <v>246</v>
      </c>
    </row>
    <row r="4" customFormat="false" ht="12.75" hidden="false" customHeight="false" outlineLevel="0" collapsed="false">
      <c r="A4" s="0" t="s">
        <v>648</v>
      </c>
      <c r="B4" s="450" t="n">
        <f aca="false">1000000000*1/((D2*2*3.14159)^2*D3)</f>
        <v>1.16864307736147</v>
      </c>
      <c r="C4" s="0" t="s">
        <v>649</v>
      </c>
      <c r="D4" s="0" t="n">
        <f aca="false">B4/1000000000</f>
        <v>1.16864307736147E-009</v>
      </c>
      <c r="E4" s="0" t="s">
        <v>213</v>
      </c>
    </row>
    <row r="5" customFormat="false" ht="12.75" hidden="false" customHeight="false" outlineLevel="0" collapsed="false">
      <c r="A5" s="0" t="s">
        <v>650</v>
      </c>
      <c r="B5" s="0" t="n">
        <f aca="false">4*B3</f>
        <v>12000</v>
      </c>
      <c r="C5" s="0" t="s">
        <v>88</v>
      </c>
      <c r="D5" s="0" t="n">
        <f aca="false">B5*0.000000000001</f>
        <v>1.2E-008</v>
      </c>
      <c r="E5" s="0" t="s">
        <v>246</v>
      </c>
    </row>
    <row r="6" customFormat="false" ht="12.75" hidden="false" customHeight="false" outlineLevel="0" collapsed="false">
      <c r="A6" s="0" t="s">
        <v>651</v>
      </c>
      <c r="B6" s="308" t="n">
        <f aca="false">SQRT(D4/D3)</f>
        <v>0.624137558919366</v>
      </c>
      <c r="C6" s="308" t="s">
        <v>93</v>
      </c>
      <c r="D6" s="308" t="n">
        <f aca="false">B6</f>
        <v>0.624137558919366</v>
      </c>
      <c r="E6" s="0" t="s">
        <v>93</v>
      </c>
    </row>
  </sheetData>
  <printOptions headings="false" gridLines="false" gridLinesSet="true" horizontalCentered="false" verticalCentered="false"/>
  <pageMargins left="0.75" right="0.75" top="1" bottom="1"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tabColor rgb="00FFFFFF"/>
    <pageSetUpPr fitToPage="false"/>
  </sheetPr>
  <dimension ref="A3:E1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2.75"/>
  <cols>
    <col collapsed="false" hidden="false" max="1025" min="1" style="0" width="8.6734693877551"/>
  </cols>
  <sheetData>
    <row r="3" customFormat="false" ht="12.75" hidden="false" customHeight="false" outlineLevel="0" collapsed="false">
      <c r="A3" s="0" t="s">
        <v>652</v>
      </c>
      <c r="B3" s="0" t="n">
        <f aca="false">Iripple1</f>
        <v>0.846778711484594</v>
      </c>
    </row>
    <row r="4" customFormat="false" ht="12.75" hidden="false" customHeight="false" outlineLevel="0" collapsed="false">
      <c r="A4" s="0" t="s">
        <v>198</v>
      </c>
      <c r="B4" s="0" t="n">
        <f aca="false">Fsw</f>
        <v>700000</v>
      </c>
    </row>
    <row r="6" customFormat="false" ht="12.75" hidden="false" customHeight="false" outlineLevel="0" collapsed="false">
      <c r="A6" s="0" t="s">
        <v>653</v>
      </c>
      <c r="B6" s="451" t="n">
        <v>0.5</v>
      </c>
      <c r="C6" s="0" t="s">
        <v>617</v>
      </c>
      <c r="D6" s="0" t="n">
        <f aca="false">B6/1000</f>
        <v>0.0005</v>
      </c>
      <c r="E6" s="0" t="s">
        <v>228</v>
      </c>
    </row>
    <row r="7" customFormat="false" ht="12.75" hidden="false" customHeight="false" outlineLevel="0" collapsed="false">
      <c r="A7" s="0" t="s">
        <v>654</v>
      </c>
      <c r="B7" s="451" t="n">
        <v>20</v>
      </c>
      <c r="C7" s="0" t="s">
        <v>622</v>
      </c>
      <c r="D7" s="0" t="n">
        <f aca="false">B7/1000000</f>
        <v>2E-005</v>
      </c>
      <c r="E7" s="0" t="s">
        <v>246</v>
      </c>
    </row>
    <row r="9" customFormat="false" ht="12.75" hidden="false" customHeight="false" outlineLevel="0" collapsed="false">
      <c r="A9" s="0" t="s">
        <v>655</v>
      </c>
      <c r="B9" s="451" t="n">
        <v>20</v>
      </c>
      <c r="C9" s="0" t="s">
        <v>617</v>
      </c>
      <c r="D9" s="0" t="n">
        <f aca="false">B9/1000</f>
        <v>0.02</v>
      </c>
      <c r="E9" s="0" t="s">
        <v>228</v>
      </c>
    </row>
    <row r="10" customFormat="false" ht="12.75" hidden="false" customHeight="false" outlineLevel="0" collapsed="false">
      <c r="A10" s="0" t="s">
        <v>656</v>
      </c>
      <c r="B10" s="451" t="n">
        <v>68</v>
      </c>
      <c r="C10" s="0" t="s">
        <v>622</v>
      </c>
      <c r="D10" s="0" t="n">
        <f aca="false">B10/1000000</f>
        <v>6.8E-005</v>
      </c>
      <c r="E10" s="0" t="s">
        <v>246</v>
      </c>
    </row>
    <row r="12" customFormat="false" ht="12.75" hidden="false" customHeight="false" outlineLevel="0" collapsed="false">
      <c r="A12" s="0" t="s">
        <v>657</v>
      </c>
      <c r="B12" s="0" t="n">
        <f aca="false">(D7/(D7+D10))*SQRT((D9*D10*B4)^2+1)/SQRT((((D6+D9)*D7*D10/(D10+D7))*B4)^2+1)</f>
        <v>0.306349905747849</v>
      </c>
      <c r="C12" s="0" t="s">
        <v>27</v>
      </c>
    </row>
    <row r="13" customFormat="false" ht="12.75" hidden="false" customHeight="false" outlineLevel="0" collapsed="false">
      <c r="A13" s="0" t="s">
        <v>658</v>
      </c>
      <c r="B13" s="0" t="n">
        <f aca="false">1-B12</f>
        <v>0.693650094252151</v>
      </c>
      <c r="C13" s="0" t="s">
        <v>27</v>
      </c>
    </row>
    <row r="15" customFormat="false" ht="12.75" hidden="false" customHeight="false" outlineLevel="0" collapsed="false">
      <c r="A15" s="0" t="s">
        <v>657</v>
      </c>
      <c r="B15" s="0" t="n">
        <f aca="false">B12*(Iripple1/(2*SQRT(3)))</f>
        <v>0.0748853836501197</v>
      </c>
      <c r="C15" s="0" t="s">
        <v>12</v>
      </c>
    </row>
    <row r="16" customFormat="false" ht="12.75" hidden="false" customHeight="false" outlineLevel="0" collapsed="false">
      <c r="A16" s="0" t="s">
        <v>658</v>
      </c>
      <c r="B16" s="0" t="n">
        <f aca="false">B13*(Iripple1/(2*SQRT(3)))</f>
        <v>0.169558574859718</v>
      </c>
      <c r="C16" s="0" t="s">
        <v>12</v>
      </c>
    </row>
  </sheetData>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1996-10-14T23:33:28Z</dcterms:created>
  <dc:creator>Timothy Hegarty</dc:creator>
  <cp:keywords>LM27403 PWM controller voltage mode PCB layout</cp:keywords>
  <dc:language>en-GB</dc:language>
  <cp:lastModifiedBy>Timothy Hegarty</cp:lastModifiedBy>
  <cp:lastPrinted>2013-09-01T00:28:24Z</cp:lastPrinted>
  <dcterms:modified xsi:type="dcterms:W3CDTF">2014-11-05T16:17:26Z</dcterms:modified>
  <cp:revision>0</cp:revision>
  <dc:title>LM27403 Design Tool</dc:title>
</cp:coreProperties>
</file>